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DF73769FD1E4B18D/"/>
    </mc:Choice>
  </mc:AlternateContent>
  <xr:revisionPtr revIDLastSave="0" documentId="8_{FD591917-4BDE-4136-8699-95F2BD0D8F53}" xr6:coauthVersionLast="47" xr6:coauthVersionMax="47" xr10:uidLastSave="{00000000-0000-0000-0000-000000000000}"/>
  <bookViews>
    <workbookView xWindow="1035" yWindow="1260" windowWidth="24510" windowHeight="11265" tabRatio="598" firstSheet="2" activeTab="2" xr2:uid="{00000000-000D-0000-FFFF-FFFF00000000}"/>
  </bookViews>
  <sheets>
    <sheet name="🏆 Leaderboard" sheetId="5" r:id="rId1"/>
    <sheet name="⚽ Match Center" sheetId="22" r:id="rId2"/>
    <sheet name="📊 Resultat &amp; Tabell" sheetId="2" r:id="rId3"/>
    <sheet name="Poäng &amp; instruktioner" sheetId="1" r:id="rId4"/>
    <sheet name="Favoriter &amp; Odds" sheetId="3" r:id="rId5"/>
    <sheet name="tippare mall" sheetId="4" r:id="rId6"/>
    <sheet name="Gordon" sheetId="16" r:id="rId7"/>
    <sheet name="Jeppe" sheetId="17" r:id="rId8"/>
    <sheet name="Christofer" sheetId="8" r:id="rId9"/>
    <sheet name="Chatgpt" sheetId="9" r:id="rId10"/>
    <sheet name="yazmine" sheetId="12" r:id="rId11"/>
    <sheet name="Mli" sheetId="10" r:id="rId12"/>
    <sheet name="Mika" sheetId="13" r:id="rId13"/>
    <sheet name="Erik" sheetId="14" r:id="rId14"/>
    <sheet name="Elliott" sheetId="19" r:id="rId15"/>
    <sheet name="Petra" sheetId="20" r:id="rId16"/>
    <sheet name="Gina" sheetId="18" r:id="rId17"/>
    <sheet name="Lasse" sheetId="11" r:id="rId18"/>
    <sheet name="Fredde" sheetId="15" r:id="rId19"/>
    <sheet name="Kristian" sheetId="21" r:id="rId20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1" i="14" l="1"/>
  <c r="E99" i="8"/>
  <c r="D99" i="8"/>
  <c r="E99" i="17"/>
  <c r="D99" i="17"/>
  <c r="AB9" i="22" a="1"/>
  <c r="E37" i="22"/>
  <c r="E15" i="22"/>
  <c r="BS2" i="22" a="1"/>
  <c r="BS2" i="22"/>
  <c r="I10" i="20"/>
  <c r="M11" i="2"/>
  <c r="J10" i="20"/>
  <c r="K10" i="20"/>
  <c r="I22" i="20"/>
  <c r="M23" i="2"/>
  <c r="J22" i="20"/>
  <c r="K22" i="20"/>
  <c r="I11" i="20"/>
  <c r="M12" i="2"/>
  <c r="J11" i="20"/>
  <c r="K11" i="20"/>
  <c r="I17" i="20"/>
  <c r="M18" i="2"/>
  <c r="J17" i="20"/>
  <c r="K17" i="20"/>
  <c r="I16" i="20"/>
  <c r="M17" i="2"/>
  <c r="J16" i="20"/>
  <c r="K16" i="20"/>
  <c r="I23" i="20"/>
  <c r="M24" i="2"/>
  <c r="J23" i="20"/>
  <c r="K23" i="20"/>
  <c r="I28" i="20"/>
  <c r="M29" i="2"/>
  <c r="J28" i="20"/>
  <c r="K28" i="20"/>
  <c r="I29" i="20"/>
  <c r="M30" i="2"/>
  <c r="J29" i="20"/>
  <c r="K29" i="20"/>
  <c r="I34" i="20"/>
  <c r="M35" i="2"/>
  <c r="J34" i="20"/>
  <c r="K34" i="20"/>
  <c r="I35" i="20"/>
  <c r="M36" i="2"/>
  <c r="J35" i="20"/>
  <c r="K35" i="20"/>
  <c r="I46" i="20"/>
  <c r="M47" i="2"/>
  <c r="J46" i="20"/>
  <c r="K46" i="20"/>
  <c r="I45" i="20"/>
  <c r="M46" i="2"/>
  <c r="J45" i="20"/>
  <c r="K45" i="20"/>
  <c r="I47" i="20"/>
  <c r="M48" i="2"/>
  <c r="J47" i="20"/>
  <c r="K47" i="20"/>
  <c r="I40" i="20"/>
  <c r="M41" i="2"/>
  <c r="J40" i="20"/>
  <c r="K40" i="20"/>
  <c r="I52" i="20"/>
  <c r="M53" i="2"/>
  <c r="J52" i="20"/>
  <c r="K52" i="20"/>
  <c r="I53" i="20"/>
  <c r="M54" i="2"/>
  <c r="J53" i="20"/>
  <c r="K53" i="20"/>
  <c r="I58" i="20"/>
  <c r="M59" i="2"/>
  <c r="J58" i="20"/>
  <c r="K58" i="20"/>
  <c r="AD9" i="22" a="1"/>
  <c r="AD9" i="22"/>
  <c r="AC9" i="22" a="1"/>
  <c r="D114" i="21"/>
  <c r="D113" i="21"/>
  <c r="I107" i="21"/>
  <c r="H107" i="21"/>
  <c r="E107" i="21"/>
  <c r="D107" i="21"/>
  <c r="I106" i="21"/>
  <c r="H106" i="21"/>
  <c r="E106" i="21"/>
  <c r="D106" i="21"/>
  <c r="I105" i="21"/>
  <c r="H105" i="21"/>
  <c r="E105" i="21"/>
  <c r="D105" i="21"/>
  <c r="I104" i="21"/>
  <c r="H104" i="21"/>
  <c r="E104" i="21"/>
  <c r="D104" i="21"/>
  <c r="I103" i="21"/>
  <c r="H103" i="21"/>
  <c r="E103" i="21"/>
  <c r="D103" i="21"/>
  <c r="I102" i="21"/>
  <c r="H102" i="21"/>
  <c r="D102" i="21"/>
  <c r="I101" i="21"/>
  <c r="H101" i="21"/>
  <c r="E101" i="21"/>
  <c r="I100" i="21"/>
  <c r="H100" i="21"/>
  <c r="D100" i="21"/>
  <c r="I99" i="21"/>
  <c r="H99" i="21"/>
  <c r="I98" i="21"/>
  <c r="H98" i="21"/>
  <c r="I97" i="21"/>
  <c r="H97" i="21"/>
  <c r="I96" i="21"/>
  <c r="H96" i="21"/>
  <c r="I95" i="21"/>
  <c r="H95" i="21"/>
  <c r="I94" i="21"/>
  <c r="H94" i="21"/>
  <c r="I93" i="21"/>
  <c r="H93" i="21"/>
  <c r="I92" i="21"/>
  <c r="H92" i="21"/>
  <c r="I91" i="21"/>
  <c r="H91" i="21"/>
  <c r="I90" i="21"/>
  <c r="H90" i="21"/>
  <c r="I89" i="21"/>
  <c r="H89" i="21"/>
  <c r="I88" i="21"/>
  <c r="H88" i="21"/>
  <c r="I87" i="21"/>
  <c r="H87" i="21"/>
  <c r="Q86" i="21" a="1"/>
  <c r="P86" i="21" a="1"/>
  <c r="R86" i="21"/>
  <c r="O86" i="21" a="1"/>
  <c r="N86" i="21" a="1"/>
  <c r="M86" i="21" a="1"/>
  <c r="S86" i="21"/>
  <c r="T86" i="21"/>
  <c r="I86" i="21"/>
  <c r="H86" i="21"/>
  <c r="Q85" i="21" a="1"/>
  <c r="P85" i="21" a="1"/>
  <c r="R85" i="21"/>
  <c r="O85" i="21" a="1"/>
  <c r="N85" i="21" a="1"/>
  <c r="M85" i="21" a="1"/>
  <c r="S85" i="21"/>
  <c r="T85" i="21"/>
  <c r="I85" i="21"/>
  <c r="H85" i="21"/>
  <c r="Q84" i="21" a="1"/>
  <c r="P84" i="21" a="1"/>
  <c r="R84" i="21"/>
  <c r="O84" i="21" a="1"/>
  <c r="N84" i="21" a="1"/>
  <c r="M84" i="21" a="1"/>
  <c r="S84" i="21"/>
  <c r="T84" i="21"/>
  <c r="I84" i="21"/>
  <c r="H84" i="21"/>
  <c r="Q83" i="21" a="1"/>
  <c r="P83" i="21" a="1"/>
  <c r="R83" i="21"/>
  <c r="O83" i="21" a="1"/>
  <c r="N83" i="21" a="1"/>
  <c r="M83" i="21" a="1"/>
  <c r="S83" i="21"/>
  <c r="T83" i="21"/>
  <c r="I83" i="21"/>
  <c r="H83" i="21"/>
  <c r="I82" i="21"/>
  <c r="H82" i="21"/>
  <c r="I81" i="21"/>
  <c r="H81" i="21"/>
  <c r="I80" i="21"/>
  <c r="H80" i="21"/>
  <c r="Q79" i="21" a="1"/>
  <c r="P79" i="21" a="1"/>
  <c r="R79" i="21"/>
  <c r="O79" i="21" a="1"/>
  <c r="N79" i="21" a="1"/>
  <c r="M79" i="21" a="1"/>
  <c r="S79" i="21"/>
  <c r="T79" i="21"/>
  <c r="I79" i="21"/>
  <c r="H79" i="21"/>
  <c r="Q78" i="21" a="1"/>
  <c r="P78" i="21" a="1"/>
  <c r="R78" i="21"/>
  <c r="O78" i="21" a="1"/>
  <c r="N78" i="21" a="1"/>
  <c r="M78" i="21" a="1"/>
  <c r="S78" i="21"/>
  <c r="T78" i="21"/>
  <c r="I78" i="21"/>
  <c r="H78" i="21"/>
  <c r="Q77" i="21" a="1"/>
  <c r="P77" i="21" a="1"/>
  <c r="R77" i="21"/>
  <c r="O77" i="21" a="1"/>
  <c r="N77" i="21" a="1"/>
  <c r="M77" i="21" a="1"/>
  <c r="S77" i="21"/>
  <c r="T77" i="21"/>
  <c r="I77" i="21"/>
  <c r="H77" i="21"/>
  <c r="Q76" i="21" a="1"/>
  <c r="P76" i="21" a="1"/>
  <c r="R76" i="21"/>
  <c r="O76" i="21" a="1"/>
  <c r="N76" i="21" a="1"/>
  <c r="M76" i="21" a="1"/>
  <c r="S76" i="21"/>
  <c r="T76" i="21"/>
  <c r="I76" i="21"/>
  <c r="H76" i="21"/>
  <c r="I75" i="21"/>
  <c r="H75" i="21"/>
  <c r="I74" i="21"/>
  <c r="H74" i="21"/>
  <c r="I73" i="21"/>
  <c r="H73" i="21"/>
  <c r="Q72" i="21" a="1"/>
  <c r="P72" i="21" a="1"/>
  <c r="R72" i="21"/>
  <c r="O72" i="21" a="1"/>
  <c r="N72" i="21" a="1"/>
  <c r="M72" i="21" a="1"/>
  <c r="S72" i="21"/>
  <c r="T72" i="21"/>
  <c r="I72" i="21"/>
  <c r="H72" i="21"/>
  <c r="Q71" i="21" a="1"/>
  <c r="P71" i="21" a="1"/>
  <c r="R71" i="21"/>
  <c r="O71" i="21" a="1"/>
  <c r="N71" i="21" a="1"/>
  <c r="M71" i="21" a="1"/>
  <c r="S71" i="21"/>
  <c r="T71" i="21"/>
  <c r="I71" i="21"/>
  <c r="H71" i="21"/>
  <c r="Q70" i="21" a="1"/>
  <c r="P70" i="21" a="1"/>
  <c r="R70" i="21"/>
  <c r="O70" i="21" a="1"/>
  <c r="N70" i="21" a="1"/>
  <c r="M70" i="21" a="1"/>
  <c r="S70" i="21"/>
  <c r="T70" i="21"/>
  <c r="I70" i="21"/>
  <c r="H70" i="21"/>
  <c r="Q69" i="21" a="1"/>
  <c r="P69" i="21" a="1"/>
  <c r="R69" i="21"/>
  <c r="O69" i="21" a="1"/>
  <c r="N69" i="21" a="1"/>
  <c r="M69" i="21" a="1"/>
  <c r="S69" i="21"/>
  <c r="T69" i="21"/>
  <c r="I69" i="21"/>
  <c r="H69" i="21"/>
  <c r="I68" i="21"/>
  <c r="H68" i="21"/>
  <c r="I67" i="21"/>
  <c r="H67" i="21"/>
  <c r="I66" i="21"/>
  <c r="H66" i="21"/>
  <c r="Q65" i="21" a="1"/>
  <c r="P65" i="21" a="1"/>
  <c r="R65" i="21"/>
  <c r="O65" i="21" a="1"/>
  <c r="N65" i="21" a="1"/>
  <c r="M65" i="21" a="1"/>
  <c r="S65" i="21"/>
  <c r="T65" i="21"/>
  <c r="I65" i="21"/>
  <c r="H65" i="21"/>
  <c r="Q64" i="21" a="1"/>
  <c r="P64" i="21" a="1"/>
  <c r="R64" i="21"/>
  <c r="O64" i="21" a="1"/>
  <c r="N64" i="21" a="1"/>
  <c r="M64" i="21" a="1"/>
  <c r="S64" i="21"/>
  <c r="T64" i="21"/>
  <c r="I64" i="21"/>
  <c r="H64" i="21"/>
  <c r="Q63" i="21" a="1"/>
  <c r="P63" i="21" a="1"/>
  <c r="R63" i="21"/>
  <c r="O63" i="21" a="1"/>
  <c r="N63" i="21" a="1"/>
  <c r="M63" i="21" a="1"/>
  <c r="S63" i="21"/>
  <c r="T63" i="21"/>
  <c r="I63" i="21"/>
  <c r="H63" i="21"/>
  <c r="Q62" i="21" a="1"/>
  <c r="P62" i="21" a="1"/>
  <c r="R62" i="21"/>
  <c r="O62" i="21" a="1"/>
  <c r="N62" i="21" a="1"/>
  <c r="M62" i="21" a="1"/>
  <c r="S62" i="21"/>
  <c r="T62" i="21"/>
  <c r="I62" i="21"/>
  <c r="H62" i="21"/>
  <c r="I61" i="21"/>
  <c r="H61" i="21"/>
  <c r="I60" i="21"/>
  <c r="H60" i="21"/>
  <c r="I59" i="21"/>
  <c r="H59" i="21"/>
  <c r="Q58" i="21" a="1"/>
  <c r="P58" i="21" a="1"/>
  <c r="R58" i="21"/>
  <c r="O58" i="21" a="1"/>
  <c r="N58" i="21" a="1"/>
  <c r="M58" i="21" a="1"/>
  <c r="S58" i="21"/>
  <c r="T58" i="21"/>
  <c r="I58" i="21"/>
  <c r="H58" i="21"/>
  <c r="Q57" i="21" a="1"/>
  <c r="P57" i="21" a="1"/>
  <c r="R57" i="21"/>
  <c r="O57" i="21" a="1"/>
  <c r="N57" i="21" a="1"/>
  <c r="M57" i="21" a="1"/>
  <c r="S57" i="21"/>
  <c r="T57" i="21"/>
  <c r="I57" i="21"/>
  <c r="H57" i="21"/>
  <c r="Q56" i="21" a="1"/>
  <c r="P56" i="21" a="1"/>
  <c r="R56" i="21"/>
  <c r="O56" i="21" a="1"/>
  <c r="N56" i="21" a="1"/>
  <c r="M56" i="21" a="1"/>
  <c r="S56" i="21"/>
  <c r="T56" i="21"/>
  <c r="I56" i="21"/>
  <c r="H56" i="21"/>
  <c r="Q55" i="21" a="1"/>
  <c r="P55" i="21" a="1"/>
  <c r="R55" i="21"/>
  <c r="O55" i="21" a="1"/>
  <c r="N55" i="21" a="1"/>
  <c r="M55" i="21" a="1"/>
  <c r="S55" i="21"/>
  <c r="T55" i="21"/>
  <c r="I55" i="21"/>
  <c r="H55" i="21"/>
  <c r="I54" i="21"/>
  <c r="H54" i="21"/>
  <c r="I53" i="21"/>
  <c r="H53" i="21"/>
  <c r="I52" i="21"/>
  <c r="H52" i="21"/>
  <c r="Q51" i="21" a="1"/>
  <c r="P51" i="21" a="1"/>
  <c r="R51" i="21"/>
  <c r="O51" i="21" a="1"/>
  <c r="N51" i="21" a="1"/>
  <c r="M51" i="21" a="1"/>
  <c r="S51" i="21"/>
  <c r="T51" i="21"/>
  <c r="I51" i="21"/>
  <c r="H51" i="21"/>
  <c r="Q50" i="21" a="1"/>
  <c r="P50" i="21" a="1"/>
  <c r="R50" i="21"/>
  <c r="O50" i="21" a="1"/>
  <c r="N50" i="21" a="1"/>
  <c r="M50" i="21" a="1"/>
  <c r="S50" i="21"/>
  <c r="T50" i="21"/>
  <c r="I50" i="21"/>
  <c r="H50" i="21"/>
  <c r="Q49" i="21" a="1"/>
  <c r="P49" i="21" a="1"/>
  <c r="R49" i="21"/>
  <c r="O49" i="21" a="1"/>
  <c r="N49" i="21" a="1"/>
  <c r="M49" i="21" a="1"/>
  <c r="S49" i="21"/>
  <c r="T49" i="21"/>
  <c r="I49" i="21"/>
  <c r="H49" i="21"/>
  <c r="Q48" i="21" a="1"/>
  <c r="P48" i="21" a="1"/>
  <c r="R48" i="21"/>
  <c r="O48" i="21" a="1"/>
  <c r="N48" i="21" a="1"/>
  <c r="M48" i="21" a="1"/>
  <c r="S48" i="21"/>
  <c r="T48" i="21"/>
  <c r="I48" i="21"/>
  <c r="H48" i="21"/>
  <c r="I47" i="21"/>
  <c r="H47" i="21"/>
  <c r="I46" i="21"/>
  <c r="H46" i="21"/>
  <c r="I45" i="21"/>
  <c r="H45" i="21"/>
  <c r="Q44" i="21" a="1"/>
  <c r="P44" i="21" a="1"/>
  <c r="R44" i="21"/>
  <c r="O44" i="21" a="1"/>
  <c r="N44" i="21" a="1"/>
  <c r="M44" i="21" a="1"/>
  <c r="S44" i="21"/>
  <c r="T44" i="21"/>
  <c r="I44" i="21"/>
  <c r="H44" i="21"/>
  <c r="Q43" i="21" a="1"/>
  <c r="P43" i="21" a="1"/>
  <c r="R43" i="21"/>
  <c r="O43" i="21" a="1"/>
  <c r="N43" i="21" a="1"/>
  <c r="M43" i="21" a="1"/>
  <c r="S43" i="21"/>
  <c r="T43" i="21"/>
  <c r="I43" i="21"/>
  <c r="H43" i="21"/>
  <c r="Q42" i="21" a="1"/>
  <c r="P42" i="21" a="1"/>
  <c r="R42" i="21"/>
  <c r="O42" i="21" a="1"/>
  <c r="N42" i="21" a="1"/>
  <c r="M42" i="21" a="1"/>
  <c r="S42" i="21"/>
  <c r="T42" i="21"/>
  <c r="I42" i="21"/>
  <c r="H42" i="21"/>
  <c r="Q41" i="21" a="1"/>
  <c r="P41" i="21" a="1"/>
  <c r="R41" i="21"/>
  <c r="O41" i="21" a="1"/>
  <c r="N41" i="21" a="1"/>
  <c r="M41" i="21" a="1"/>
  <c r="S41" i="21"/>
  <c r="T41" i="21"/>
  <c r="I41" i="21"/>
  <c r="H41" i="21"/>
  <c r="I40" i="21"/>
  <c r="H40" i="21"/>
  <c r="I39" i="21"/>
  <c r="H39" i="21"/>
  <c r="I38" i="21"/>
  <c r="H38" i="21"/>
  <c r="Q37" i="21" a="1"/>
  <c r="P37" i="21" a="1"/>
  <c r="R37" i="21"/>
  <c r="O37" i="21" a="1"/>
  <c r="N37" i="21" a="1"/>
  <c r="M37" i="21" a="1"/>
  <c r="S37" i="21"/>
  <c r="T37" i="21"/>
  <c r="I37" i="21"/>
  <c r="H37" i="21"/>
  <c r="Q36" i="21" a="1"/>
  <c r="P36" i="21" a="1"/>
  <c r="R36" i="21"/>
  <c r="O36" i="21" a="1"/>
  <c r="N36" i="21" a="1"/>
  <c r="M36" i="21" a="1"/>
  <c r="S36" i="21"/>
  <c r="T36" i="21"/>
  <c r="I36" i="21"/>
  <c r="H36" i="21"/>
  <c r="Q35" i="21" a="1"/>
  <c r="P35" i="21" a="1"/>
  <c r="R35" i="21"/>
  <c r="O35" i="21" a="1"/>
  <c r="N35" i="21" a="1"/>
  <c r="M35" i="21" a="1"/>
  <c r="S35" i="21"/>
  <c r="T35" i="21"/>
  <c r="I35" i="21"/>
  <c r="H35" i="21"/>
  <c r="Q34" i="21" a="1"/>
  <c r="P34" i="21" a="1"/>
  <c r="R34" i="21"/>
  <c r="O34" i="21" a="1"/>
  <c r="N34" i="21" a="1"/>
  <c r="M34" i="21" a="1"/>
  <c r="S34" i="21"/>
  <c r="T34" i="21"/>
  <c r="I34" i="21"/>
  <c r="H34" i="21"/>
  <c r="I33" i="21"/>
  <c r="H33" i="21"/>
  <c r="I32" i="21"/>
  <c r="H32" i="21"/>
  <c r="I31" i="21"/>
  <c r="H31" i="21"/>
  <c r="Q30" i="21" a="1"/>
  <c r="P30" i="21" a="1"/>
  <c r="R30" i="21"/>
  <c r="O30" i="21" a="1"/>
  <c r="N30" i="21" a="1"/>
  <c r="M30" i="21" a="1"/>
  <c r="S30" i="21"/>
  <c r="T30" i="21"/>
  <c r="I30" i="21"/>
  <c r="H30" i="21"/>
  <c r="Q29" i="21" a="1"/>
  <c r="P29" i="21" a="1"/>
  <c r="R29" i="21"/>
  <c r="O29" i="21" a="1"/>
  <c r="N29" i="21" a="1"/>
  <c r="M29" i="21" a="1"/>
  <c r="S29" i="21"/>
  <c r="T29" i="21"/>
  <c r="I29" i="21"/>
  <c r="H29" i="21"/>
  <c r="Q28" i="21" a="1"/>
  <c r="P28" i="21" a="1"/>
  <c r="R28" i="21"/>
  <c r="O28" i="21" a="1"/>
  <c r="N28" i="21" a="1"/>
  <c r="M28" i="21" a="1"/>
  <c r="S28" i="21"/>
  <c r="T28" i="21"/>
  <c r="I28" i="21"/>
  <c r="H28" i="21"/>
  <c r="Q27" i="21" a="1"/>
  <c r="P27" i="21" a="1"/>
  <c r="R27" i="21"/>
  <c r="O27" i="21" a="1"/>
  <c r="N27" i="21" a="1"/>
  <c r="M27" i="21" a="1"/>
  <c r="S27" i="21"/>
  <c r="T27" i="21"/>
  <c r="I27" i="21"/>
  <c r="H27" i="21"/>
  <c r="I26" i="21"/>
  <c r="H26" i="21"/>
  <c r="I25" i="21"/>
  <c r="H25" i="21"/>
  <c r="I24" i="21"/>
  <c r="H24" i="21"/>
  <c r="Q23" i="21" a="1"/>
  <c r="P23" i="21" a="1"/>
  <c r="R23" i="21"/>
  <c r="O23" i="21" a="1"/>
  <c r="N23" i="21" a="1"/>
  <c r="M23" i="21" a="1"/>
  <c r="S23" i="21"/>
  <c r="T23" i="21"/>
  <c r="I23" i="21"/>
  <c r="H23" i="21"/>
  <c r="Q22" i="21" a="1"/>
  <c r="P22" i="21" a="1"/>
  <c r="R22" i="21"/>
  <c r="O22" i="21" a="1"/>
  <c r="N22" i="21" a="1"/>
  <c r="M22" i="21" a="1"/>
  <c r="S22" i="21"/>
  <c r="T22" i="21"/>
  <c r="I22" i="21"/>
  <c r="H22" i="21"/>
  <c r="Q21" i="21" a="1"/>
  <c r="P21" i="21" a="1"/>
  <c r="R21" i="21"/>
  <c r="O21" i="21" a="1"/>
  <c r="N21" i="21" a="1"/>
  <c r="M21" i="21" a="1"/>
  <c r="S21" i="21"/>
  <c r="T21" i="21"/>
  <c r="I21" i="21"/>
  <c r="H21" i="21"/>
  <c r="Q20" i="21" a="1"/>
  <c r="P20" i="21" a="1"/>
  <c r="R20" i="21"/>
  <c r="O20" i="21" a="1"/>
  <c r="N20" i="21" a="1"/>
  <c r="M20" i="21" a="1"/>
  <c r="S20" i="21"/>
  <c r="T20" i="21"/>
  <c r="I20" i="21"/>
  <c r="H20" i="21"/>
  <c r="I19" i="21"/>
  <c r="H19" i="21"/>
  <c r="I18" i="21"/>
  <c r="H18" i="21"/>
  <c r="I17" i="21"/>
  <c r="H17" i="21"/>
  <c r="Q16" i="21" a="1"/>
  <c r="P16" i="21" a="1"/>
  <c r="R16" i="21"/>
  <c r="O16" i="21" a="1"/>
  <c r="N16" i="21" a="1"/>
  <c r="M16" i="21" a="1"/>
  <c r="S16" i="21"/>
  <c r="T16" i="21"/>
  <c r="I16" i="21"/>
  <c r="H16" i="21"/>
  <c r="AA15" i="21" a="1"/>
  <c r="Z15" i="21" a="1"/>
  <c r="Y15" i="21" a="1"/>
  <c r="X15" i="21" a="1"/>
  <c r="E102" i="21"/>
  <c r="Q15" i="21" a="1"/>
  <c r="P15" i="21" a="1"/>
  <c r="R15" i="21"/>
  <c r="O15" i="21" a="1"/>
  <c r="N15" i="21" a="1"/>
  <c r="M15" i="21" a="1"/>
  <c r="S15" i="21"/>
  <c r="T15" i="21"/>
  <c r="I15" i="21"/>
  <c r="H15" i="21"/>
  <c r="AA14" i="21" a="1"/>
  <c r="Z14" i="21" a="1"/>
  <c r="Y14" i="21" a="1"/>
  <c r="X14" i="21" a="1"/>
  <c r="Q14" i="21" a="1"/>
  <c r="P14" i="21" a="1"/>
  <c r="R14" i="21"/>
  <c r="O14" i="21" a="1"/>
  <c r="N14" i="21" a="1"/>
  <c r="M14" i="21" a="1"/>
  <c r="S14" i="21"/>
  <c r="T14" i="21"/>
  <c r="I14" i="21"/>
  <c r="H14" i="21"/>
  <c r="AA13" i="21" a="1"/>
  <c r="Z13" i="21" a="1"/>
  <c r="Y13" i="21" a="1"/>
  <c r="X13" i="21" a="1"/>
  <c r="Q13" i="21" a="1"/>
  <c r="P13" i="21" a="1"/>
  <c r="R13" i="21"/>
  <c r="O13" i="21" a="1"/>
  <c r="N13" i="21" a="1"/>
  <c r="M13" i="21" a="1"/>
  <c r="S13" i="21"/>
  <c r="T13" i="21"/>
  <c r="I13" i="21"/>
  <c r="H13" i="21"/>
  <c r="AA12" i="21" a="1"/>
  <c r="Z12" i="21" a="1"/>
  <c r="Y12" i="21" a="1"/>
  <c r="X12" i="21" a="1"/>
  <c r="E100" i="21"/>
  <c r="I12" i="21"/>
  <c r="H12" i="21"/>
  <c r="AA11" i="21" a="1"/>
  <c r="Z11" i="21" a="1"/>
  <c r="Y11" i="21" a="1"/>
  <c r="X11" i="21" a="1"/>
  <c r="D101" i="21"/>
  <c r="I11" i="21"/>
  <c r="H11" i="21"/>
  <c r="AA10" i="21" a="1"/>
  <c r="Z10" i="21" a="1"/>
  <c r="Y10" i="21" a="1"/>
  <c r="X10" i="21" a="1"/>
  <c r="I10" i="21"/>
  <c r="H10" i="21"/>
  <c r="AA9" i="21" a="1"/>
  <c r="Z9" i="21" a="1"/>
  <c r="Y9" i="21" a="1"/>
  <c r="X9" i="21" a="1"/>
  <c r="Q9" i="21" a="1"/>
  <c r="P9" i="21" a="1"/>
  <c r="R9" i="21"/>
  <c r="O9" i="21" a="1"/>
  <c r="N9" i="21" a="1"/>
  <c r="M9" i="21" a="1"/>
  <c r="S9" i="21"/>
  <c r="T9" i="21"/>
  <c r="I9" i="21"/>
  <c r="H9" i="21"/>
  <c r="AA8" i="21" a="1"/>
  <c r="Z8" i="21" a="1"/>
  <c r="Y8" i="21" a="1"/>
  <c r="X8" i="21" a="1"/>
  <c r="Q8" i="21" a="1"/>
  <c r="P8" i="21" a="1"/>
  <c r="R8" i="21"/>
  <c r="O8" i="21" a="1"/>
  <c r="N8" i="21" a="1"/>
  <c r="M8" i="21" a="1"/>
  <c r="S8" i="21"/>
  <c r="T8" i="21"/>
  <c r="I8" i="21"/>
  <c r="H8" i="21"/>
  <c r="AA7" i="21" a="1"/>
  <c r="Z7" i="21" a="1"/>
  <c r="Y7" i="21" a="1"/>
  <c r="X7" i="21" a="1"/>
  <c r="Q7" i="21" a="1"/>
  <c r="P7" i="21" a="1"/>
  <c r="R7" i="21"/>
  <c r="O7" i="21" a="1"/>
  <c r="N7" i="21" a="1"/>
  <c r="M7" i="21" a="1"/>
  <c r="S7" i="21"/>
  <c r="T7" i="21"/>
  <c r="I7" i="21"/>
  <c r="H7" i="21"/>
  <c r="AA6" i="21" a="1"/>
  <c r="Z6" i="21" a="1"/>
  <c r="Y6" i="21" a="1"/>
  <c r="X6" i="21" a="1"/>
  <c r="Q6" i="21" a="1"/>
  <c r="P6" i="21" a="1"/>
  <c r="R6" i="21"/>
  <c r="O6" i="21" a="1"/>
  <c r="N6" i="21" a="1"/>
  <c r="M6" i="21" a="1"/>
  <c r="S6" i="21"/>
  <c r="T6" i="21"/>
  <c r="I6" i="21"/>
  <c r="H6" i="21"/>
  <c r="AA5" i="21" a="1"/>
  <c r="Z5" i="21" a="1"/>
  <c r="Y5" i="21" a="1"/>
  <c r="X5" i="21" a="1"/>
  <c r="I5" i="21"/>
  <c r="H5" i="21"/>
  <c r="AA4" i="21"/>
  <c r="AB4" i="21"/>
  <c r="Z4" i="21" a="1"/>
  <c r="Y4" i="21" a="1"/>
  <c r="X4" i="21" a="1"/>
  <c r="I4" i="21"/>
  <c r="H4" i="21"/>
  <c r="D114" i="20"/>
  <c r="D113" i="20"/>
  <c r="I107" i="20"/>
  <c r="H107" i="20"/>
  <c r="E107" i="20"/>
  <c r="D107" i="20"/>
  <c r="I106" i="20"/>
  <c r="H106" i="20"/>
  <c r="E106" i="20"/>
  <c r="D106" i="20"/>
  <c r="I105" i="20"/>
  <c r="H105" i="20"/>
  <c r="E105" i="20"/>
  <c r="D105" i="20"/>
  <c r="I104" i="20"/>
  <c r="H104" i="20"/>
  <c r="E104" i="20"/>
  <c r="D104" i="20"/>
  <c r="I103" i="20"/>
  <c r="H103" i="20"/>
  <c r="E103" i="20"/>
  <c r="D103" i="20"/>
  <c r="I102" i="20"/>
  <c r="H102" i="20"/>
  <c r="E102" i="20"/>
  <c r="D102" i="20"/>
  <c r="I101" i="20"/>
  <c r="H101" i="20"/>
  <c r="E101" i="20"/>
  <c r="D101" i="20"/>
  <c r="I100" i="20"/>
  <c r="H100" i="20"/>
  <c r="I99" i="20"/>
  <c r="H99" i="20"/>
  <c r="I98" i="20"/>
  <c r="H98" i="20"/>
  <c r="I97" i="20"/>
  <c r="H97" i="20"/>
  <c r="I96" i="20"/>
  <c r="H96" i="20"/>
  <c r="I95" i="20"/>
  <c r="H95" i="20"/>
  <c r="I94" i="20"/>
  <c r="H94" i="20"/>
  <c r="I93" i="20"/>
  <c r="H93" i="20"/>
  <c r="I92" i="20"/>
  <c r="H92" i="20"/>
  <c r="I91" i="20"/>
  <c r="H91" i="20"/>
  <c r="I90" i="20"/>
  <c r="H90" i="20"/>
  <c r="I89" i="20"/>
  <c r="H89" i="20"/>
  <c r="I88" i="20"/>
  <c r="H88" i="20"/>
  <c r="I87" i="20"/>
  <c r="H87" i="20"/>
  <c r="Q86" i="20" a="1"/>
  <c r="P86" i="20" a="1"/>
  <c r="R86" i="20"/>
  <c r="O86" i="20" a="1"/>
  <c r="N86" i="20" a="1"/>
  <c r="M86" i="20" a="1"/>
  <c r="S86" i="20"/>
  <c r="T86" i="20"/>
  <c r="I86" i="20"/>
  <c r="H86" i="20"/>
  <c r="Q85" i="20" a="1"/>
  <c r="P85" i="20" a="1"/>
  <c r="R85" i="20"/>
  <c r="O85" i="20" a="1"/>
  <c r="N85" i="20" a="1"/>
  <c r="M85" i="20" a="1"/>
  <c r="S85" i="20"/>
  <c r="T85" i="20"/>
  <c r="I85" i="20"/>
  <c r="H85" i="20"/>
  <c r="Q84" i="20" a="1"/>
  <c r="P84" i="20" a="1"/>
  <c r="R84" i="20"/>
  <c r="O84" i="20" a="1"/>
  <c r="N84" i="20" a="1"/>
  <c r="M84" i="20" a="1"/>
  <c r="S84" i="20"/>
  <c r="T84" i="20"/>
  <c r="I84" i="20"/>
  <c r="H84" i="20"/>
  <c r="Q83" i="20" a="1"/>
  <c r="P83" i="20" a="1"/>
  <c r="R83" i="20"/>
  <c r="O83" i="20" a="1"/>
  <c r="N83" i="20" a="1"/>
  <c r="M83" i="20" a="1"/>
  <c r="S83" i="20"/>
  <c r="T83" i="20"/>
  <c r="I83" i="20"/>
  <c r="H83" i="20"/>
  <c r="I82" i="20"/>
  <c r="H82" i="20"/>
  <c r="I81" i="20"/>
  <c r="H81" i="20"/>
  <c r="I80" i="20"/>
  <c r="H80" i="20"/>
  <c r="Q79" i="20" a="1"/>
  <c r="P79" i="20" a="1"/>
  <c r="R79" i="20"/>
  <c r="O79" i="20" a="1"/>
  <c r="N79" i="20" a="1"/>
  <c r="M79" i="20" a="1"/>
  <c r="S79" i="20"/>
  <c r="T79" i="20"/>
  <c r="I79" i="20"/>
  <c r="H79" i="20"/>
  <c r="Q78" i="20" a="1"/>
  <c r="P78" i="20" a="1"/>
  <c r="R78" i="20"/>
  <c r="O78" i="20" a="1"/>
  <c r="N78" i="20" a="1"/>
  <c r="M78" i="20" a="1"/>
  <c r="S78" i="20"/>
  <c r="T78" i="20"/>
  <c r="I78" i="20"/>
  <c r="H78" i="20"/>
  <c r="Q77" i="20" a="1"/>
  <c r="P77" i="20" a="1"/>
  <c r="R77" i="20"/>
  <c r="O77" i="20" a="1"/>
  <c r="N77" i="20" a="1"/>
  <c r="M77" i="20" a="1"/>
  <c r="S77" i="20"/>
  <c r="T77" i="20"/>
  <c r="I77" i="20"/>
  <c r="H77" i="20"/>
  <c r="Q76" i="20" a="1"/>
  <c r="P76" i="20" a="1"/>
  <c r="R76" i="20"/>
  <c r="O76" i="20" a="1"/>
  <c r="N76" i="20" a="1"/>
  <c r="M76" i="20" a="1"/>
  <c r="S76" i="20"/>
  <c r="T76" i="20"/>
  <c r="I76" i="20"/>
  <c r="H76" i="20"/>
  <c r="I75" i="20"/>
  <c r="H75" i="20"/>
  <c r="I74" i="20"/>
  <c r="H74" i="20"/>
  <c r="I73" i="20"/>
  <c r="H73" i="20"/>
  <c r="Q72" i="20" a="1"/>
  <c r="P72" i="20" a="1"/>
  <c r="R72" i="20"/>
  <c r="O72" i="20" a="1"/>
  <c r="N72" i="20" a="1"/>
  <c r="M72" i="20" a="1"/>
  <c r="S72" i="20"/>
  <c r="T72" i="20"/>
  <c r="I72" i="20"/>
  <c r="H72" i="20"/>
  <c r="Q71" i="20" a="1"/>
  <c r="P71" i="20" a="1"/>
  <c r="R71" i="20"/>
  <c r="O71" i="20" a="1"/>
  <c r="N71" i="20" a="1"/>
  <c r="M71" i="20" a="1"/>
  <c r="S71" i="20"/>
  <c r="T71" i="20"/>
  <c r="I71" i="20"/>
  <c r="H71" i="20"/>
  <c r="Q70" i="20" a="1"/>
  <c r="P70" i="20" a="1"/>
  <c r="R70" i="20"/>
  <c r="O70" i="20" a="1"/>
  <c r="N70" i="20" a="1"/>
  <c r="M70" i="20" a="1"/>
  <c r="S70" i="20"/>
  <c r="T70" i="20"/>
  <c r="I70" i="20"/>
  <c r="H70" i="20"/>
  <c r="Q69" i="20" a="1"/>
  <c r="P69" i="20" a="1"/>
  <c r="R69" i="20"/>
  <c r="O69" i="20" a="1"/>
  <c r="N69" i="20" a="1"/>
  <c r="M69" i="20" a="1"/>
  <c r="S69" i="20"/>
  <c r="T69" i="20"/>
  <c r="I69" i="20"/>
  <c r="H69" i="20"/>
  <c r="I68" i="20"/>
  <c r="H68" i="20"/>
  <c r="I67" i="20"/>
  <c r="H67" i="20"/>
  <c r="I66" i="20"/>
  <c r="H66" i="20"/>
  <c r="Q65" i="20" a="1"/>
  <c r="P65" i="20" a="1"/>
  <c r="R65" i="20"/>
  <c r="O65" i="20" a="1"/>
  <c r="N65" i="20" a="1"/>
  <c r="M65" i="20" a="1"/>
  <c r="S65" i="20"/>
  <c r="T65" i="20"/>
  <c r="I65" i="20"/>
  <c r="H65" i="20"/>
  <c r="Q64" i="20" a="1"/>
  <c r="P64" i="20" a="1"/>
  <c r="R64" i="20"/>
  <c r="O64" i="20" a="1"/>
  <c r="N64" i="20" a="1"/>
  <c r="M64" i="20" a="1"/>
  <c r="S64" i="20"/>
  <c r="T64" i="20"/>
  <c r="I64" i="20"/>
  <c r="H64" i="20"/>
  <c r="Q63" i="20" a="1"/>
  <c r="P63" i="20" a="1"/>
  <c r="R63" i="20"/>
  <c r="O63" i="20" a="1"/>
  <c r="N63" i="20" a="1"/>
  <c r="M63" i="20" a="1"/>
  <c r="S63" i="20"/>
  <c r="T63" i="20"/>
  <c r="I63" i="20"/>
  <c r="H63" i="20"/>
  <c r="Q62" i="20" a="1"/>
  <c r="P62" i="20" a="1"/>
  <c r="R62" i="20"/>
  <c r="O62" i="20" a="1"/>
  <c r="N62" i="20" a="1"/>
  <c r="M62" i="20" a="1"/>
  <c r="S62" i="20"/>
  <c r="T62" i="20"/>
  <c r="I62" i="20"/>
  <c r="H62" i="20"/>
  <c r="I61" i="20"/>
  <c r="H61" i="20"/>
  <c r="I60" i="20"/>
  <c r="H60" i="20"/>
  <c r="I59" i="20"/>
  <c r="H59" i="20"/>
  <c r="Q58" i="20" a="1"/>
  <c r="P58" i="20" a="1"/>
  <c r="R58" i="20"/>
  <c r="O58" i="20" a="1"/>
  <c r="N58" i="20" a="1"/>
  <c r="M58" i="20" a="1"/>
  <c r="S58" i="20"/>
  <c r="T58" i="20"/>
  <c r="H58" i="20"/>
  <c r="Q57" i="20" a="1"/>
  <c r="P57" i="20" a="1"/>
  <c r="R57" i="20"/>
  <c r="O57" i="20" a="1"/>
  <c r="N57" i="20" a="1"/>
  <c r="M57" i="20" a="1"/>
  <c r="S57" i="20"/>
  <c r="T57" i="20"/>
  <c r="I57" i="20"/>
  <c r="H57" i="20"/>
  <c r="Q56" i="20" a="1"/>
  <c r="P56" i="20" a="1"/>
  <c r="R56" i="20"/>
  <c r="O56" i="20" a="1"/>
  <c r="N56" i="20" a="1"/>
  <c r="M56" i="20" a="1"/>
  <c r="S56" i="20"/>
  <c r="T56" i="20"/>
  <c r="I56" i="20"/>
  <c r="H56" i="20"/>
  <c r="Q55" i="20" a="1"/>
  <c r="P55" i="20" a="1"/>
  <c r="R55" i="20"/>
  <c r="O55" i="20" a="1"/>
  <c r="N55" i="20" a="1"/>
  <c r="M55" i="20" a="1"/>
  <c r="S55" i="20"/>
  <c r="T55" i="20"/>
  <c r="I55" i="20"/>
  <c r="H55" i="20"/>
  <c r="I54" i="20"/>
  <c r="H54" i="20"/>
  <c r="H53" i="20"/>
  <c r="H52" i="20"/>
  <c r="Q51" i="20" a="1"/>
  <c r="P51" i="20" a="1"/>
  <c r="R51" i="20"/>
  <c r="O51" i="20" a="1"/>
  <c r="N51" i="20" a="1"/>
  <c r="M51" i="20" a="1"/>
  <c r="S51" i="20"/>
  <c r="T51" i="20"/>
  <c r="I51" i="20"/>
  <c r="H51" i="20"/>
  <c r="Q50" i="20" a="1"/>
  <c r="P50" i="20" a="1"/>
  <c r="R50" i="20"/>
  <c r="O50" i="20" a="1"/>
  <c r="N50" i="20" a="1"/>
  <c r="M50" i="20" a="1"/>
  <c r="S50" i="20"/>
  <c r="T50" i="20"/>
  <c r="I50" i="20"/>
  <c r="H50" i="20"/>
  <c r="Q49" i="20" a="1"/>
  <c r="P49" i="20" a="1"/>
  <c r="R49" i="20"/>
  <c r="O49" i="20" a="1"/>
  <c r="N49" i="20" a="1"/>
  <c r="M49" i="20" a="1"/>
  <c r="S49" i="20"/>
  <c r="T49" i="20"/>
  <c r="I49" i="20"/>
  <c r="H49" i="20"/>
  <c r="Q48" i="20" a="1"/>
  <c r="P48" i="20" a="1"/>
  <c r="R48" i="20"/>
  <c r="O48" i="20" a="1"/>
  <c r="N48" i="20" a="1"/>
  <c r="M48" i="20" a="1"/>
  <c r="S48" i="20"/>
  <c r="T48" i="20"/>
  <c r="I48" i="20"/>
  <c r="H48" i="20"/>
  <c r="H47" i="20"/>
  <c r="H46" i="20"/>
  <c r="H45" i="20"/>
  <c r="Q44" i="20" a="1"/>
  <c r="P44" i="20" a="1"/>
  <c r="R44" i="20"/>
  <c r="O44" i="20" a="1"/>
  <c r="N44" i="20" a="1"/>
  <c r="M44" i="20" a="1"/>
  <c r="S44" i="20"/>
  <c r="T44" i="20"/>
  <c r="I44" i="20"/>
  <c r="H44" i="20"/>
  <c r="Q43" i="20" a="1"/>
  <c r="P43" i="20" a="1"/>
  <c r="R43" i="20"/>
  <c r="O43" i="20" a="1"/>
  <c r="N43" i="20" a="1"/>
  <c r="M43" i="20" a="1"/>
  <c r="S43" i="20"/>
  <c r="T43" i="20"/>
  <c r="I43" i="20"/>
  <c r="H43" i="20"/>
  <c r="Q42" i="20" a="1"/>
  <c r="P42" i="20" a="1"/>
  <c r="R42" i="20"/>
  <c r="O42" i="20" a="1"/>
  <c r="N42" i="20" a="1"/>
  <c r="M42" i="20" a="1"/>
  <c r="S42" i="20"/>
  <c r="T42" i="20"/>
  <c r="I42" i="20"/>
  <c r="H42" i="20"/>
  <c r="Q41" i="20" a="1"/>
  <c r="P41" i="20" a="1"/>
  <c r="R41" i="20"/>
  <c r="O41" i="20" a="1"/>
  <c r="N41" i="20" a="1"/>
  <c r="M41" i="20" a="1"/>
  <c r="S41" i="20"/>
  <c r="T41" i="20"/>
  <c r="I41" i="20"/>
  <c r="H41" i="20"/>
  <c r="H40" i="20"/>
  <c r="I39" i="20"/>
  <c r="H39" i="20"/>
  <c r="I38" i="20"/>
  <c r="H38" i="20"/>
  <c r="Q37" i="20" a="1"/>
  <c r="P37" i="20" a="1"/>
  <c r="R37" i="20"/>
  <c r="O37" i="20" a="1"/>
  <c r="N37" i="20" a="1"/>
  <c r="M37" i="20" a="1"/>
  <c r="S37" i="20"/>
  <c r="T37" i="20"/>
  <c r="I37" i="20"/>
  <c r="H37" i="20"/>
  <c r="Q36" i="20" a="1"/>
  <c r="P36" i="20" a="1"/>
  <c r="R36" i="20"/>
  <c r="O36" i="20" a="1"/>
  <c r="N36" i="20" a="1"/>
  <c r="M36" i="20" a="1"/>
  <c r="S36" i="20"/>
  <c r="T36" i="20"/>
  <c r="I36" i="20"/>
  <c r="H36" i="20"/>
  <c r="Q35" i="20" a="1"/>
  <c r="P35" i="20" a="1"/>
  <c r="R35" i="20"/>
  <c r="O35" i="20" a="1"/>
  <c r="N35" i="20" a="1"/>
  <c r="M35" i="20" a="1"/>
  <c r="S35" i="20"/>
  <c r="T35" i="20"/>
  <c r="H35" i="20"/>
  <c r="Q34" i="20" a="1"/>
  <c r="P34" i="20" a="1"/>
  <c r="R34" i="20"/>
  <c r="O34" i="20" a="1"/>
  <c r="N34" i="20" a="1"/>
  <c r="M34" i="20" a="1"/>
  <c r="S34" i="20"/>
  <c r="T34" i="20"/>
  <c r="H34" i="20"/>
  <c r="I33" i="20"/>
  <c r="H33" i="20"/>
  <c r="I32" i="20"/>
  <c r="H32" i="20"/>
  <c r="I31" i="20"/>
  <c r="H31" i="20"/>
  <c r="Q30" i="20" a="1"/>
  <c r="P30" i="20" a="1"/>
  <c r="R30" i="20"/>
  <c r="O30" i="20" a="1"/>
  <c r="N30" i="20" a="1"/>
  <c r="M30" i="20" a="1"/>
  <c r="S30" i="20"/>
  <c r="T30" i="20"/>
  <c r="I30" i="20"/>
  <c r="H30" i="20"/>
  <c r="Q29" i="20" a="1"/>
  <c r="P29" i="20" a="1"/>
  <c r="R29" i="20"/>
  <c r="O29" i="20" a="1"/>
  <c r="N29" i="20" a="1"/>
  <c r="M29" i="20" a="1"/>
  <c r="S29" i="20"/>
  <c r="T29" i="20"/>
  <c r="H29" i="20"/>
  <c r="Q28" i="20" a="1"/>
  <c r="P28" i="20" a="1"/>
  <c r="R28" i="20"/>
  <c r="O28" i="20" a="1"/>
  <c r="N28" i="20" a="1"/>
  <c r="M28" i="20" a="1"/>
  <c r="S28" i="20"/>
  <c r="T28" i="20"/>
  <c r="H28" i="20"/>
  <c r="Q27" i="20" a="1"/>
  <c r="P27" i="20" a="1"/>
  <c r="R27" i="20"/>
  <c r="O27" i="20" a="1"/>
  <c r="N27" i="20" a="1"/>
  <c r="M27" i="20" a="1"/>
  <c r="S27" i="20"/>
  <c r="T27" i="20"/>
  <c r="I27" i="20"/>
  <c r="H27" i="20"/>
  <c r="I26" i="20"/>
  <c r="H26" i="20"/>
  <c r="I25" i="20"/>
  <c r="H25" i="20"/>
  <c r="I24" i="20"/>
  <c r="H24" i="20"/>
  <c r="Q23" i="20" a="1"/>
  <c r="P23" i="20" a="1"/>
  <c r="R23" i="20"/>
  <c r="O23" i="20" a="1"/>
  <c r="N23" i="20" a="1"/>
  <c r="M23" i="20" a="1"/>
  <c r="S23" i="20"/>
  <c r="T23" i="20"/>
  <c r="H23" i="20"/>
  <c r="Q22" i="20" a="1"/>
  <c r="P22" i="20" a="1"/>
  <c r="R22" i="20"/>
  <c r="O22" i="20" a="1"/>
  <c r="N22" i="20" a="1"/>
  <c r="M22" i="20" a="1"/>
  <c r="S22" i="20"/>
  <c r="T22" i="20"/>
  <c r="H22" i="20"/>
  <c r="Q21" i="20" a="1"/>
  <c r="P21" i="20" a="1"/>
  <c r="R21" i="20"/>
  <c r="O21" i="20" a="1"/>
  <c r="N21" i="20" a="1"/>
  <c r="M21" i="20" a="1"/>
  <c r="S21" i="20"/>
  <c r="T21" i="20"/>
  <c r="I21" i="20"/>
  <c r="H21" i="20"/>
  <c r="Q20" i="20" a="1"/>
  <c r="P20" i="20" a="1"/>
  <c r="R20" i="20"/>
  <c r="O20" i="20" a="1"/>
  <c r="N20" i="20" a="1"/>
  <c r="M20" i="20" a="1"/>
  <c r="S20" i="20"/>
  <c r="T20" i="20"/>
  <c r="I20" i="20"/>
  <c r="H20" i="20"/>
  <c r="I19" i="20"/>
  <c r="H19" i="20"/>
  <c r="I18" i="20"/>
  <c r="H18" i="20"/>
  <c r="H17" i="20"/>
  <c r="Q16" i="20" a="1"/>
  <c r="P16" i="20" a="1"/>
  <c r="R16" i="20"/>
  <c r="O16" i="20" a="1"/>
  <c r="N16" i="20" a="1"/>
  <c r="M16" i="20" a="1"/>
  <c r="S16" i="20"/>
  <c r="T16" i="20"/>
  <c r="H16" i="20"/>
  <c r="AA15" i="20" a="1"/>
  <c r="Z15" i="20" a="1"/>
  <c r="Y15" i="20" a="1"/>
  <c r="X15" i="20" a="1"/>
  <c r="Q15" i="20" a="1"/>
  <c r="P15" i="20" a="1"/>
  <c r="R15" i="20"/>
  <c r="O15" i="20" a="1"/>
  <c r="N15" i="20" a="1"/>
  <c r="M15" i="20" a="1"/>
  <c r="S15" i="20"/>
  <c r="T15" i="20"/>
  <c r="I15" i="20"/>
  <c r="H15" i="20"/>
  <c r="AA14" i="20" a="1"/>
  <c r="Z14" i="20" a="1"/>
  <c r="Y14" i="20" a="1"/>
  <c r="X14" i="20" a="1"/>
  <c r="Q14" i="20" a="1"/>
  <c r="P14" i="20" a="1"/>
  <c r="R14" i="20"/>
  <c r="O14" i="20" a="1"/>
  <c r="N14" i="20" a="1"/>
  <c r="M14" i="20" a="1"/>
  <c r="S14" i="20"/>
  <c r="T14" i="20"/>
  <c r="I14" i="20"/>
  <c r="H14" i="20"/>
  <c r="AA13" i="20" a="1"/>
  <c r="Z13" i="20" a="1"/>
  <c r="Y13" i="20" a="1"/>
  <c r="X13" i="20" a="1"/>
  <c r="Q13" i="20" a="1"/>
  <c r="P13" i="20" a="1"/>
  <c r="R13" i="20"/>
  <c r="O13" i="20" a="1"/>
  <c r="N13" i="20" a="1"/>
  <c r="M13" i="20" a="1"/>
  <c r="S13" i="20"/>
  <c r="T13" i="20"/>
  <c r="I13" i="20"/>
  <c r="H13" i="20"/>
  <c r="AA12" i="20" a="1"/>
  <c r="Z12" i="20" a="1"/>
  <c r="Y12" i="20" a="1"/>
  <c r="X12" i="20" a="1"/>
  <c r="I12" i="20"/>
  <c r="H12" i="20"/>
  <c r="AA11" i="20" a="1"/>
  <c r="Z11" i="20" a="1"/>
  <c r="Y11" i="20" a="1"/>
  <c r="X11" i="20" a="1"/>
  <c r="H11" i="20"/>
  <c r="AA10" i="20" a="1"/>
  <c r="Z10" i="20" a="1"/>
  <c r="Y10" i="20" a="1"/>
  <c r="X10" i="20" a="1"/>
  <c r="H10" i="20"/>
  <c r="AA9" i="20" a="1"/>
  <c r="Z9" i="20" a="1"/>
  <c r="Y9" i="20" a="1"/>
  <c r="X9" i="20" a="1"/>
  <c r="Q9" i="20" a="1"/>
  <c r="P9" i="20" a="1"/>
  <c r="R9" i="20"/>
  <c r="O9" i="20" a="1"/>
  <c r="N9" i="20" a="1"/>
  <c r="M9" i="20" a="1"/>
  <c r="S9" i="20"/>
  <c r="T9" i="20"/>
  <c r="I9" i="20"/>
  <c r="H9" i="20"/>
  <c r="AA8" i="20" a="1"/>
  <c r="Z8" i="20" a="1"/>
  <c r="Y8" i="20" a="1"/>
  <c r="X8" i="20" a="1"/>
  <c r="Q8" i="20" a="1"/>
  <c r="P8" i="20" a="1"/>
  <c r="R8" i="20"/>
  <c r="O8" i="20" a="1"/>
  <c r="N8" i="20" a="1"/>
  <c r="M8" i="20" a="1"/>
  <c r="S8" i="20"/>
  <c r="T8" i="20"/>
  <c r="I8" i="20"/>
  <c r="H8" i="20"/>
  <c r="AA7" i="20" a="1"/>
  <c r="Z7" i="20" a="1"/>
  <c r="Y7" i="20" a="1"/>
  <c r="X7" i="20" a="1"/>
  <c r="Q7" i="20" a="1"/>
  <c r="P7" i="20" a="1"/>
  <c r="R7" i="20"/>
  <c r="O7" i="20" a="1"/>
  <c r="N7" i="20" a="1"/>
  <c r="M7" i="20" a="1"/>
  <c r="S7" i="20"/>
  <c r="T7" i="20"/>
  <c r="I7" i="20"/>
  <c r="H7" i="20"/>
  <c r="AA6" i="20" a="1"/>
  <c r="Z6" i="20" a="1"/>
  <c r="Y6" i="20" a="1"/>
  <c r="X6" i="20" a="1"/>
  <c r="Q6" i="20" a="1"/>
  <c r="P6" i="20" a="1"/>
  <c r="R6" i="20"/>
  <c r="O6" i="20" a="1"/>
  <c r="N6" i="20" a="1"/>
  <c r="M6" i="20" a="1"/>
  <c r="S6" i="20"/>
  <c r="T6" i="20"/>
  <c r="I6" i="20"/>
  <c r="H6" i="20"/>
  <c r="AA5" i="20" a="1"/>
  <c r="Z5" i="20" a="1"/>
  <c r="Y5" i="20" a="1"/>
  <c r="X5" i="20" a="1"/>
  <c r="I5" i="20"/>
  <c r="H5" i="20"/>
  <c r="AA4" i="20"/>
  <c r="AB4" i="20"/>
  <c r="Z4" i="20" a="1"/>
  <c r="Y4" i="20" a="1"/>
  <c r="X4" i="20" a="1"/>
  <c r="I4" i="20"/>
  <c r="H4" i="20"/>
  <c r="D114" i="19"/>
  <c r="D113" i="19"/>
  <c r="I107" i="19"/>
  <c r="H107" i="19"/>
  <c r="E107" i="19"/>
  <c r="D107" i="19"/>
  <c r="I106" i="19"/>
  <c r="H106" i="19"/>
  <c r="E106" i="19"/>
  <c r="D106" i="19"/>
  <c r="I105" i="19"/>
  <c r="H105" i="19"/>
  <c r="E105" i="19"/>
  <c r="D105" i="19"/>
  <c r="I104" i="19"/>
  <c r="H104" i="19"/>
  <c r="E104" i="19"/>
  <c r="D104" i="19"/>
  <c r="I103" i="19"/>
  <c r="H103" i="19"/>
  <c r="E103" i="19"/>
  <c r="D103" i="19"/>
  <c r="I102" i="19"/>
  <c r="H102" i="19"/>
  <c r="E102" i="19"/>
  <c r="D102" i="19"/>
  <c r="I101" i="19"/>
  <c r="H101" i="19"/>
  <c r="E101" i="19"/>
  <c r="D101" i="19"/>
  <c r="I100" i="19"/>
  <c r="H100" i="19"/>
  <c r="E100" i="19"/>
  <c r="D100" i="19"/>
  <c r="I99" i="19"/>
  <c r="H99" i="19"/>
  <c r="E99" i="19"/>
  <c r="D99" i="19"/>
  <c r="I98" i="19"/>
  <c r="H98" i="19"/>
  <c r="E98" i="19"/>
  <c r="D98" i="19"/>
  <c r="I97" i="19"/>
  <c r="H97" i="19"/>
  <c r="E97" i="19"/>
  <c r="D97" i="19"/>
  <c r="I96" i="19"/>
  <c r="H96" i="19"/>
  <c r="E96" i="19"/>
  <c r="D96" i="19"/>
  <c r="I95" i="19"/>
  <c r="H95" i="19"/>
  <c r="E95" i="19"/>
  <c r="D95" i="19"/>
  <c r="I94" i="19"/>
  <c r="H94" i="19"/>
  <c r="E94" i="19"/>
  <c r="D94" i="19"/>
  <c r="I93" i="19"/>
  <c r="H93" i="19"/>
  <c r="E93" i="19"/>
  <c r="D93" i="19"/>
  <c r="I92" i="19"/>
  <c r="H92" i="19"/>
  <c r="E92" i="19"/>
  <c r="D92" i="19"/>
  <c r="I91" i="19"/>
  <c r="H91" i="19"/>
  <c r="I90" i="19"/>
  <c r="H90" i="19"/>
  <c r="I89" i="19"/>
  <c r="H89" i="19"/>
  <c r="I88" i="19"/>
  <c r="H88" i="19"/>
  <c r="I87" i="19"/>
  <c r="H87" i="19"/>
  <c r="Q86" i="19" a="1"/>
  <c r="P86" i="19" a="1"/>
  <c r="R86" i="19"/>
  <c r="O86" i="19" a="1"/>
  <c r="N86" i="19" a="1"/>
  <c r="M86" i="19" a="1"/>
  <c r="S86" i="19"/>
  <c r="T86" i="19"/>
  <c r="I86" i="19"/>
  <c r="H86" i="19"/>
  <c r="Q85" i="19" a="1"/>
  <c r="P85" i="19" a="1"/>
  <c r="R85" i="19"/>
  <c r="O85" i="19" a="1"/>
  <c r="N85" i="19" a="1"/>
  <c r="M85" i="19" a="1"/>
  <c r="S85" i="19"/>
  <c r="T85" i="19"/>
  <c r="I85" i="19"/>
  <c r="H85" i="19"/>
  <c r="Q84" i="19" a="1"/>
  <c r="P84" i="19" a="1"/>
  <c r="R84" i="19"/>
  <c r="O84" i="19" a="1"/>
  <c r="N84" i="19" a="1"/>
  <c r="M84" i="19" a="1"/>
  <c r="S84" i="19"/>
  <c r="T84" i="19"/>
  <c r="I84" i="19"/>
  <c r="H84" i="19"/>
  <c r="Q83" i="19" a="1"/>
  <c r="P83" i="19" a="1"/>
  <c r="R83" i="19"/>
  <c r="O83" i="19" a="1"/>
  <c r="N83" i="19" a="1"/>
  <c r="M83" i="19" a="1"/>
  <c r="S83" i="19"/>
  <c r="T83" i="19"/>
  <c r="I83" i="19"/>
  <c r="H83" i="19"/>
  <c r="I82" i="19"/>
  <c r="H82" i="19"/>
  <c r="I81" i="19"/>
  <c r="H81" i="19"/>
  <c r="I80" i="19"/>
  <c r="H80" i="19"/>
  <c r="Q79" i="19" a="1"/>
  <c r="P79" i="19" a="1"/>
  <c r="R79" i="19"/>
  <c r="O79" i="19" a="1"/>
  <c r="N79" i="19" a="1"/>
  <c r="M79" i="19" a="1"/>
  <c r="S79" i="19"/>
  <c r="T79" i="19"/>
  <c r="I79" i="19"/>
  <c r="H79" i="19"/>
  <c r="Q78" i="19" a="1"/>
  <c r="P78" i="19" a="1"/>
  <c r="R78" i="19"/>
  <c r="O78" i="19" a="1"/>
  <c r="N78" i="19" a="1"/>
  <c r="M78" i="19" a="1"/>
  <c r="S78" i="19"/>
  <c r="T78" i="19"/>
  <c r="I78" i="19"/>
  <c r="H78" i="19"/>
  <c r="Q77" i="19" a="1"/>
  <c r="P77" i="19" a="1"/>
  <c r="R77" i="19"/>
  <c r="O77" i="19" a="1"/>
  <c r="N77" i="19" a="1"/>
  <c r="M77" i="19" a="1"/>
  <c r="S77" i="19"/>
  <c r="T77" i="19"/>
  <c r="I77" i="19"/>
  <c r="H77" i="19"/>
  <c r="Q76" i="19" a="1"/>
  <c r="P76" i="19" a="1"/>
  <c r="R76" i="19"/>
  <c r="O76" i="19" a="1"/>
  <c r="N76" i="19" a="1"/>
  <c r="M76" i="19" a="1"/>
  <c r="S76" i="19"/>
  <c r="T76" i="19"/>
  <c r="I76" i="19"/>
  <c r="H76" i="19"/>
  <c r="I75" i="19"/>
  <c r="H75" i="19"/>
  <c r="I74" i="19"/>
  <c r="H74" i="19"/>
  <c r="I73" i="19"/>
  <c r="H73" i="19"/>
  <c r="Q72" i="19" a="1"/>
  <c r="P72" i="19" a="1"/>
  <c r="R72" i="19"/>
  <c r="O72" i="19" a="1"/>
  <c r="N72" i="19" a="1"/>
  <c r="M72" i="19" a="1"/>
  <c r="S72" i="19"/>
  <c r="T72" i="19"/>
  <c r="I72" i="19"/>
  <c r="H72" i="19"/>
  <c r="Q71" i="19" a="1"/>
  <c r="P71" i="19" a="1"/>
  <c r="R71" i="19"/>
  <c r="O71" i="19" a="1"/>
  <c r="N71" i="19" a="1"/>
  <c r="M71" i="19" a="1"/>
  <c r="S71" i="19"/>
  <c r="T71" i="19"/>
  <c r="I71" i="19"/>
  <c r="H71" i="19"/>
  <c r="Q70" i="19" a="1"/>
  <c r="P70" i="19" a="1"/>
  <c r="R70" i="19"/>
  <c r="O70" i="19" a="1"/>
  <c r="N70" i="19" a="1"/>
  <c r="M70" i="19" a="1"/>
  <c r="S70" i="19"/>
  <c r="T70" i="19"/>
  <c r="I70" i="19"/>
  <c r="H70" i="19"/>
  <c r="Q69" i="19" a="1"/>
  <c r="P69" i="19" a="1"/>
  <c r="R69" i="19"/>
  <c r="O69" i="19" a="1"/>
  <c r="N69" i="19" a="1"/>
  <c r="M69" i="19" a="1"/>
  <c r="S69" i="19"/>
  <c r="T69" i="19"/>
  <c r="I69" i="19"/>
  <c r="H69" i="19"/>
  <c r="I68" i="19"/>
  <c r="H68" i="19"/>
  <c r="I67" i="19"/>
  <c r="H67" i="19"/>
  <c r="I66" i="19"/>
  <c r="H66" i="19"/>
  <c r="Q65" i="19" a="1"/>
  <c r="P65" i="19" a="1"/>
  <c r="R65" i="19"/>
  <c r="O65" i="19" a="1"/>
  <c r="N65" i="19" a="1"/>
  <c r="M65" i="19" a="1"/>
  <c r="S65" i="19"/>
  <c r="T65" i="19"/>
  <c r="I65" i="19"/>
  <c r="H65" i="19"/>
  <c r="Q64" i="19" a="1"/>
  <c r="P64" i="19" a="1"/>
  <c r="R64" i="19"/>
  <c r="O64" i="19" a="1"/>
  <c r="N64" i="19" a="1"/>
  <c r="M64" i="19" a="1"/>
  <c r="S64" i="19"/>
  <c r="T64" i="19"/>
  <c r="I64" i="19"/>
  <c r="H64" i="19"/>
  <c r="Q63" i="19" a="1"/>
  <c r="P63" i="19" a="1"/>
  <c r="R63" i="19"/>
  <c r="O63" i="19" a="1"/>
  <c r="N63" i="19" a="1"/>
  <c r="M63" i="19" a="1"/>
  <c r="S63" i="19"/>
  <c r="T63" i="19"/>
  <c r="I63" i="19"/>
  <c r="H63" i="19"/>
  <c r="Q62" i="19" a="1"/>
  <c r="P62" i="19" a="1"/>
  <c r="R62" i="19"/>
  <c r="O62" i="19" a="1"/>
  <c r="N62" i="19" a="1"/>
  <c r="M62" i="19" a="1"/>
  <c r="S62" i="19"/>
  <c r="T62" i="19"/>
  <c r="I62" i="19"/>
  <c r="H62" i="19"/>
  <c r="I61" i="19"/>
  <c r="H61" i="19"/>
  <c r="I60" i="19"/>
  <c r="H60" i="19"/>
  <c r="I59" i="19"/>
  <c r="H59" i="19"/>
  <c r="Q58" i="19" a="1"/>
  <c r="P58" i="19" a="1"/>
  <c r="R58" i="19"/>
  <c r="O58" i="19" a="1"/>
  <c r="N58" i="19" a="1"/>
  <c r="M58" i="19" a="1"/>
  <c r="S58" i="19"/>
  <c r="T58" i="19"/>
  <c r="I58" i="19"/>
  <c r="H58" i="19"/>
  <c r="Q57" i="19" a="1"/>
  <c r="P57" i="19" a="1"/>
  <c r="R57" i="19"/>
  <c r="O57" i="19" a="1"/>
  <c r="N57" i="19" a="1"/>
  <c r="M57" i="19" a="1"/>
  <c r="S57" i="19"/>
  <c r="T57" i="19"/>
  <c r="I57" i="19"/>
  <c r="H57" i="19"/>
  <c r="Q56" i="19" a="1"/>
  <c r="P56" i="19" a="1"/>
  <c r="R56" i="19"/>
  <c r="O56" i="19" a="1"/>
  <c r="N56" i="19" a="1"/>
  <c r="M56" i="19" a="1"/>
  <c r="S56" i="19"/>
  <c r="T56" i="19"/>
  <c r="I56" i="19"/>
  <c r="H56" i="19"/>
  <c r="Q55" i="19" a="1"/>
  <c r="P55" i="19" a="1"/>
  <c r="R55" i="19"/>
  <c r="O55" i="19" a="1"/>
  <c r="N55" i="19" a="1"/>
  <c r="M55" i="19" a="1"/>
  <c r="S55" i="19"/>
  <c r="T55" i="19"/>
  <c r="I55" i="19"/>
  <c r="H55" i="19"/>
  <c r="I54" i="19"/>
  <c r="H54" i="19"/>
  <c r="I53" i="19"/>
  <c r="H53" i="19"/>
  <c r="I52" i="19"/>
  <c r="H52" i="19"/>
  <c r="Q51" i="19" a="1"/>
  <c r="P51" i="19" a="1"/>
  <c r="R51" i="19"/>
  <c r="O51" i="19" a="1"/>
  <c r="N51" i="19" a="1"/>
  <c r="M51" i="19" a="1"/>
  <c r="S51" i="19"/>
  <c r="T51" i="19"/>
  <c r="I51" i="19"/>
  <c r="H51" i="19"/>
  <c r="Q50" i="19" a="1"/>
  <c r="P50" i="19" a="1"/>
  <c r="R50" i="19"/>
  <c r="O50" i="19" a="1"/>
  <c r="N50" i="19" a="1"/>
  <c r="M50" i="19" a="1"/>
  <c r="S50" i="19"/>
  <c r="T50" i="19"/>
  <c r="I50" i="19"/>
  <c r="H50" i="19"/>
  <c r="Q49" i="19" a="1"/>
  <c r="P49" i="19" a="1"/>
  <c r="R49" i="19"/>
  <c r="O49" i="19" a="1"/>
  <c r="N49" i="19" a="1"/>
  <c r="M49" i="19" a="1"/>
  <c r="S49" i="19"/>
  <c r="T49" i="19"/>
  <c r="I49" i="19"/>
  <c r="H49" i="19"/>
  <c r="Q48" i="19" a="1"/>
  <c r="P48" i="19" a="1"/>
  <c r="R48" i="19"/>
  <c r="O48" i="19" a="1"/>
  <c r="N48" i="19" a="1"/>
  <c r="M48" i="19" a="1"/>
  <c r="S48" i="19"/>
  <c r="T48" i="19"/>
  <c r="I48" i="19"/>
  <c r="H48" i="19"/>
  <c r="I47" i="19"/>
  <c r="H47" i="19"/>
  <c r="I46" i="19"/>
  <c r="H46" i="19"/>
  <c r="I45" i="19"/>
  <c r="H45" i="19"/>
  <c r="Q44" i="19" a="1"/>
  <c r="P44" i="19" a="1"/>
  <c r="R44" i="19"/>
  <c r="O44" i="19" a="1"/>
  <c r="N44" i="19" a="1"/>
  <c r="M44" i="19" a="1"/>
  <c r="S44" i="19"/>
  <c r="T44" i="19"/>
  <c r="I44" i="19"/>
  <c r="H44" i="19"/>
  <c r="Q43" i="19" a="1"/>
  <c r="P43" i="19" a="1"/>
  <c r="R43" i="19"/>
  <c r="O43" i="19" a="1"/>
  <c r="N43" i="19" a="1"/>
  <c r="M43" i="19" a="1"/>
  <c r="S43" i="19"/>
  <c r="T43" i="19"/>
  <c r="I43" i="19"/>
  <c r="H43" i="19"/>
  <c r="Q42" i="19" a="1"/>
  <c r="P42" i="19" a="1"/>
  <c r="R42" i="19"/>
  <c r="O42" i="19" a="1"/>
  <c r="N42" i="19" a="1"/>
  <c r="M42" i="19" a="1"/>
  <c r="S42" i="19"/>
  <c r="T42" i="19"/>
  <c r="I42" i="19"/>
  <c r="H42" i="19"/>
  <c r="Q41" i="19" a="1"/>
  <c r="P41" i="19" a="1"/>
  <c r="R41" i="19"/>
  <c r="O41" i="19" a="1"/>
  <c r="N41" i="19" a="1"/>
  <c r="M41" i="19" a="1"/>
  <c r="S41" i="19"/>
  <c r="T41" i="19"/>
  <c r="I41" i="19"/>
  <c r="H41" i="19"/>
  <c r="I40" i="19"/>
  <c r="H40" i="19"/>
  <c r="I39" i="19"/>
  <c r="H39" i="19"/>
  <c r="I38" i="19"/>
  <c r="H38" i="19"/>
  <c r="Q37" i="19" a="1"/>
  <c r="P37" i="19" a="1"/>
  <c r="R37" i="19"/>
  <c r="O37" i="19" a="1"/>
  <c r="N37" i="19" a="1"/>
  <c r="M37" i="19" a="1"/>
  <c r="S37" i="19"/>
  <c r="T37" i="19"/>
  <c r="I37" i="19"/>
  <c r="H37" i="19"/>
  <c r="Q36" i="19" a="1"/>
  <c r="P36" i="19" a="1"/>
  <c r="R36" i="19"/>
  <c r="O36" i="19" a="1"/>
  <c r="N36" i="19" a="1"/>
  <c r="M36" i="19" a="1"/>
  <c r="S36" i="19"/>
  <c r="T36" i="19"/>
  <c r="I36" i="19"/>
  <c r="H36" i="19"/>
  <c r="Q35" i="19" a="1"/>
  <c r="P35" i="19" a="1"/>
  <c r="R35" i="19"/>
  <c r="O35" i="19" a="1"/>
  <c r="N35" i="19" a="1"/>
  <c r="M35" i="19" a="1"/>
  <c r="S35" i="19"/>
  <c r="T35" i="19"/>
  <c r="I35" i="19"/>
  <c r="H35" i="19"/>
  <c r="Q34" i="19" a="1"/>
  <c r="P34" i="19" a="1"/>
  <c r="R34" i="19"/>
  <c r="O34" i="19" a="1"/>
  <c r="N34" i="19" a="1"/>
  <c r="M34" i="19" a="1"/>
  <c r="S34" i="19"/>
  <c r="T34" i="19"/>
  <c r="I34" i="19"/>
  <c r="H34" i="19"/>
  <c r="I33" i="19"/>
  <c r="H33" i="19"/>
  <c r="I32" i="19"/>
  <c r="H32" i="19"/>
  <c r="I31" i="19"/>
  <c r="H31" i="19"/>
  <c r="Q30" i="19" a="1"/>
  <c r="P30" i="19" a="1"/>
  <c r="R30" i="19"/>
  <c r="O30" i="19" a="1"/>
  <c r="N30" i="19" a="1"/>
  <c r="M30" i="19" a="1"/>
  <c r="S30" i="19"/>
  <c r="T30" i="19"/>
  <c r="I30" i="19"/>
  <c r="H30" i="19"/>
  <c r="Q29" i="19" a="1"/>
  <c r="P29" i="19" a="1"/>
  <c r="R29" i="19"/>
  <c r="O29" i="19" a="1"/>
  <c r="N29" i="19" a="1"/>
  <c r="M29" i="19" a="1"/>
  <c r="S29" i="19"/>
  <c r="T29" i="19"/>
  <c r="I29" i="19"/>
  <c r="H29" i="19"/>
  <c r="Q28" i="19" a="1"/>
  <c r="P28" i="19" a="1"/>
  <c r="R28" i="19"/>
  <c r="O28" i="19" a="1"/>
  <c r="N28" i="19" a="1"/>
  <c r="M28" i="19" a="1"/>
  <c r="S28" i="19"/>
  <c r="T28" i="19"/>
  <c r="I28" i="19"/>
  <c r="H28" i="19"/>
  <c r="Q27" i="19" a="1"/>
  <c r="P27" i="19" a="1"/>
  <c r="R27" i="19"/>
  <c r="O27" i="19" a="1"/>
  <c r="N27" i="19" a="1"/>
  <c r="M27" i="19" a="1"/>
  <c r="S27" i="19"/>
  <c r="T27" i="19"/>
  <c r="I27" i="19"/>
  <c r="H27" i="19"/>
  <c r="I26" i="19"/>
  <c r="H26" i="19"/>
  <c r="I25" i="19"/>
  <c r="H25" i="19"/>
  <c r="I24" i="19"/>
  <c r="H24" i="19"/>
  <c r="Q23" i="19" a="1"/>
  <c r="P23" i="19" a="1"/>
  <c r="R23" i="19"/>
  <c r="O23" i="19" a="1"/>
  <c r="N23" i="19" a="1"/>
  <c r="M23" i="19" a="1"/>
  <c r="S23" i="19"/>
  <c r="T23" i="19"/>
  <c r="I23" i="19"/>
  <c r="H23" i="19"/>
  <c r="Q22" i="19" a="1"/>
  <c r="P22" i="19" a="1"/>
  <c r="R22" i="19"/>
  <c r="O22" i="19" a="1"/>
  <c r="N22" i="19" a="1"/>
  <c r="M22" i="19" a="1"/>
  <c r="S22" i="19"/>
  <c r="T22" i="19"/>
  <c r="I22" i="19"/>
  <c r="H22" i="19"/>
  <c r="Q21" i="19" a="1"/>
  <c r="P21" i="19" a="1"/>
  <c r="R21" i="19"/>
  <c r="O21" i="19" a="1"/>
  <c r="N21" i="19" a="1"/>
  <c r="M21" i="19" a="1"/>
  <c r="S21" i="19"/>
  <c r="T21" i="19"/>
  <c r="I21" i="19"/>
  <c r="H21" i="19"/>
  <c r="Q20" i="19" a="1"/>
  <c r="P20" i="19" a="1"/>
  <c r="R20" i="19"/>
  <c r="O20" i="19" a="1"/>
  <c r="N20" i="19" a="1"/>
  <c r="M20" i="19" a="1"/>
  <c r="S20" i="19"/>
  <c r="T20" i="19"/>
  <c r="I20" i="19"/>
  <c r="H20" i="19"/>
  <c r="I19" i="19"/>
  <c r="H19" i="19"/>
  <c r="I18" i="19"/>
  <c r="H18" i="19"/>
  <c r="I17" i="19"/>
  <c r="H17" i="19"/>
  <c r="Q16" i="19" a="1"/>
  <c r="P16" i="19" a="1"/>
  <c r="R16" i="19"/>
  <c r="O16" i="19" a="1"/>
  <c r="N16" i="19" a="1"/>
  <c r="M16" i="19" a="1"/>
  <c r="S16" i="19"/>
  <c r="T16" i="19"/>
  <c r="I16" i="19"/>
  <c r="H16" i="19"/>
  <c r="AA15" i="19" a="1"/>
  <c r="M6" i="19" a="1"/>
  <c r="N6" i="19" a="1"/>
  <c r="S6" i="19"/>
  <c r="P6" i="19" a="1"/>
  <c r="Q6" i="19" a="1"/>
  <c r="R6" i="19"/>
  <c r="T6" i="19"/>
  <c r="M7" i="19" a="1"/>
  <c r="N7" i="19" a="1"/>
  <c r="S7" i="19"/>
  <c r="P7" i="19" a="1"/>
  <c r="Q7" i="19" a="1"/>
  <c r="R7" i="19"/>
  <c r="T7" i="19"/>
  <c r="M8" i="19" a="1"/>
  <c r="N8" i="19" a="1"/>
  <c r="S8" i="19"/>
  <c r="P8" i="19" a="1"/>
  <c r="Q8" i="19" a="1"/>
  <c r="R8" i="19"/>
  <c r="T8" i="19"/>
  <c r="M9" i="19" a="1"/>
  <c r="N9" i="19" a="1"/>
  <c r="S9" i="19"/>
  <c r="P9" i="19" a="1"/>
  <c r="Q9" i="19" a="1"/>
  <c r="R9" i="19"/>
  <c r="T9" i="19"/>
  <c r="AA4" i="19"/>
  <c r="M13" i="19" a="1"/>
  <c r="N13" i="19" a="1"/>
  <c r="S13" i="19"/>
  <c r="P13" i="19" a="1"/>
  <c r="Q13" i="19" a="1"/>
  <c r="R13" i="19"/>
  <c r="T13" i="19"/>
  <c r="M14" i="19" a="1"/>
  <c r="N14" i="19" a="1"/>
  <c r="S14" i="19"/>
  <c r="P14" i="19" a="1"/>
  <c r="Q14" i="19" a="1"/>
  <c r="R14" i="19"/>
  <c r="T14" i="19"/>
  <c r="M15" i="19" a="1"/>
  <c r="N15" i="19" a="1"/>
  <c r="S15" i="19"/>
  <c r="P15" i="19" a="1"/>
  <c r="Q15" i="19" a="1"/>
  <c r="R15" i="19"/>
  <c r="T15" i="19"/>
  <c r="AA5" i="19" a="1"/>
  <c r="AA6" i="19" a="1"/>
  <c r="AA14" i="19" a="1"/>
  <c r="AA13" i="19" a="1"/>
  <c r="AA12" i="19" a="1"/>
  <c r="AA11" i="19" a="1"/>
  <c r="AA10" i="19" a="1"/>
  <c r="AA9" i="19" a="1"/>
  <c r="AA8" i="19" a="1"/>
  <c r="AA7" i="19" a="1"/>
  <c r="AB15" i="19"/>
  <c r="Z15" i="19" a="1"/>
  <c r="Y15" i="19" a="1"/>
  <c r="X15" i="19" a="1"/>
  <c r="O15" i="19" a="1"/>
  <c r="I15" i="19"/>
  <c r="H15" i="19"/>
  <c r="AB14" i="19"/>
  <c r="Z14" i="19" a="1"/>
  <c r="Y14" i="19" a="1"/>
  <c r="X14" i="19" a="1"/>
  <c r="O14" i="19" a="1"/>
  <c r="I14" i="19"/>
  <c r="H14" i="19"/>
  <c r="AB13" i="19"/>
  <c r="Z13" i="19" a="1"/>
  <c r="Y13" i="19" a="1"/>
  <c r="X13" i="19" a="1"/>
  <c r="O13" i="19" a="1"/>
  <c r="I13" i="19"/>
  <c r="H13" i="19"/>
  <c r="AB12" i="19"/>
  <c r="Z12" i="19" a="1"/>
  <c r="Y12" i="19" a="1"/>
  <c r="X12" i="19" a="1"/>
  <c r="I12" i="19"/>
  <c r="H12" i="19"/>
  <c r="AB11" i="19"/>
  <c r="Z11" i="19" a="1"/>
  <c r="Y11" i="19" a="1"/>
  <c r="X11" i="19" a="1"/>
  <c r="I11" i="19"/>
  <c r="H11" i="19"/>
  <c r="AB10" i="19"/>
  <c r="Z10" i="19" a="1"/>
  <c r="Y10" i="19" a="1"/>
  <c r="X10" i="19" a="1"/>
  <c r="I10" i="19"/>
  <c r="H10" i="19"/>
  <c r="AB9" i="19"/>
  <c r="Z9" i="19" a="1"/>
  <c r="Y9" i="19" a="1"/>
  <c r="X9" i="19" a="1"/>
  <c r="O9" i="19" a="1"/>
  <c r="I9" i="19"/>
  <c r="H9" i="19"/>
  <c r="AB8" i="19"/>
  <c r="Z8" i="19" a="1"/>
  <c r="Y8" i="19" a="1"/>
  <c r="X8" i="19" a="1"/>
  <c r="O8" i="19" a="1"/>
  <c r="I8" i="19"/>
  <c r="H8" i="19"/>
  <c r="AB7" i="19"/>
  <c r="Z7" i="19" a="1"/>
  <c r="Y7" i="19" a="1"/>
  <c r="X7" i="19" a="1"/>
  <c r="O7" i="19" a="1"/>
  <c r="I7" i="19"/>
  <c r="H7" i="19"/>
  <c r="AB6" i="19"/>
  <c r="Z6" i="19" a="1"/>
  <c r="Y6" i="19" a="1"/>
  <c r="X6" i="19" a="1"/>
  <c r="O6" i="19" a="1"/>
  <c r="I6" i="19"/>
  <c r="H6" i="19"/>
  <c r="AB5" i="19"/>
  <c r="Z5" i="19" a="1"/>
  <c r="Y5" i="19" a="1"/>
  <c r="X5" i="19" a="1"/>
  <c r="I5" i="19"/>
  <c r="H5" i="19"/>
  <c r="AB4" i="19"/>
  <c r="Z4" i="19" a="1"/>
  <c r="Y4" i="19" a="1"/>
  <c r="X4" i="19" a="1"/>
  <c r="I4" i="19"/>
  <c r="H4" i="19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D101" i="13"/>
  <c r="E101" i="13"/>
  <c r="H101" i="13"/>
  <c r="D102" i="13"/>
  <c r="E102" i="13"/>
  <c r="H102" i="13"/>
  <c r="D103" i="13"/>
  <c r="E103" i="13"/>
  <c r="H103" i="13"/>
  <c r="D104" i="13"/>
  <c r="E104" i="13"/>
  <c r="H104" i="13"/>
  <c r="D105" i="13"/>
  <c r="E105" i="13"/>
  <c r="H105" i="13"/>
  <c r="D106" i="13"/>
  <c r="E106" i="13"/>
  <c r="H106" i="13"/>
  <c r="D107" i="13"/>
  <c r="E107" i="13"/>
  <c r="H107" i="13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7" i="14"/>
  <c r="H6" i="14"/>
  <c r="H5" i="14"/>
  <c r="H4" i="14"/>
  <c r="H4" i="17"/>
  <c r="H4" i="8"/>
  <c r="D114" i="18"/>
  <c r="D113" i="18"/>
  <c r="I107" i="18"/>
  <c r="H107" i="18"/>
  <c r="E107" i="18"/>
  <c r="D107" i="18"/>
  <c r="I106" i="18"/>
  <c r="H106" i="18"/>
  <c r="E106" i="18"/>
  <c r="D106" i="18"/>
  <c r="I105" i="18"/>
  <c r="H105" i="18"/>
  <c r="E105" i="18"/>
  <c r="D105" i="18"/>
  <c r="I104" i="18"/>
  <c r="H104" i="18"/>
  <c r="E104" i="18"/>
  <c r="D104" i="18"/>
  <c r="I103" i="18"/>
  <c r="H103" i="18"/>
  <c r="E103" i="18"/>
  <c r="D103" i="18"/>
  <c r="I102" i="18"/>
  <c r="H102" i="18"/>
  <c r="E102" i="18"/>
  <c r="D102" i="18"/>
  <c r="I101" i="18"/>
  <c r="H101" i="18"/>
  <c r="E101" i="18"/>
  <c r="D101" i="18"/>
  <c r="I100" i="18"/>
  <c r="H100" i="18"/>
  <c r="E100" i="18"/>
  <c r="D100" i="18"/>
  <c r="I99" i="18"/>
  <c r="H99" i="18"/>
  <c r="I98" i="18"/>
  <c r="H98" i="18"/>
  <c r="I97" i="18"/>
  <c r="H97" i="18"/>
  <c r="I96" i="18"/>
  <c r="H96" i="18"/>
  <c r="I95" i="18"/>
  <c r="H95" i="18"/>
  <c r="I94" i="18"/>
  <c r="H94" i="18"/>
  <c r="I93" i="18"/>
  <c r="H93" i="18"/>
  <c r="I92" i="18"/>
  <c r="H92" i="18"/>
  <c r="I91" i="18"/>
  <c r="H91" i="18"/>
  <c r="I90" i="18"/>
  <c r="H90" i="18"/>
  <c r="I89" i="18"/>
  <c r="H89" i="18"/>
  <c r="I88" i="18"/>
  <c r="H88" i="18"/>
  <c r="I87" i="18"/>
  <c r="H87" i="18"/>
  <c r="Q86" i="18" a="1"/>
  <c r="P86" i="18" a="1"/>
  <c r="R86" i="18"/>
  <c r="O86" i="18" a="1"/>
  <c r="N86" i="18" a="1"/>
  <c r="M86" i="18" a="1"/>
  <c r="S86" i="18"/>
  <c r="T86" i="18"/>
  <c r="I86" i="18"/>
  <c r="H86" i="18"/>
  <c r="Q85" i="18" a="1"/>
  <c r="P85" i="18" a="1"/>
  <c r="O85" i="18" a="1"/>
  <c r="N85" i="18" a="1"/>
  <c r="M85" i="18" a="1"/>
  <c r="S85" i="18"/>
  <c r="I85" i="18"/>
  <c r="H85" i="18"/>
  <c r="Q84" i="18" a="1"/>
  <c r="P84" i="18" a="1"/>
  <c r="O84" i="18" a="1"/>
  <c r="N84" i="18" a="1"/>
  <c r="M84" i="18" a="1"/>
  <c r="I84" i="18"/>
  <c r="H84" i="18"/>
  <c r="Q83" i="18" a="1"/>
  <c r="P83" i="18" a="1"/>
  <c r="R83" i="18"/>
  <c r="O83" i="18" a="1"/>
  <c r="N83" i="18" a="1"/>
  <c r="M83" i="18" a="1"/>
  <c r="I83" i="18"/>
  <c r="H83" i="18"/>
  <c r="I82" i="18"/>
  <c r="H82" i="18"/>
  <c r="I81" i="18"/>
  <c r="H81" i="18"/>
  <c r="I80" i="18"/>
  <c r="H80" i="18"/>
  <c r="Q79" i="18" a="1"/>
  <c r="P79" i="18" a="1"/>
  <c r="R79" i="18"/>
  <c r="O79" i="18" a="1"/>
  <c r="N79" i="18" a="1"/>
  <c r="M79" i="18" a="1"/>
  <c r="I79" i="18"/>
  <c r="H79" i="18"/>
  <c r="Q78" i="18" a="1"/>
  <c r="P78" i="18" a="1"/>
  <c r="R78" i="18"/>
  <c r="O78" i="18" a="1"/>
  <c r="N78" i="18" a="1"/>
  <c r="M78" i="18" a="1"/>
  <c r="S78" i="18"/>
  <c r="T78" i="18"/>
  <c r="I78" i="18"/>
  <c r="H78" i="18"/>
  <c r="Q77" i="18" a="1"/>
  <c r="P77" i="18" a="1"/>
  <c r="R77" i="18"/>
  <c r="O77" i="18" a="1"/>
  <c r="N77" i="18" a="1"/>
  <c r="M77" i="18" a="1"/>
  <c r="S77" i="18"/>
  <c r="T77" i="18"/>
  <c r="I77" i="18"/>
  <c r="H77" i="18"/>
  <c r="Q76" i="18" a="1"/>
  <c r="P76" i="18" a="1"/>
  <c r="O76" i="18" a="1"/>
  <c r="N76" i="18" a="1"/>
  <c r="M76" i="18" a="1"/>
  <c r="I76" i="18"/>
  <c r="H76" i="18"/>
  <c r="I75" i="18"/>
  <c r="H75" i="18"/>
  <c r="I74" i="18"/>
  <c r="H74" i="18"/>
  <c r="I73" i="18"/>
  <c r="H73" i="18"/>
  <c r="Q72" i="18" a="1"/>
  <c r="P72" i="18" a="1"/>
  <c r="O72" i="18" a="1"/>
  <c r="N72" i="18" a="1"/>
  <c r="M72" i="18" a="1"/>
  <c r="S72" i="18"/>
  <c r="I72" i="18"/>
  <c r="H72" i="18"/>
  <c r="Q71" i="18" a="1"/>
  <c r="P71" i="18" a="1"/>
  <c r="O71" i="18" a="1"/>
  <c r="N71" i="18" a="1"/>
  <c r="M71" i="18" a="1"/>
  <c r="I71" i="18"/>
  <c r="H71" i="18"/>
  <c r="Q70" i="18" a="1"/>
  <c r="P70" i="18" a="1"/>
  <c r="R70" i="18"/>
  <c r="O70" i="18" a="1"/>
  <c r="N70" i="18" a="1"/>
  <c r="M70" i="18" a="1"/>
  <c r="I70" i="18"/>
  <c r="H70" i="18"/>
  <c r="Q69" i="18" a="1"/>
  <c r="P69" i="18" a="1"/>
  <c r="R69" i="18"/>
  <c r="O69" i="18" a="1"/>
  <c r="N69" i="18" a="1"/>
  <c r="M69" i="18" a="1"/>
  <c r="I69" i="18"/>
  <c r="H69" i="18"/>
  <c r="I68" i="18"/>
  <c r="H68" i="18"/>
  <c r="I67" i="18"/>
  <c r="H67" i="18"/>
  <c r="I66" i="18"/>
  <c r="H66" i="18"/>
  <c r="Q65" i="18" a="1"/>
  <c r="P65" i="18" a="1"/>
  <c r="R65" i="18"/>
  <c r="O65" i="18" a="1"/>
  <c r="N65" i="18" a="1"/>
  <c r="M65" i="18" a="1"/>
  <c r="I65" i="18"/>
  <c r="H65" i="18"/>
  <c r="Q64" i="18" a="1"/>
  <c r="P64" i="18" a="1"/>
  <c r="R64" i="18"/>
  <c r="O64" i="18" a="1"/>
  <c r="N64" i="18" a="1"/>
  <c r="M64" i="18" a="1"/>
  <c r="S64" i="18"/>
  <c r="I64" i="18"/>
  <c r="H64" i="18"/>
  <c r="Q63" i="18" a="1"/>
  <c r="P63" i="18" a="1"/>
  <c r="R63" i="18"/>
  <c r="O63" i="18" a="1"/>
  <c r="N63" i="18" a="1"/>
  <c r="M63" i="18" a="1"/>
  <c r="I63" i="18"/>
  <c r="H63" i="18"/>
  <c r="Q62" i="18" a="1"/>
  <c r="P62" i="18" a="1"/>
  <c r="R62" i="18"/>
  <c r="O62" i="18" a="1"/>
  <c r="N62" i="18" a="1"/>
  <c r="M62" i="18" a="1"/>
  <c r="I62" i="18"/>
  <c r="H62" i="18"/>
  <c r="I61" i="18"/>
  <c r="H61" i="18"/>
  <c r="I60" i="18"/>
  <c r="H60" i="18"/>
  <c r="I59" i="18"/>
  <c r="H59" i="18"/>
  <c r="Q58" i="18" a="1"/>
  <c r="P58" i="18" a="1"/>
  <c r="R58" i="18"/>
  <c r="O58" i="18" a="1"/>
  <c r="N58" i="18" a="1"/>
  <c r="M58" i="18" a="1"/>
  <c r="S58" i="18"/>
  <c r="T58" i="18"/>
  <c r="I58" i="18"/>
  <c r="H58" i="18"/>
  <c r="Q57" i="18" a="1"/>
  <c r="P57" i="18" a="1"/>
  <c r="R57" i="18"/>
  <c r="O57" i="18" a="1"/>
  <c r="N57" i="18" a="1"/>
  <c r="M57" i="18" a="1"/>
  <c r="S57" i="18"/>
  <c r="T57" i="18"/>
  <c r="I57" i="18"/>
  <c r="H57" i="18"/>
  <c r="Q56" i="18" a="1"/>
  <c r="P56" i="18" a="1"/>
  <c r="O56" i="18" a="1"/>
  <c r="N56" i="18" a="1"/>
  <c r="M56" i="18" a="1"/>
  <c r="I56" i="18"/>
  <c r="H56" i="18"/>
  <c r="Q55" i="18" a="1"/>
  <c r="P55" i="18" a="1"/>
  <c r="R55" i="18"/>
  <c r="O55" i="18" a="1"/>
  <c r="N55" i="18" a="1"/>
  <c r="M55" i="18" a="1"/>
  <c r="S55" i="18"/>
  <c r="T55" i="18"/>
  <c r="I55" i="18"/>
  <c r="H55" i="18"/>
  <c r="I54" i="18"/>
  <c r="H54" i="18"/>
  <c r="I53" i="18"/>
  <c r="H53" i="18"/>
  <c r="I52" i="18"/>
  <c r="H52" i="18"/>
  <c r="Q51" i="18" a="1"/>
  <c r="P51" i="18" a="1"/>
  <c r="R51" i="18"/>
  <c r="O51" i="18" a="1"/>
  <c r="N51" i="18" a="1"/>
  <c r="M51" i="18" a="1"/>
  <c r="S51" i="18"/>
  <c r="I51" i="18"/>
  <c r="H51" i="18"/>
  <c r="Q50" i="18" a="1"/>
  <c r="P50" i="18" a="1"/>
  <c r="R50" i="18"/>
  <c r="O50" i="18" a="1"/>
  <c r="N50" i="18" a="1"/>
  <c r="M50" i="18" a="1"/>
  <c r="S50" i="18"/>
  <c r="T50" i="18"/>
  <c r="I50" i="18"/>
  <c r="H50" i="18"/>
  <c r="Q49" i="18" a="1"/>
  <c r="P49" i="18" a="1"/>
  <c r="R49" i="18"/>
  <c r="O49" i="18" a="1"/>
  <c r="N49" i="18" a="1"/>
  <c r="M49" i="18" a="1"/>
  <c r="I49" i="18"/>
  <c r="H49" i="18"/>
  <c r="Q48" i="18" a="1"/>
  <c r="P48" i="18" a="1"/>
  <c r="O48" i="18" a="1"/>
  <c r="N48" i="18" a="1"/>
  <c r="M48" i="18" a="1"/>
  <c r="S48" i="18"/>
  <c r="I48" i="18"/>
  <c r="H48" i="18"/>
  <c r="I47" i="18"/>
  <c r="H47" i="18"/>
  <c r="I46" i="18"/>
  <c r="H46" i="18"/>
  <c r="I45" i="18"/>
  <c r="H45" i="18"/>
  <c r="Q44" i="18" a="1"/>
  <c r="P44" i="18" a="1"/>
  <c r="R44" i="18"/>
  <c r="O44" i="18" a="1"/>
  <c r="N44" i="18" a="1"/>
  <c r="M44" i="18" a="1"/>
  <c r="I44" i="18"/>
  <c r="H44" i="18"/>
  <c r="Q43" i="18" a="1"/>
  <c r="P43" i="18" a="1"/>
  <c r="O43" i="18" a="1"/>
  <c r="N43" i="18" a="1"/>
  <c r="M43" i="18" a="1"/>
  <c r="I43" i="18"/>
  <c r="H43" i="18"/>
  <c r="Q42" i="18" a="1"/>
  <c r="P42" i="18" a="1"/>
  <c r="R42" i="18"/>
  <c r="O42" i="18" a="1"/>
  <c r="N42" i="18" a="1"/>
  <c r="M42" i="18" a="1"/>
  <c r="S42" i="18"/>
  <c r="T42" i="18"/>
  <c r="I42" i="18"/>
  <c r="H42" i="18"/>
  <c r="Q41" i="18" a="1"/>
  <c r="P41" i="18" a="1"/>
  <c r="O41" i="18" a="1"/>
  <c r="N41" i="18" a="1"/>
  <c r="M41" i="18" a="1"/>
  <c r="S41" i="18"/>
  <c r="I41" i="18"/>
  <c r="H41" i="18"/>
  <c r="I40" i="18"/>
  <c r="H40" i="18"/>
  <c r="I39" i="18"/>
  <c r="H39" i="18"/>
  <c r="I38" i="18"/>
  <c r="H38" i="18"/>
  <c r="Q37" i="18" a="1"/>
  <c r="P37" i="18" a="1"/>
  <c r="R37" i="18"/>
  <c r="O37" i="18" a="1"/>
  <c r="N37" i="18" a="1"/>
  <c r="M37" i="18" a="1"/>
  <c r="I37" i="18"/>
  <c r="H37" i="18"/>
  <c r="Q36" i="18" a="1"/>
  <c r="P36" i="18" a="1"/>
  <c r="O36" i="18" a="1"/>
  <c r="N36" i="18" a="1"/>
  <c r="M36" i="18" a="1"/>
  <c r="I36" i="18"/>
  <c r="H36" i="18"/>
  <c r="Q35" i="18" a="1"/>
  <c r="P35" i="18" a="1"/>
  <c r="O35" i="18" a="1"/>
  <c r="N35" i="18" a="1"/>
  <c r="M35" i="18" a="1"/>
  <c r="I35" i="18"/>
  <c r="H35" i="18"/>
  <c r="Q34" i="18" a="1"/>
  <c r="P34" i="18" a="1"/>
  <c r="O34" i="18" a="1"/>
  <c r="N34" i="18" a="1"/>
  <c r="M34" i="18" a="1"/>
  <c r="I34" i="18"/>
  <c r="H34" i="18"/>
  <c r="I33" i="18"/>
  <c r="H33" i="18"/>
  <c r="I32" i="18"/>
  <c r="H32" i="18"/>
  <c r="I31" i="18"/>
  <c r="H31" i="18"/>
  <c r="Q30" i="18" a="1"/>
  <c r="P30" i="18" a="1"/>
  <c r="R30" i="18"/>
  <c r="O30" i="18" a="1"/>
  <c r="N30" i="18" a="1"/>
  <c r="M30" i="18" a="1"/>
  <c r="I30" i="18"/>
  <c r="H30" i="18"/>
  <c r="Q29" i="18" a="1"/>
  <c r="P29" i="18" a="1"/>
  <c r="R29" i="18"/>
  <c r="O29" i="18" a="1"/>
  <c r="N29" i="18" a="1"/>
  <c r="M29" i="18" a="1"/>
  <c r="I29" i="18"/>
  <c r="H29" i="18"/>
  <c r="Q28" i="18" a="1"/>
  <c r="P28" i="18" a="1"/>
  <c r="R28" i="18"/>
  <c r="O28" i="18" a="1"/>
  <c r="N28" i="18" a="1"/>
  <c r="M28" i="18" a="1"/>
  <c r="I28" i="18"/>
  <c r="H28" i="18"/>
  <c r="Q27" i="18" a="1"/>
  <c r="P27" i="18" a="1"/>
  <c r="O27" i="18" a="1"/>
  <c r="N27" i="18" a="1"/>
  <c r="M27" i="18" a="1"/>
  <c r="I27" i="18"/>
  <c r="H27" i="18"/>
  <c r="I26" i="18"/>
  <c r="H26" i="18"/>
  <c r="I25" i="18"/>
  <c r="H25" i="18"/>
  <c r="I24" i="18"/>
  <c r="H24" i="18"/>
  <c r="Q23" i="18" a="1"/>
  <c r="P23" i="18" a="1"/>
  <c r="O23" i="18" a="1"/>
  <c r="N23" i="18" a="1"/>
  <c r="M23" i="18" a="1"/>
  <c r="I23" i="18"/>
  <c r="H23" i="18"/>
  <c r="Q22" i="18" a="1"/>
  <c r="P22" i="18" a="1"/>
  <c r="O22" i="18" a="1"/>
  <c r="N22" i="18" a="1"/>
  <c r="M22" i="18" a="1"/>
  <c r="S22" i="18"/>
  <c r="I22" i="18"/>
  <c r="H22" i="18"/>
  <c r="Q21" i="18" a="1"/>
  <c r="P21" i="18" a="1"/>
  <c r="O21" i="18" a="1"/>
  <c r="N21" i="18" a="1"/>
  <c r="M21" i="18" a="1"/>
  <c r="S21" i="18"/>
  <c r="I21" i="18"/>
  <c r="H21" i="18"/>
  <c r="Q20" i="18" a="1"/>
  <c r="P20" i="18" a="1"/>
  <c r="O20" i="18" a="1"/>
  <c r="N20" i="18" a="1"/>
  <c r="M20" i="18" a="1"/>
  <c r="I20" i="18"/>
  <c r="H20" i="18"/>
  <c r="I19" i="18"/>
  <c r="H19" i="18"/>
  <c r="I18" i="18"/>
  <c r="H18" i="18"/>
  <c r="I17" i="18"/>
  <c r="H17" i="18"/>
  <c r="Q16" i="18" a="1"/>
  <c r="P16" i="18" a="1"/>
  <c r="R16" i="18"/>
  <c r="O16" i="18" a="1"/>
  <c r="N16" i="18" a="1"/>
  <c r="M16" i="18" a="1"/>
  <c r="I16" i="18"/>
  <c r="H16" i="18"/>
  <c r="S83" i="18"/>
  <c r="T83" i="18"/>
  <c r="S84" i="18"/>
  <c r="R84" i="18"/>
  <c r="T84" i="18"/>
  <c r="R85" i="18"/>
  <c r="T85" i="18"/>
  <c r="AA15" i="18" a="1"/>
  <c r="M6" i="18" a="1"/>
  <c r="N6" i="18" a="1"/>
  <c r="S6" i="18"/>
  <c r="P6" i="18" a="1"/>
  <c r="Q6" i="18" a="1"/>
  <c r="R6" i="18"/>
  <c r="T6" i="18"/>
  <c r="M7" i="18" a="1"/>
  <c r="N7" i="18" a="1"/>
  <c r="S7" i="18"/>
  <c r="P7" i="18" a="1"/>
  <c r="Q7" i="18" a="1"/>
  <c r="R7" i="18"/>
  <c r="T7" i="18"/>
  <c r="M8" i="18" a="1"/>
  <c r="N8" i="18" a="1"/>
  <c r="S8" i="18"/>
  <c r="P8" i="18" a="1"/>
  <c r="Q8" i="18" a="1"/>
  <c r="R8" i="18"/>
  <c r="T8" i="18"/>
  <c r="M9" i="18" a="1"/>
  <c r="N9" i="18" a="1"/>
  <c r="S9" i="18"/>
  <c r="P9" i="18" a="1"/>
  <c r="Q9" i="18" a="1"/>
  <c r="R9" i="18"/>
  <c r="T9" i="18"/>
  <c r="AA4" i="18"/>
  <c r="M13" i="18" a="1"/>
  <c r="N13" i="18" a="1"/>
  <c r="S13" i="18"/>
  <c r="P13" i="18" a="1"/>
  <c r="Q13" i="18" a="1"/>
  <c r="R13" i="18"/>
  <c r="T13" i="18"/>
  <c r="M14" i="18" a="1"/>
  <c r="N14" i="18" a="1"/>
  <c r="S14" i="18"/>
  <c r="P14" i="18" a="1"/>
  <c r="Q14" i="18" a="1"/>
  <c r="R14" i="18"/>
  <c r="T14" i="18"/>
  <c r="M15" i="18" a="1"/>
  <c r="N15" i="18" a="1"/>
  <c r="S15" i="18"/>
  <c r="P15" i="18" a="1"/>
  <c r="Q15" i="18" a="1"/>
  <c r="R15" i="18"/>
  <c r="T15" i="18"/>
  <c r="S16" i="18"/>
  <c r="T16" i="18"/>
  <c r="AA5" i="18" a="1"/>
  <c r="S20" i="18"/>
  <c r="R20" i="18"/>
  <c r="T20" i="18"/>
  <c r="R21" i="18"/>
  <c r="T21" i="18"/>
  <c r="R22" i="18"/>
  <c r="T22" i="18"/>
  <c r="S23" i="18"/>
  <c r="R23" i="18"/>
  <c r="T23" i="18"/>
  <c r="AA6" i="18" a="1"/>
  <c r="S27" i="18"/>
  <c r="R27" i="18"/>
  <c r="T27" i="18"/>
  <c r="S28" i="18"/>
  <c r="T28" i="18"/>
  <c r="S29" i="18"/>
  <c r="T29" i="18"/>
  <c r="S30" i="18"/>
  <c r="T30" i="18"/>
  <c r="AA7" i="18" a="1"/>
  <c r="S34" i="18"/>
  <c r="R34" i="18"/>
  <c r="T34" i="18"/>
  <c r="S35" i="18"/>
  <c r="R35" i="18"/>
  <c r="T35" i="18"/>
  <c r="S36" i="18"/>
  <c r="R36" i="18"/>
  <c r="T36" i="18"/>
  <c r="S37" i="18"/>
  <c r="T37" i="18"/>
  <c r="AA8" i="18" a="1"/>
  <c r="R41" i="18"/>
  <c r="T41" i="18"/>
  <c r="S43" i="18"/>
  <c r="R43" i="18"/>
  <c r="T43" i="18"/>
  <c r="S44" i="18"/>
  <c r="T44" i="18"/>
  <c r="AA9" i="18" a="1"/>
  <c r="R48" i="18"/>
  <c r="T48" i="18"/>
  <c r="S49" i="18"/>
  <c r="T49" i="18"/>
  <c r="T51" i="18"/>
  <c r="AA10" i="18" a="1"/>
  <c r="S56" i="18"/>
  <c r="R56" i="18"/>
  <c r="T56" i="18"/>
  <c r="AA11" i="18" a="1"/>
  <c r="S62" i="18"/>
  <c r="T62" i="18"/>
  <c r="S63" i="18"/>
  <c r="T63" i="18"/>
  <c r="T64" i="18"/>
  <c r="S65" i="18"/>
  <c r="T65" i="18"/>
  <c r="AA12" i="18" a="1"/>
  <c r="S69" i="18"/>
  <c r="T69" i="18"/>
  <c r="S70" i="18"/>
  <c r="T70" i="18"/>
  <c r="S71" i="18"/>
  <c r="R71" i="18"/>
  <c r="T71" i="18"/>
  <c r="R72" i="18"/>
  <c r="T72" i="18"/>
  <c r="AA13" i="18" a="1"/>
  <c r="S76" i="18"/>
  <c r="R76" i="18"/>
  <c r="T76" i="18"/>
  <c r="S79" i="18"/>
  <c r="T79" i="18"/>
  <c r="AA14" i="18" a="1"/>
  <c r="AB15" i="18"/>
  <c r="Z15" i="18" a="1"/>
  <c r="Y15" i="18" a="1"/>
  <c r="X15" i="18" a="1"/>
  <c r="O15" i="18" a="1"/>
  <c r="I15" i="18"/>
  <c r="H15" i="18"/>
  <c r="AB14" i="18"/>
  <c r="Z14" i="18" a="1"/>
  <c r="Y14" i="18" a="1"/>
  <c r="X14" i="18" a="1"/>
  <c r="O14" i="18" a="1"/>
  <c r="I14" i="18"/>
  <c r="H14" i="18"/>
  <c r="AB13" i="18"/>
  <c r="Z13" i="18" a="1"/>
  <c r="Y13" i="18" a="1"/>
  <c r="X13" i="18" a="1"/>
  <c r="O13" i="18" a="1"/>
  <c r="I13" i="18"/>
  <c r="H13" i="18"/>
  <c r="AB12" i="18"/>
  <c r="Z12" i="18" a="1"/>
  <c r="Y12" i="18" a="1"/>
  <c r="X12" i="18" a="1"/>
  <c r="I12" i="18"/>
  <c r="H12" i="18"/>
  <c r="AB11" i="18"/>
  <c r="Z11" i="18" a="1"/>
  <c r="Y11" i="18" a="1"/>
  <c r="X11" i="18" a="1"/>
  <c r="I11" i="18"/>
  <c r="H11" i="18"/>
  <c r="AB10" i="18"/>
  <c r="Z10" i="18" a="1"/>
  <c r="Y10" i="18" a="1"/>
  <c r="X10" i="18" a="1"/>
  <c r="I10" i="18"/>
  <c r="H10" i="18"/>
  <c r="AB9" i="18"/>
  <c r="Z9" i="18" a="1"/>
  <c r="Y9" i="18" a="1"/>
  <c r="X9" i="18" a="1"/>
  <c r="O9" i="18" a="1"/>
  <c r="I9" i="18"/>
  <c r="H9" i="18"/>
  <c r="AB8" i="18"/>
  <c r="Z8" i="18" a="1"/>
  <c r="Y8" i="18" a="1"/>
  <c r="X8" i="18" a="1"/>
  <c r="O8" i="18" a="1"/>
  <c r="I8" i="18"/>
  <c r="H8" i="18"/>
  <c r="AB7" i="18"/>
  <c r="Z7" i="18" a="1"/>
  <c r="Y7" i="18" a="1"/>
  <c r="X7" i="18" a="1"/>
  <c r="O7" i="18" a="1"/>
  <c r="I7" i="18"/>
  <c r="H7" i="18"/>
  <c r="AB6" i="18"/>
  <c r="Z6" i="18" a="1"/>
  <c r="Y6" i="18" a="1"/>
  <c r="X6" i="18" a="1"/>
  <c r="O6" i="18" a="1"/>
  <c r="I6" i="18"/>
  <c r="H6" i="18"/>
  <c r="AB5" i="18"/>
  <c r="Z5" i="18" a="1"/>
  <c r="Y5" i="18" a="1"/>
  <c r="X5" i="18" a="1"/>
  <c r="I5" i="18"/>
  <c r="H5" i="18"/>
  <c r="AB4" i="18"/>
  <c r="Z4" i="18" a="1"/>
  <c r="Y4" i="18" a="1"/>
  <c r="X4" i="18" a="1"/>
  <c r="I4" i="18"/>
  <c r="H4" i="18"/>
  <c r="D114" i="17"/>
  <c r="D113" i="17"/>
  <c r="I107" i="17"/>
  <c r="H107" i="17"/>
  <c r="I106" i="17"/>
  <c r="H106" i="17"/>
  <c r="I105" i="17"/>
  <c r="H105" i="17"/>
  <c r="I104" i="17"/>
  <c r="H104" i="17"/>
  <c r="I103" i="17"/>
  <c r="H103" i="17"/>
  <c r="I102" i="17"/>
  <c r="H102" i="17"/>
  <c r="I101" i="17"/>
  <c r="H101" i="17"/>
  <c r="I100" i="17"/>
  <c r="H100" i="17"/>
  <c r="I99" i="17"/>
  <c r="H99" i="17"/>
  <c r="I98" i="17"/>
  <c r="H98" i="17"/>
  <c r="I97" i="17"/>
  <c r="H97" i="17"/>
  <c r="I96" i="17"/>
  <c r="H96" i="17"/>
  <c r="I95" i="17"/>
  <c r="H95" i="17"/>
  <c r="I94" i="17"/>
  <c r="H94" i="17"/>
  <c r="I93" i="17"/>
  <c r="H93" i="17"/>
  <c r="I92" i="17"/>
  <c r="H92" i="17"/>
  <c r="I91" i="17"/>
  <c r="H91" i="17"/>
  <c r="I90" i="17"/>
  <c r="H90" i="17"/>
  <c r="I89" i="17"/>
  <c r="H89" i="17"/>
  <c r="I88" i="17"/>
  <c r="H88" i="17"/>
  <c r="I87" i="17"/>
  <c r="H87" i="17"/>
  <c r="Q86" i="17" a="1"/>
  <c r="P86" i="17" a="1"/>
  <c r="O86" i="17" a="1"/>
  <c r="N86" i="17" a="1"/>
  <c r="M86" i="17" a="1"/>
  <c r="I86" i="17"/>
  <c r="H86" i="17"/>
  <c r="Q85" i="17" a="1"/>
  <c r="P85" i="17" a="1"/>
  <c r="O85" i="17" a="1"/>
  <c r="N85" i="17" a="1"/>
  <c r="M85" i="17" a="1"/>
  <c r="I85" i="17"/>
  <c r="H85" i="17"/>
  <c r="Q84" i="17" a="1"/>
  <c r="P84" i="17" a="1"/>
  <c r="O84" i="17" a="1"/>
  <c r="N84" i="17" a="1"/>
  <c r="M84" i="17" a="1"/>
  <c r="I84" i="17"/>
  <c r="H84" i="17"/>
  <c r="Q83" i="17" a="1"/>
  <c r="P83" i="17" a="1"/>
  <c r="O83" i="17" a="1"/>
  <c r="N83" i="17" a="1"/>
  <c r="M83" i="17" a="1"/>
  <c r="I83" i="17"/>
  <c r="H83" i="17"/>
  <c r="I82" i="17"/>
  <c r="H82" i="17"/>
  <c r="I81" i="17"/>
  <c r="H81" i="17"/>
  <c r="I80" i="17"/>
  <c r="H80" i="17"/>
  <c r="Q79" i="17" a="1"/>
  <c r="P79" i="17" a="1"/>
  <c r="O79" i="17" a="1"/>
  <c r="N79" i="17" a="1"/>
  <c r="M79" i="17" a="1"/>
  <c r="I79" i="17"/>
  <c r="H79" i="17"/>
  <c r="Q78" i="17" a="1"/>
  <c r="P78" i="17" a="1"/>
  <c r="O78" i="17" a="1"/>
  <c r="N78" i="17" a="1"/>
  <c r="M78" i="17" a="1"/>
  <c r="I78" i="17"/>
  <c r="H78" i="17"/>
  <c r="Q77" i="17" a="1"/>
  <c r="P77" i="17" a="1"/>
  <c r="O77" i="17" a="1"/>
  <c r="N77" i="17" a="1"/>
  <c r="M77" i="17" a="1"/>
  <c r="I77" i="17"/>
  <c r="H77" i="17"/>
  <c r="Q76" i="17" a="1"/>
  <c r="P76" i="17" a="1"/>
  <c r="O76" i="17" a="1"/>
  <c r="N76" i="17" a="1"/>
  <c r="M76" i="17" a="1"/>
  <c r="I76" i="17"/>
  <c r="H76" i="17"/>
  <c r="I75" i="17"/>
  <c r="H75" i="17"/>
  <c r="I74" i="17"/>
  <c r="H74" i="17"/>
  <c r="I73" i="17"/>
  <c r="H73" i="17"/>
  <c r="Q72" i="17" a="1"/>
  <c r="P72" i="17" a="1"/>
  <c r="O72" i="17" a="1"/>
  <c r="N72" i="17" a="1"/>
  <c r="M72" i="17" a="1"/>
  <c r="I72" i="17"/>
  <c r="H72" i="17"/>
  <c r="Q71" i="17" a="1"/>
  <c r="P71" i="17" a="1"/>
  <c r="O71" i="17" a="1"/>
  <c r="N71" i="17" a="1"/>
  <c r="M71" i="17" a="1"/>
  <c r="I71" i="17"/>
  <c r="H71" i="17"/>
  <c r="Q70" i="17" a="1"/>
  <c r="P70" i="17" a="1"/>
  <c r="O70" i="17" a="1"/>
  <c r="N70" i="17" a="1"/>
  <c r="M70" i="17" a="1"/>
  <c r="I70" i="17"/>
  <c r="H70" i="17"/>
  <c r="Q69" i="17" a="1"/>
  <c r="P69" i="17" a="1"/>
  <c r="O69" i="17" a="1"/>
  <c r="N69" i="17" a="1"/>
  <c r="M69" i="17" a="1"/>
  <c r="I69" i="17"/>
  <c r="H69" i="17"/>
  <c r="I68" i="17"/>
  <c r="H68" i="17"/>
  <c r="I67" i="17"/>
  <c r="H67" i="17"/>
  <c r="I66" i="17"/>
  <c r="H66" i="17"/>
  <c r="Q65" i="17" a="1"/>
  <c r="P65" i="17" a="1"/>
  <c r="O65" i="17" a="1"/>
  <c r="N65" i="17" a="1"/>
  <c r="M65" i="17" a="1"/>
  <c r="I65" i="17"/>
  <c r="H65" i="17"/>
  <c r="Q64" i="17" a="1"/>
  <c r="P64" i="17" a="1"/>
  <c r="O64" i="17" a="1"/>
  <c r="N64" i="17" a="1"/>
  <c r="M64" i="17" a="1"/>
  <c r="I64" i="17"/>
  <c r="H64" i="17"/>
  <c r="Q63" i="17" a="1"/>
  <c r="P63" i="17" a="1"/>
  <c r="O63" i="17" a="1"/>
  <c r="N63" i="17" a="1"/>
  <c r="M63" i="17" a="1"/>
  <c r="I63" i="17"/>
  <c r="H63" i="17"/>
  <c r="Q62" i="17" a="1"/>
  <c r="P62" i="17" a="1"/>
  <c r="O62" i="17" a="1"/>
  <c r="N62" i="17" a="1"/>
  <c r="M62" i="17" a="1"/>
  <c r="I62" i="17"/>
  <c r="H62" i="17"/>
  <c r="I61" i="17"/>
  <c r="H61" i="17"/>
  <c r="I60" i="17"/>
  <c r="H60" i="17"/>
  <c r="I59" i="17"/>
  <c r="H59" i="17"/>
  <c r="Q58" i="17" a="1"/>
  <c r="P58" i="17" a="1"/>
  <c r="O58" i="17" a="1"/>
  <c r="N58" i="17" a="1"/>
  <c r="M58" i="17" a="1"/>
  <c r="I58" i="17"/>
  <c r="H58" i="17"/>
  <c r="Q57" i="17" a="1"/>
  <c r="P57" i="17" a="1"/>
  <c r="O57" i="17" a="1"/>
  <c r="N57" i="17" a="1"/>
  <c r="M57" i="17" a="1"/>
  <c r="I57" i="17"/>
  <c r="H57" i="17"/>
  <c r="Q56" i="17" a="1"/>
  <c r="P56" i="17" a="1"/>
  <c r="O56" i="17" a="1"/>
  <c r="N56" i="17" a="1"/>
  <c r="M56" i="17" a="1"/>
  <c r="I56" i="17"/>
  <c r="H56" i="17"/>
  <c r="Q55" i="17" a="1"/>
  <c r="P55" i="17" a="1"/>
  <c r="O55" i="17" a="1"/>
  <c r="N55" i="17" a="1"/>
  <c r="M55" i="17" a="1"/>
  <c r="S55" i="17"/>
  <c r="I55" i="17"/>
  <c r="H55" i="17"/>
  <c r="I54" i="17"/>
  <c r="H54" i="17"/>
  <c r="I53" i="17"/>
  <c r="H53" i="17"/>
  <c r="I52" i="17"/>
  <c r="H52" i="17"/>
  <c r="Q51" i="17" a="1"/>
  <c r="P51" i="17" a="1"/>
  <c r="O51" i="17" a="1"/>
  <c r="N51" i="17" a="1"/>
  <c r="M51" i="17" a="1"/>
  <c r="S51" i="17"/>
  <c r="I51" i="17"/>
  <c r="H51" i="17"/>
  <c r="Q50" i="17" a="1"/>
  <c r="P50" i="17" a="1"/>
  <c r="O50" i="17" a="1"/>
  <c r="N50" i="17" a="1"/>
  <c r="M50" i="17" a="1"/>
  <c r="S50" i="17"/>
  <c r="I50" i="17"/>
  <c r="H50" i="17"/>
  <c r="Q49" i="17" a="1"/>
  <c r="P49" i="17" a="1"/>
  <c r="O49" i="17" a="1"/>
  <c r="N49" i="17" a="1"/>
  <c r="M49" i="17" a="1"/>
  <c r="S49" i="17"/>
  <c r="I49" i="17"/>
  <c r="H49" i="17"/>
  <c r="Q48" i="17" a="1"/>
  <c r="P48" i="17" a="1"/>
  <c r="O48" i="17" a="1"/>
  <c r="N48" i="17" a="1"/>
  <c r="M48" i="17" a="1"/>
  <c r="S48" i="17"/>
  <c r="I48" i="17"/>
  <c r="H48" i="17"/>
  <c r="I47" i="17"/>
  <c r="H47" i="17"/>
  <c r="I46" i="17"/>
  <c r="H46" i="17"/>
  <c r="I45" i="17"/>
  <c r="H45" i="17"/>
  <c r="Q44" i="17" a="1"/>
  <c r="P44" i="17" a="1"/>
  <c r="O44" i="17" a="1"/>
  <c r="N44" i="17" a="1"/>
  <c r="M44" i="17" a="1"/>
  <c r="I44" i="17"/>
  <c r="H44" i="17"/>
  <c r="Q43" i="17" a="1"/>
  <c r="P43" i="17" a="1"/>
  <c r="O43" i="17" a="1"/>
  <c r="N43" i="17" a="1"/>
  <c r="M43" i="17" a="1"/>
  <c r="I43" i="17"/>
  <c r="H43" i="17"/>
  <c r="Q42" i="17" a="1"/>
  <c r="P42" i="17" a="1"/>
  <c r="O42" i="17" a="1"/>
  <c r="N42" i="17" a="1"/>
  <c r="M42" i="17" a="1"/>
  <c r="I42" i="17"/>
  <c r="H42" i="17"/>
  <c r="Q41" i="17" a="1"/>
  <c r="P41" i="17" a="1"/>
  <c r="O41" i="17" a="1"/>
  <c r="N41" i="17" a="1"/>
  <c r="M41" i="17" a="1"/>
  <c r="S41" i="17"/>
  <c r="I41" i="17"/>
  <c r="H41" i="17"/>
  <c r="I40" i="17"/>
  <c r="H40" i="17"/>
  <c r="I39" i="17"/>
  <c r="H39" i="17"/>
  <c r="I38" i="17"/>
  <c r="H38" i="17"/>
  <c r="Q37" i="17" a="1"/>
  <c r="P37" i="17" a="1"/>
  <c r="O37" i="17" a="1"/>
  <c r="N37" i="17" a="1"/>
  <c r="M37" i="17" a="1"/>
  <c r="S37" i="17"/>
  <c r="I37" i="17"/>
  <c r="H37" i="17"/>
  <c r="Q36" i="17" a="1"/>
  <c r="P36" i="17" a="1"/>
  <c r="O36" i="17" a="1"/>
  <c r="N36" i="17" a="1"/>
  <c r="M36" i="17" a="1"/>
  <c r="I36" i="17"/>
  <c r="H36" i="17"/>
  <c r="Q35" i="17" a="1"/>
  <c r="P35" i="17" a="1"/>
  <c r="O35" i="17" a="1"/>
  <c r="N35" i="17" a="1"/>
  <c r="M35" i="17" a="1"/>
  <c r="I35" i="17"/>
  <c r="H35" i="17"/>
  <c r="Q34" i="17" a="1"/>
  <c r="P34" i="17" a="1"/>
  <c r="O34" i="17" a="1"/>
  <c r="N34" i="17" a="1"/>
  <c r="M34" i="17" a="1"/>
  <c r="I34" i="17"/>
  <c r="H34" i="17"/>
  <c r="I33" i="17"/>
  <c r="H33" i="17"/>
  <c r="I32" i="17"/>
  <c r="H32" i="17"/>
  <c r="I31" i="17"/>
  <c r="H31" i="17"/>
  <c r="Q30" i="17" a="1"/>
  <c r="P30" i="17" a="1"/>
  <c r="O30" i="17" a="1"/>
  <c r="N30" i="17" a="1"/>
  <c r="M30" i="17" a="1"/>
  <c r="I30" i="17"/>
  <c r="H30" i="17"/>
  <c r="Q29" i="17" a="1"/>
  <c r="P29" i="17" a="1"/>
  <c r="O29" i="17" a="1"/>
  <c r="N29" i="17" a="1"/>
  <c r="M29" i="17" a="1"/>
  <c r="I29" i="17"/>
  <c r="H29" i="17"/>
  <c r="Q28" i="17" a="1"/>
  <c r="P28" i="17" a="1"/>
  <c r="O28" i="17" a="1"/>
  <c r="N28" i="17" a="1"/>
  <c r="M28" i="17" a="1"/>
  <c r="I28" i="17"/>
  <c r="H28" i="17"/>
  <c r="Q27" i="17" a="1"/>
  <c r="P27" i="17" a="1"/>
  <c r="O27" i="17" a="1"/>
  <c r="N27" i="17" a="1"/>
  <c r="M27" i="17" a="1"/>
  <c r="I27" i="17"/>
  <c r="H27" i="17"/>
  <c r="I26" i="17"/>
  <c r="H26" i="17"/>
  <c r="I25" i="17"/>
  <c r="H25" i="17"/>
  <c r="I24" i="17"/>
  <c r="H24" i="17"/>
  <c r="Q23" i="17" a="1"/>
  <c r="P23" i="17" a="1"/>
  <c r="O23" i="17" a="1"/>
  <c r="N23" i="17" a="1"/>
  <c r="M23" i="17" a="1"/>
  <c r="I23" i="17"/>
  <c r="H23" i="17"/>
  <c r="Q22" i="17" a="1"/>
  <c r="P22" i="17" a="1"/>
  <c r="O22" i="17" a="1"/>
  <c r="N22" i="17" a="1"/>
  <c r="M22" i="17" a="1"/>
  <c r="I22" i="17"/>
  <c r="H22" i="17"/>
  <c r="Q21" i="17" a="1"/>
  <c r="P21" i="17" a="1"/>
  <c r="O21" i="17" a="1"/>
  <c r="N21" i="17" a="1"/>
  <c r="M21" i="17" a="1"/>
  <c r="I21" i="17"/>
  <c r="H21" i="17"/>
  <c r="Q20" i="17" a="1"/>
  <c r="P20" i="17" a="1"/>
  <c r="O20" i="17" a="1"/>
  <c r="N20" i="17" a="1"/>
  <c r="M20" i="17" a="1"/>
  <c r="I20" i="17"/>
  <c r="H20" i="17"/>
  <c r="I19" i="17"/>
  <c r="H19" i="17"/>
  <c r="I18" i="17"/>
  <c r="H18" i="17"/>
  <c r="I17" i="17"/>
  <c r="H17" i="17"/>
  <c r="Q16" i="17" a="1"/>
  <c r="P16" i="17" a="1"/>
  <c r="O16" i="17" a="1"/>
  <c r="N16" i="17" a="1"/>
  <c r="M16" i="17" a="1"/>
  <c r="I16" i="17"/>
  <c r="H16" i="17"/>
  <c r="Q15" i="17" a="1"/>
  <c r="P15" i="17" a="1"/>
  <c r="O15" i="17" a="1"/>
  <c r="N15" i="17" a="1"/>
  <c r="M15" i="17" a="1"/>
  <c r="I15" i="17"/>
  <c r="H15" i="17"/>
  <c r="Q14" i="17" a="1"/>
  <c r="P14" i="17" a="1"/>
  <c r="O14" i="17" a="1"/>
  <c r="N14" i="17" a="1"/>
  <c r="M14" i="17" a="1"/>
  <c r="I14" i="17"/>
  <c r="H14" i="17"/>
  <c r="Q13" i="17" a="1"/>
  <c r="P13" i="17" a="1"/>
  <c r="O13" i="17" a="1"/>
  <c r="N13" i="17" a="1"/>
  <c r="M13" i="17" a="1"/>
  <c r="I13" i="17"/>
  <c r="H13" i="17"/>
  <c r="I12" i="17"/>
  <c r="H12" i="17"/>
  <c r="I11" i="17"/>
  <c r="H11" i="17"/>
  <c r="I10" i="17"/>
  <c r="H10" i="17"/>
  <c r="Q9" i="17" a="1"/>
  <c r="P9" i="17" a="1"/>
  <c r="O9" i="17" a="1"/>
  <c r="N9" i="17" a="1"/>
  <c r="M9" i="17" a="1"/>
  <c r="I9" i="17"/>
  <c r="H9" i="17"/>
  <c r="Q8" i="17" a="1"/>
  <c r="P8" i="17" a="1"/>
  <c r="O8" i="17" a="1"/>
  <c r="N8" i="17" a="1"/>
  <c r="M8" i="17" a="1"/>
  <c r="I8" i="17"/>
  <c r="H8" i="17"/>
  <c r="Q7" i="17" a="1"/>
  <c r="P7" i="17" a="1"/>
  <c r="O7" i="17" a="1"/>
  <c r="N7" i="17" a="1"/>
  <c r="M7" i="17" a="1"/>
  <c r="I7" i="17"/>
  <c r="H7" i="17"/>
  <c r="Q6" i="17" a="1"/>
  <c r="P6" i="17" a="1"/>
  <c r="O6" i="17" a="1"/>
  <c r="N6" i="17" a="1"/>
  <c r="M6" i="17" a="1"/>
  <c r="I6" i="17"/>
  <c r="H6" i="17"/>
  <c r="I5" i="17"/>
  <c r="H5" i="17"/>
  <c r="I4" i="17"/>
  <c r="D114" i="16"/>
  <c r="D113" i="16"/>
  <c r="I107" i="16"/>
  <c r="H107" i="16"/>
  <c r="E107" i="16"/>
  <c r="D107" i="16"/>
  <c r="I106" i="16"/>
  <c r="H106" i="16"/>
  <c r="E106" i="16"/>
  <c r="D106" i="16"/>
  <c r="I105" i="16"/>
  <c r="H105" i="16"/>
  <c r="E105" i="16"/>
  <c r="D105" i="16"/>
  <c r="I104" i="16"/>
  <c r="H104" i="16"/>
  <c r="E104" i="16"/>
  <c r="D104" i="16"/>
  <c r="I103" i="16"/>
  <c r="H103" i="16"/>
  <c r="E103" i="16"/>
  <c r="D103" i="16"/>
  <c r="I102" i="16"/>
  <c r="H102" i="16"/>
  <c r="E102" i="16"/>
  <c r="D102" i="16"/>
  <c r="I101" i="16"/>
  <c r="H101" i="16"/>
  <c r="E101" i="16"/>
  <c r="D101" i="16"/>
  <c r="I100" i="16"/>
  <c r="H100" i="16"/>
  <c r="E100" i="16"/>
  <c r="D100" i="16"/>
  <c r="I99" i="16"/>
  <c r="H99" i="16"/>
  <c r="E99" i="16"/>
  <c r="D99" i="16"/>
  <c r="I98" i="16"/>
  <c r="H98" i="16"/>
  <c r="I97" i="16"/>
  <c r="H97" i="16"/>
  <c r="I96" i="16"/>
  <c r="H96" i="16"/>
  <c r="I95" i="16"/>
  <c r="H95" i="16"/>
  <c r="I94" i="16"/>
  <c r="H94" i="16"/>
  <c r="I93" i="16"/>
  <c r="H93" i="16"/>
  <c r="I92" i="16"/>
  <c r="H92" i="16"/>
  <c r="I91" i="16"/>
  <c r="H91" i="16"/>
  <c r="I90" i="16"/>
  <c r="H90" i="16"/>
  <c r="I89" i="16"/>
  <c r="H89" i="16"/>
  <c r="I88" i="16"/>
  <c r="H88" i="16"/>
  <c r="I87" i="16"/>
  <c r="H87" i="16"/>
  <c r="Q86" i="16" a="1"/>
  <c r="P86" i="16" a="1"/>
  <c r="O86" i="16" a="1"/>
  <c r="N86" i="16" a="1"/>
  <c r="M86" i="16" a="1"/>
  <c r="I86" i="16"/>
  <c r="H86" i="16"/>
  <c r="Q85" i="16" a="1"/>
  <c r="P85" i="16" a="1"/>
  <c r="O85" i="16" a="1"/>
  <c r="N85" i="16" a="1"/>
  <c r="M85" i="16" a="1"/>
  <c r="I85" i="16"/>
  <c r="H85" i="16"/>
  <c r="Q84" i="16" a="1"/>
  <c r="P84" i="16" a="1"/>
  <c r="O84" i="16" a="1"/>
  <c r="N84" i="16" a="1"/>
  <c r="M84" i="16" a="1"/>
  <c r="I84" i="16"/>
  <c r="H84" i="16"/>
  <c r="Q83" i="16" a="1"/>
  <c r="P83" i="16" a="1"/>
  <c r="O83" i="16" a="1"/>
  <c r="N83" i="16" a="1"/>
  <c r="M83" i="16" a="1"/>
  <c r="I83" i="16"/>
  <c r="H83" i="16"/>
  <c r="I82" i="16"/>
  <c r="H82" i="16"/>
  <c r="I81" i="16"/>
  <c r="H81" i="16"/>
  <c r="I80" i="16"/>
  <c r="H80" i="16"/>
  <c r="Q79" i="16" a="1"/>
  <c r="P79" i="16" a="1"/>
  <c r="O79" i="16" a="1"/>
  <c r="N79" i="16" a="1"/>
  <c r="M79" i="16" a="1"/>
  <c r="I79" i="16"/>
  <c r="H79" i="16"/>
  <c r="Q78" i="16" a="1"/>
  <c r="P78" i="16" a="1"/>
  <c r="O78" i="16" a="1"/>
  <c r="N78" i="16" a="1"/>
  <c r="M78" i="16" a="1"/>
  <c r="I78" i="16"/>
  <c r="Q77" i="16" a="1"/>
  <c r="P77" i="16" a="1"/>
  <c r="O77" i="16" a="1"/>
  <c r="N77" i="16" a="1"/>
  <c r="M77" i="16" a="1"/>
  <c r="I77" i="16"/>
  <c r="H77" i="16"/>
  <c r="Q76" i="16" a="1"/>
  <c r="P76" i="16" a="1"/>
  <c r="O76" i="16" a="1"/>
  <c r="N76" i="16" a="1"/>
  <c r="M76" i="16" a="1"/>
  <c r="I76" i="16"/>
  <c r="H76" i="16"/>
  <c r="I75" i="16"/>
  <c r="H75" i="16"/>
  <c r="I74" i="16"/>
  <c r="H74" i="16"/>
  <c r="I73" i="16"/>
  <c r="H73" i="16"/>
  <c r="Q72" i="16" a="1"/>
  <c r="P72" i="16" a="1"/>
  <c r="O72" i="16" a="1"/>
  <c r="N72" i="16" a="1"/>
  <c r="M72" i="16" a="1"/>
  <c r="I72" i="16"/>
  <c r="H72" i="16"/>
  <c r="Q71" i="16" a="1"/>
  <c r="P71" i="16" a="1"/>
  <c r="O71" i="16" a="1"/>
  <c r="N71" i="16" a="1"/>
  <c r="M71" i="16" a="1"/>
  <c r="I71" i="16"/>
  <c r="H71" i="16"/>
  <c r="Q70" i="16" a="1"/>
  <c r="P70" i="16" a="1"/>
  <c r="O70" i="16" a="1"/>
  <c r="N70" i="16" a="1"/>
  <c r="M70" i="16" a="1"/>
  <c r="I70" i="16"/>
  <c r="H70" i="16"/>
  <c r="Q69" i="16" a="1"/>
  <c r="P69" i="16" a="1"/>
  <c r="O69" i="16" a="1"/>
  <c r="N69" i="16" a="1"/>
  <c r="M69" i="16" a="1"/>
  <c r="I69" i="16"/>
  <c r="H69" i="16"/>
  <c r="I68" i="16"/>
  <c r="H68" i="16"/>
  <c r="I67" i="16"/>
  <c r="H67" i="16"/>
  <c r="I66" i="16"/>
  <c r="H66" i="16"/>
  <c r="Q65" i="16" a="1"/>
  <c r="P65" i="16" a="1"/>
  <c r="O65" i="16" a="1"/>
  <c r="N65" i="16" a="1"/>
  <c r="M65" i="16" a="1"/>
  <c r="I65" i="16"/>
  <c r="H65" i="16"/>
  <c r="Q64" i="16" a="1"/>
  <c r="P64" i="16" a="1"/>
  <c r="O64" i="16" a="1"/>
  <c r="N64" i="16" a="1"/>
  <c r="M64" i="16" a="1"/>
  <c r="I64" i="16"/>
  <c r="H64" i="16"/>
  <c r="Q63" i="16" a="1"/>
  <c r="P63" i="16" a="1"/>
  <c r="O63" i="16" a="1"/>
  <c r="N63" i="16" a="1"/>
  <c r="M63" i="16" a="1"/>
  <c r="I63" i="16"/>
  <c r="H63" i="16"/>
  <c r="Q62" i="16" a="1"/>
  <c r="P62" i="16" a="1"/>
  <c r="O62" i="16" a="1"/>
  <c r="N62" i="16" a="1"/>
  <c r="M62" i="16" a="1"/>
  <c r="I62" i="16"/>
  <c r="H62" i="16"/>
  <c r="I61" i="16"/>
  <c r="H61" i="16"/>
  <c r="I60" i="16"/>
  <c r="H60" i="16"/>
  <c r="I59" i="16"/>
  <c r="H59" i="16"/>
  <c r="Q58" i="16" a="1"/>
  <c r="P58" i="16" a="1"/>
  <c r="O58" i="16" a="1"/>
  <c r="N58" i="16" a="1"/>
  <c r="M58" i="16" a="1"/>
  <c r="I58" i="16"/>
  <c r="H58" i="16"/>
  <c r="Q57" i="16" a="1"/>
  <c r="P57" i="16" a="1"/>
  <c r="O57" i="16" a="1"/>
  <c r="N57" i="16" a="1"/>
  <c r="M57" i="16" a="1"/>
  <c r="I57" i="16"/>
  <c r="H57" i="16"/>
  <c r="Q56" i="16" a="1"/>
  <c r="P56" i="16" a="1"/>
  <c r="O56" i="16" a="1"/>
  <c r="N56" i="16" a="1"/>
  <c r="M56" i="16" a="1"/>
  <c r="I56" i="16"/>
  <c r="H56" i="16"/>
  <c r="Q55" i="16" a="1"/>
  <c r="P55" i="16" a="1"/>
  <c r="O55" i="16" a="1"/>
  <c r="N55" i="16" a="1"/>
  <c r="M55" i="16" a="1"/>
  <c r="I55" i="16"/>
  <c r="H55" i="16"/>
  <c r="I54" i="16"/>
  <c r="H54" i="16"/>
  <c r="I53" i="16"/>
  <c r="H53" i="16"/>
  <c r="I52" i="16"/>
  <c r="H52" i="16"/>
  <c r="Q51" i="16" a="1"/>
  <c r="P51" i="16" a="1"/>
  <c r="O51" i="16" a="1"/>
  <c r="N51" i="16" a="1"/>
  <c r="M51" i="16" a="1"/>
  <c r="I51" i="16"/>
  <c r="H51" i="16"/>
  <c r="Q50" i="16" a="1"/>
  <c r="P50" i="16" a="1"/>
  <c r="O50" i="16" a="1"/>
  <c r="N50" i="16" a="1"/>
  <c r="M50" i="16" a="1"/>
  <c r="I50" i="16"/>
  <c r="H50" i="16"/>
  <c r="Q49" i="16" a="1"/>
  <c r="P49" i="16" a="1"/>
  <c r="O49" i="16" a="1"/>
  <c r="N49" i="16" a="1"/>
  <c r="M49" i="16" a="1"/>
  <c r="I49" i="16"/>
  <c r="H49" i="16"/>
  <c r="Q48" i="16" a="1"/>
  <c r="P48" i="16" a="1"/>
  <c r="O48" i="16" a="1"/>
  <c r="N48" i="16" a="1"/>
  <c r="M48" i="16" a="1"/>
  <c r="I48" i="16"/>
  <c r="H48" i="16"/>
  <c r="I47" i="16"/>
  <c r="H47" i="16"/>
  <c r="I46" i="16"/>
  <c r="H46" i="16"/>
  <c r="I45" i="16"/>
  <c r="H45" i="16"/>
  <c r="Q44" i="16" a="1"/>
  <c r="P44" i="16" a="1"/>
  <c r="O44" i="16" a="1"/>
  <c r="N44" i="16" a="1"/>
  <c r="M44" i="16" a="1"/>
  <c r="I44" i="16"/>
  <c r="H44" i="16"/>
  <c r="Q43" i="16" a="1"/>
  <c r="P43" i="16" a="1"/>
  <c r="O43" i="16" a="1"/>
  <c r="N43" i="16" a="1"/>
  <c r="M43" i="16" a="1"/>
  <c r="I43" i="16"/>
  <c r="H43" i="16"/>
  <c r="Q42" i="16" a="1"/>
  <c r="P42" i="16" a="1"/>
  <c r="O42" i="16" a="1"/>
  <c r="N42" i="16" a="1"/>
  <c r="M42" i="16" a="1"/>
  <c r="I42" i="16"/>
  <c r="H42" i="16"/>
  <c r="Q41" i="16" a="1"/>
  <c r="P41" i="16" a="1"/>
  <c r="O41" i="16" a="1"/>
  <c r="N41" i="16" a="1"/>
  <c r="M41" i="16" a="1"/>
  <c r="I41" i="16"/>
  <c r="H41" i="16"/>
  <c r="I40" i="16"/>
  <c r="H40" i="16"/>
  <c r="I39" i="16"/>
  <c r="H39" i="16"/>
  <c r="I38" i="16"/>
  <c r="H38" i="16"/>
  <c r="Q37" i="16" a="1"/>
  <c r="P37" i="16" a="1"/>
  <c r="O37" i="16" a="1"/>
  <c r="N37" i="16" a="1"/>
  <c r="M37" i="16" a="1"/>
  <c r="I37" i="16"/>
  <c r="H37" i="16"/>
  <c r="Q36" i="16" a="1"/>
  <c r="P36" i="16" a="1"/>
  <c r="O36" i="16" a="1"/>
  <c r="N36" i="16" a="1"/>
  <c r="M36" i="16" a="1"/>
  <c r="I36" i="16"/>
  <c r="H36" i="16"/>
  <c r="Q35" i="16" a="1"/>
  <c r="P35" i="16" a="1"/>
  <c r="O35" i="16" a="1"/>
  <c r="N35" i="16" a="1"/>
  <c r="M35" i="16" a="1"/>
  <c r="I35" i="16"/>
  <c r="H35" i="16"/>
  <c r="Q34" i="16" a="1"/>
  <c r="P34" i="16" a="1"/>
  <c r="O34" i="16" a="1"/>
  <c r="N34" i="16" a="1"/>
  <c r="M34" i="16" a="1"/>
  <c r="I34" i="16"/>
  <c r="H34" i="16"/>
  <c r="I33" i="16"/>
  <c r="H33" i="16"/>
  <c r="I32" i="16"/>
  <c r="H32" i="16"/>
  <c r="I31" i="16"/>
  <c r="H31" i="16"/>
  <c r="Q30" i="16" a="1"/>
  <c r="P30" i="16" a="1"/>
  <c r="O30" i="16" a="1"/>
  <c r="N30" i="16" a="1"/>
  <c r="M30" i="16" a="1"/>
  <c r="I30" i="16"/>
  <c r="H30" i="16"/>
  <c r="Q29" i="16" a="1"/>
  <c r="P29" i="16" a="1"/>
  <c r="O29" i="16" a="1"/>
  <c r="N29" i="16" a="1"/>
  <c r="M29" i="16" a="1"/>
  <c r="I29" i="16"/>
  <c r="H29" i="16"/>
  <c r="Q28" i="16" a="1"/>
  <c r="P28" i="16" a="1"/>
  <c r="O28" i="16" a="1"/>
  <c r="N28" i="16" a="1"/>
  <c r="M28" i="16" a="1"/>
  <c r="I28" i="16"/>
  <c r="H28" i="16"/>
  <c r="Q27" i="16" a="1"/>
  <c r="P27" i="16" a="1"/>
  <c r="O27" i="16" a="1"/>
  <c r="N27" i="16" a="1"/>
  <c r="M27" i="16" a="1"/>
  <c r="I27" i="16"/>
  <c r="H27" i="16"/>
  <c r="I26" i="16"/>
  <c r="H26" i="16"/>
  <c r="I25" i="16"/>
  <c r="H25" i="16"/>
  <c r="I24" i="16"/>
  <c r="H24" i="16"/>
  <c r="Q23" i="16" a="1"/>
  <c r="P23" i="16" a="1"/>
  <c r="O23" i="16" a="1"/>
  <c r="N23" i="16" a="1"/>
  <c r="M23" i="16" a="1"/>
  <c r="I23" i="16"/>
  <c r="H23" i="16"/>
  <c r="Q22" i="16" a="1"/>
  <c r="P22" i="16" a="1"/>
  <c r="O22" i="16" a="1"/>
  <c r="N22" i="16" a="1"/>
  <c r="M22" i="16" a="1"/>
  <c r="I22" i="16"/>
  <c r="H22" i="16"/>
  <c r="Q21" i="16" a="1"/>
  <c r="P21" i="16" a="1"/>
  <c r="O21" i="16" a="1"/>
  <c r="N21" i="16" a="1"/>
  <c r="M21" i="16" a="1"/>
  <c r="I21" i="16"/>
  <c r="H21" i="16"/>
  <c r="Q20" i="16" a="1"/>
  <c r="P20" i="16" a="1"/>
  <c r="O20" i="16" a="1"/>
  <c r="N20" i="16" a="1"/>
  <c r="M20" i="16" a="1"/>
  <c r="I20" i="16"/>
  <c r="H20" i="16"/>
  <c r="I19" i="16"/>
  <c r="H19" i="16"/>
  <c r="I18" i="16"/>
  <c r="H18" i="16"/>
  <c r="I17" i="16"/>
  <c r="H17" i="16"/>
  <c r="Q16" i="16" a="1"/>
  <c r="P16" i="16" a="1"/>
  <c r="O16" i="16" a="1"/>
  <c r="N16" i="16" a="1"/>
  <c r="M16" i="16" a="1"/>
  <c r="I16" i="16"/>
  <c r="H16" i="16"/>
  <c r="Q15" i="16" a="1"/>
  <c r="P15" i="16" a="1"/>
  <c r="O15" i="16" a="1"/>
  <c r="N15" i="16" a="1"/>
  <c r="M15" i="16" a="1"/>
  <c r="I15" i="16"/>
  <c r="H15" i="16"/>
  <c r="Q14" i="16" a="1"/>
  <c r="P14" i="16" a="1"/>
  <c r="O14" i="16" a="1"/>
  <c r="N14" i="16" a="1"/>
  <c r="M14" i="16" a="1"/>
  <c r="I14" i="16"/>
  <c r="H14" i="16"/>
  <c r="Q13" i="16" a="1"/>
  <c r="P13" i="16" a="1"/>
  <c r="O13" i="16" a="1"/>
  <c r="N13" i="16" a="1"/>
  <c r="M13" i="16" a="1"/>
  <c r="I13" i="16"/>
  <c r="H13" i="16"/>
  <c r="I12" i="16"/>
  <c r="H12" i="16"/>
  <c r="I11" i="16"/>
  <c r="H11" i="16"/>
  <c r="I10" i="16"/>
  <c r="H10" i="16"/>
  <c r="Q9" i="16" a="1"/>
  <c r="P9" i="16" a="1"/>
  <c r="O9" i="16" a="1"/>
  <c r="N9" i="16" a="1"/>
  <c r="M9" i="16" a="1"/>
  <c r="I9" i="16"/>
  <c r="H9" i="16"/>
  <c r="Q8" i="16" a="1"/>
  <c r="P8" i="16" a="1"/>
  <c r="O8" i="16" a="1"/>
  <c r="N8" i="16" a="1"/>
  <c r="M8" i="16" a="1"/>
  <c r="I8" i="16"/>
  <c r="H8" i="16"/>
  <c r="Q7" i="16" a="1"/>
  <c r="P7" i="16" a="1"/>
  <c r="O7" i="16" a="1"/>
  <c r="N7" i="16" a="1"/>
  <c r="M7" i="16" a="1"/>
  <c r="I7" i="16"/>
  <c r="H7" i="16"/>
  <c r="Q6" i="16" a="1"/>
  <c r="P6" i="16" a="1"/>
  <c r="O6" i="16" a="1"/>
  <c r="N6" i="16" a="1"/>
  <c r="M6" i="16" a="1"/>
  <c r="I6" i="16"/>
  <c r="H6" i="16"/>
  <c r="I5" i="16"/>
  <c r="H5" i="16"/>
  <c r="I4" i="16"/>
  <c r="H4" i="16"/>
  <c r="D114" i="14"/>
  <c r="D113" i="14"/>
  <c r="I107" i="14"/>
  <c r="H107" i="14"/>
  <c r="E107" i="14"/>
  <c r="D107" i="14"/>
  <c r="I106" i="14"/>
  <c r="H106" i="14"/>
  <c r="E106" i="14"/>
  <c r="D106" i="14"/>
  <c r="I105" i="14"/>
  <c r="H105" i="14"/>
  <c r="E105" i="14"/>
  <c r="D105" i="14"/>
  <c r="I104" i="14"/>
  <c r="H104" i="14"/>
  <c r="E104" i="14"/>
  <c r="D104" i="14"/>
  <c r="I103" i="14"/>
  <c r="H103" i="14"/>
  <c r="E103" i="14"/>
  <c r="D103" i="14"/>
  <c r="I102" i="14"/>
  <c r="H102" i="14"/>
  <c r="E102" i="14"/>
  <c r="D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Q86" i="14" a="1"/>
  <c r="P86" i="14" a="1"/>
  <c r="O86" i="14" a="1"/>
  <c r="N86" i="14" a="1"/>
  <c r="M86" i="14" a="1"/>
  <c r="I86" i="14"/>
  <c r="H86" i="14"/>
  <c r="Q85" i="14" a="1"/>
  <c r="P85" i="14" a="1"/>
  <c r="O85" i="14" a="1"/>
  <c r="N85" i="14" a="1"/>
  <c r="M85" i="14" a="1"/>
  <c r="I85" i="14"/>
  <c r="H85" i="14"/>
  <c r="Q84" i="14" a="1"/>
  <c r="P84" i="14" a="1"/>
  <c r="O84" i="14" a="1"/>
  <c r="N84" i="14" a="1"/>
  <c r="M84" i="14" a="1"/>
  <c r="I84" i="14"/>
  <c r="H84" i="14"/>
  <c r="Q83" i="14" a="1"/>
  <c r="P83" i="14" a="1"/>
  <c r="O83" i="14" a="1"/>
  <c r="N83" i="14" a="1"/>
  <c r="M83" i="14" a="1"/>
  <c r="I83" i="14"/>
  <c r="H83" i="14"/>
  <c r="I82" i="14"/>
  <c r="H82" i="14"/>
  <c r="I81" i="14"/>
  <c r="H81" i="14"/>
  <c r="I80" i="14"/>
  <c r="H80" i="14"/>
  <c r="Q79" i="14" a="1"/>
  <c r="P79" i="14" a="1"/>
  <c r="O79" i="14" a="1"/>
  <c r="N79" i="14" a="1"/>
  <c r="M79" i="14" a="1"/>
  <c r="I79" i="14"/>
  <c r="H79" i="14"/>
  <c r="Q78" i="14" a="1"/>
  <c r="P78" i="14" a="1"/>
  <c r="O78" i="14" a="1"/>
  <c r="N78" i="14" a="1"/>
  <c r="M78" i="14" a="1"/>
  <c r="I78" i="14"/>
  <c r="H78" i="14"/>
  <c r="Q77" i="14" a="1"/>
  <c r="P77" i="14" a="1"/>
  <c r="O77" i="14" a="1"/>
  <c r="N77" i="14" a="1"/>
  <c r="M77" i="14" a="1"/>
  <c r="I77" i="14"/>
  <c r="H77" i="14"/>
  <c r="Q76" i="14" a="1"/>
  <c r="P76" i="14" a="1"/>
  <c r="O76" i="14" a="1"/>
  <c r="N76" i="14" a="1"/>
  <c r="M76" i="14" a="1"/>
  <c r="I76" i="14"/>
  <c r="H76" i="14"/>
  <c r="I75" i="14"/>
  <c r="I74" i="14"/>
  <c r="I73" i="14"/>
  <c r="Q72" i="14" a="1"/>
  <c r="P72" i="14" a="1"/>
  <c r="O72" i="14" a="1"/>
  <c r="N72" i="14" a="1"/>
  <c r="M72" i="14" a="1"/>
  <c r="I72" i="14"/>
  <c r="Q71" i="14" a="1"/>
  <c r="P71" i="14" a="1"/>
  <c r="O71" i="14" a="1"/>
  <c r="N71" i="14" a="1"/>
  <c r="M71" i="14" a="1"/>
  <c r="I71" i="14"/>
  <c r="Q70" i="14" a="1"/>
  <c r="P70" i="14" a="1"/>
  <c r="O70" i="14" a="1"/>
  <c r="N70" i="14" a="1"/>
  <c r="M70" i="14" a="1"/>
  <c r="I70" i="14"/>
  <c r="Q69" i="14" a="1"/>
  <c r="P69" i="14" a="1"/>
  <c r="O69" i="14" a="1"/>
  <c r="N69" i="14" a="1"/>
  <c r="M69" i="14" a="1"/>
  <c r="I69" i="14"/>
  <c r="I68" i="14"/>
  <c r="I67" i="14"/>
  <c r="I66" i="14"/>
  <c r="Q65" i="14" a="1"/>
  <c r="P65" i="14" a="1"/>
  <c r="O65" i="14" a="1"/>
  <c r="N65" i="14" a="1"/>
  <c r="M65" i="14" a="1"/>
  <c r="I65" i="14"/>
  <c r="Q64" i="14" a="1"/>
  <c r="P64" i="14" a="1"/>
  <c r="O64" i="14" a="1"/>
  <c r="N64" i="14" a="1"/>
  <c r="M64" i="14" a="1"/>
  <c r="I64" i="14"/>
  <c r="Q63" i="14" a="1"/>
  <c r="P63" i="14" a="1"/>
  <c r="O63" i="14" a="1"/>
  <c r="N63" i="14" a="1"/>
  <c r="M63" i="14" a="1"/>
  <c r="I63" i="14"/>
  <c r="Q62" i="14" a="1"/>
  <c r="P62" i="14" a="1"/>
  <c r="O62" i="14" a="1"/>
  <c r="N62" i="14" a="1"/>
  <c r="M62" i="14" a="1"/>
  <c r="I62" i="14"/>
  <c r="I61" i="14"/>
  <c r="I60" i="14"/>
  <c r="I59" i="14"/>
  <c r="Q58" i="14" a="1"/>
  <c r="P58" i="14" a="1"/>
  <c r="O58" i="14" a="1"/>
  <c r="N58" i="14" a="1"/>
  <c r="M58" i="14" a="1"/>
  <c r="I58" i="14"/>
  <c r="Q57" i="14" a="1"/>
  <c r="P57" i="14" a="1"/>
  <c r="O57" i="14" a="1"/>
  <c r="N57" i="14" a="1"/>
  <c r="M57" i="14" a="1"/>
  <c r="I57" i="14"/>
  <c r="Q56" i="14" a="1"/>
  <c r="P56" i="14" a="1"/>
  <c r="O56" i="14" a="1"/>
  <c r="N56" i="14" a="1"/>
  <c r="M56" i="14" a="1"/>
  <c r="I56" i="14"/>
  <c r="Q55" i="14" a="1"/>
  <c r="P55" i="14" a="1"/>
  <c r="O55" i="14" a="1"/>
  <c r="N55" i="14" a="1"/>
  <c r="M55" i="14" a="1"/>
  <c r="I55" i="14"/>
  <c r="I54" i="14"/>
  <c r="I53" i="14"/>
  <c r="I52" i="14"/>
  <c r="Q51" i="14" a="1"/>
  <c r="P51" i="14" a="1"/>
  <c r="O51" i="14" a="1"/>
  <c r="N51" i="14" a="1"/>
  <c r="M51" i="14" a="1"/>
  <c r="I51" i="14"/>
  <c r="Q50" i="14" a="1"/>
  <c r="P50" i="14" a="1"/>
  <c r="O50" i="14" a="1"/>
  <c r="N50" i="14" a="1"/>
  <c r="M50" i="14" a="1"/>
  <c r="I50" i="14"/>
  <c r="Q49" i="14" a="1"/>
  <c r="P49" i="14" a="1"/>
  <c r="O49" i="14" a="1"/>
  <c r="N49" i="14" a="1"/>
  <c r="M49" i="14" a="1"/>
  <c r="I49" i="14"/>
  <c r="Q48" i="14" a="1"/>
  <c r="P48" i="14" a="1"/>
  <c r="O48" i="14" a="1"/>
  <c r="N48" i="14" a="1"/>
  <c r="M48" i="14" a="1"/>
  <c r="I48" i="14"/>
  <c r="I47" i="14"/>
  <c r="I46" i="14"/>
  <c r="I45" i="14"/>
  <c r="Q44" i="14" a="1"/>
  <c r="P44" i="14" a="1"/>
  <c r="O44" i="14" a="1"/>
  <c r="N44" i="14" a="1"/>
  <c r="M44" i="14" a="1"/>
  <c r="I44" i="14"/>
  <c r="Q43" i="14" a="1"/>
  <c r="P43" i="14" a="1"/>
  <c r="O43" i="14" a="1"/>
  <c r="N43" i="14" a="1"/>
  <c r="M43" i="14" a="1"/>
  <c r="I43" i="14"/>
  <c r="Q42" i="14" a="1"/>
  <c r="P42" i="14" a="1"/>
  <c r="O42" i="14" a="1"/>
  <c r="N42" i="14" a="1"/>
  <c r="M42" i="14" a="1"/>
  <c r="I42" i="14"/>
  <c r="Q41" i="14" a="1"/>
  <c r="P41" i="14" a="1"/>
  <c r="O41" i="14" a="1"/>
  <c r="N41" i="14" a="1"/>
  <c r="M41" i="14" a="1"/>
  <c r="I41" i="14"/>
  <c r="I40" i="14"/>
  <c r="I39" i="14"/>
  <c r="I38" i="14"/>
  <c r="Q37" i="14" a="1"/>
  <c r="P37" i="14" a="1"/>
  <c r="O37" i="14" a="1"/>
  <c r="N37" i="14" a="1"/>
  <c r="M37" i="14" a="1"/>
  <c r="I37" i="14"/>
  <c r="Q36" i="14" a="1"/>
  <c r="P36" i="14" a="1"/>
  <c r="O36" i="14" a="1"/>
  <c r="N36" i="14" a="1"/>
  <c r="M36" i="14" a="1"/>
  <c r="I36" i="14"/>
  <c r="Q35" i="14" a="1"/>
  <c r="P35" i="14" a="1"/>
  <c r="O35" i="14" a="1"/>
  <c r="N35" i="14" a="1"/>
  <c r="M35" i="14" a="1"/>
  <c r="I35" i="14"/>
  <c r="Q34" i="14" a="1"/>
  <c r="P34" i="14" a="1"/>
  <c r="O34" i="14" a="1"/>
  <c r="N34" i="14" a="1"/>
  <c r="M34" i="14" a="1"/>
  <c r="I34" i="14"/>
  <c r="I33" i="14"/>
  <c r="I32" i="14"/>
  <c r="I31" i="14"/>
  <c r="Q30" i="14" a="1"/>
  <c r="P30" i="14" a="1"/>
  <c r="O30" i="14" a="1"/>
  <c r="N30" i="14" a="1"/>
  <c r="M30" i="14" a="1"/>
  <c r="I30" i="14"/>
  <c r="Q29" i="14" a="1"/>
  <c r="P29" i="14" a="1"/>
  <c r="O29" i="14" a="1"/>
  <c r="N29" i="14" a="1"/>
  <c r="M29" i="14" a="1"/>
  <c r="I29" i="14"/>
  <c r="Q28" i="14" a="1"/>
  <c r="P28" i="14" a="1"/>
  <c r="O28" i="14" a="1"/>
  <c r="N28" i="14" a="1"/>
  <c r="M28" i="14" a="1"/>
  <c r="I28" i="14"/>
  <c r="Q27" i="14" a="1"/>
  <c r="P27" i="14" a="1"/>
  <c r="O27" i="14" a="1"/>
  <c r="N27" i="14" a="1"/>
  <c r="M27" i="14" a="1"/>
  <c r="I27" i="14"/>
  <c r="I26" i="14"/>
  <c r="I25" i="14"/>
  <c r="I24" i="14"/>
  <c r="Q23" i="14" a="1"/>
  <c r="P23" i="14" a="1"/>
  <c r="O23" i="14" a="1"/>
  <c r="N23" i="14" a="1"/>
  <c r="M23" i="14" a="1"/>
  <c r="I23" i="14"/>
  <c r="Q22" i="14" a="1"/>
  <c r="P22" i="14" a="1"/>
  <c r="O22" i="14" a="1"/>
  <c r="N22" i="14" a="1"/>
  <c r="M22" i="14" a="1"/>
  <c r="I22" i="14"/>
  <c r="Q21" i="14" a="1"/>
  <c r="P21" i="14" a="1"/>
  <c r="O21" i="14" a="1"/>
  <c r="N21" i="14" a="1"/>
  <c r="M21" i="14" a="1"/>
  <c r="I21" i="14"/>
  <c r="Q20" i="14" a="1"/>
  <c r="P20" i="14" a="1"/>
  <c r="O20" i="14" a="1"/>
  <c r="N20" i="14" a="1"/>
  <c r="M20" i="14" a="1"/>
  <c r="I20" i="14"/>
  <c r="I19" i="14"/>
  <c r="I18" i="14"/>
  <c r="I17" i="14"/>
  <c r="Q16" i="14" a="1"/>
  <c r="P16" i="14" a="1"/>
  <c r="O16" i="14" a="1"/>
  <c r="N16" i="14" a="1"/>
  <c r="M16" i="14" a="1"/>
  <c r="I16" i="14"/>
  <c r="Q15" i="14" a="1"/>
  <c r="P15" i="14" a="1"/>
  <c r="O15" i="14" a="1"/>
  <c r="N15" i="14" a="1"/>
  <c r="M15" i="14" a="1"/>
  <c r="I15" i="14"/>
  <c r="Q14" i="14" a="1"/>
  <c r="P14" i="14" a="1"/>
  <c r="O14" i="14" a="1"/>
  <c r="N14" i="14" a="1"/>
  <c r="M14" i="14" a="1"/>
  <c r="I14" i="14"/>
  <c r="Q13" i="14" a="1"/>
  <c r="P13" i="14" a="1"/>
  <c r="O13" i="14" a="1"/>
  <c r="N13" i="14" a="1"/>
  <c r="M13" i="14" a="1"/>
  <c r="I13" i="14"/>
  <c r="I12" i="14"/>
  <c r="I11" i="14"/>
  <c r="I10" i="14"/>
  <c r="Q9" i="14" a="1"/>
  <c r="P9" i="14" a="1"/>
  <c r="O9" i="14" a="1"/>
  <c r="N9" i="14" a="1"/>
  <c r="M9" i="14" a="1"/>
  <c r="I9" i="14"/>
  <c r="Q8" i="14" a="1"/>
  <c r="P8" i="14" a="1"/>
  <c r="O8" i="14" a="1"/>
  <c r="N8" i="14" a="1"/>
  <c r="M8" i="14" a="1"/>
  <c r="I8" i="14"/>
  <c r="Q7" i="14" a="1"/>
  <c r="P7" i="14" a="1"/>
  <c r="O7" i="14" a="1"/>
  <c r="N7" i="14" a="1"/>
  <c r="M7" i="14" a="1"/>
  <c r="I7" i="14"/>
  <c r="Q6" i="14" a="1"/>
  <c r="P6" i="14" a="1"/>
  <c r="O6" i="14" a="1"/>
  <c r="N6" i="14" a="1"/>
  <c r="M6" i="14" a="1"/>
  <c r="I6" i="14"/>
  <c r="I5" i="14"/>
  <c r="I4" i="14"/>
  <c r="D114" i="15"/>
  <c r="D113" i="15"/>
  <c r="I107" i="15"/>
  <c r="H107" i="15"/>
  <c r="E107" i="15"/>
  <c r="D107" i="15"/>
  <c r="I106" i="15"/>
  <c r="H106" i="15"/>
  <c r="E106" i="15"/>
  <c r="D106" i="15"/>
  <c r="I105" i="15"/>
  <c r="H105" i="15"/>
  <c r="E105" i="15"/>
  <c r="D105" i="15"/>
  <c r="I104" i="15"/>
  <c r="H104" i="15"/>
  <c r="E104" i="15"/>
  <c r="D104" i="15"/>
  <c r="I103" i="15"/>
  <c r="H103" i="15"/>
  <c r="E103" i="15"/>
  <c r="D103" i="15"/>
  <c r="I102" i="15"/>
  <c r="H102" i="15"/>
  <c r="E102" i="15"/>
  <c r="D102" i="15"/>
  <c r="I101" i="15"/>
  <c r="H101" i="15"/>
  <c r="E101" i="15"/>
  <c r="D101" i="15"/>
  <c r="I100" i="15"/>
  <c r="H100" i="15"/>
  <c r="E100" i="15"/>
  <c r="D100" i="15"/>
  <c r="I99" i="15"/>
  <c r="H99" i="15"/>
  <c r="I98" i="15"/>
  <c r="H98" i="15"/>
  <c r="I97" i="15"/>
  <c r="H97" i="15"/>
  <c r="I96" i="15"/>
  <c r="H96" i="15"/>
  <c r="I95" i="15"/>
  <c r="H95" i="15"/>
  <c r="I94" i="15"/>
  <c r="H94" i="15"/>
  <c r="I93" i="15"/>
  <c r="H93" i="15"/>
  <c r="I92" i="15"/>
  <c r="H92" i="15"/>
  <c r="I91" i="15"/>
  <c r="H91" i="15"/>
  <c r="I90" i="15"/>
  <c r="H90" i="15"/>
  <c r="I89" i="15"/>
  <c r="H89" i="15"/>
  <c r="I88" i="15"/>
  <c r="H88" i="15"/>
  <c r="I87" i="15"/>
  <c r="H87" i="15"/>
  <c r="Q86" i="15" a="1"/>
  <c r="P86" i="15" a="1"/>
  <c r="O86" i="15" a="1"/>
  <c r="N86" i="15" a="1"/>
  <c r="M86" i="15" a="1"/>
  <c r="I86" i="15"/>
  <c r="H86" i="15"/>
  <c r="Q85" i="15" a="1"/>
  <c r="P85" i="15" a="1"/>
  <c r="O85" i="15" a="1"/>
  <c r="N85" i="15" a="1"/>
  <c r="M85" i="15" a="1"/>
  <c r="I85" i="15"/>
  <c r="H85" i="15"/>
  <c r="Q84" i="15" a="1"/>
  <c r="P84" i="15" a="1"/>
  <c r="O84" i="15" a="1"/>
  <c r="N84" i="15" a="1"/>
  <c r="M84" i="15" a="1"/>
  <c r="I84" i="15"/>
  <c r="H84" i="15"/>
  <c r="Q83" i="15" a="1"/>
  <c r="P83" i="15" a="1"/>
  <c r="O83" i="15" a="1"/>
  <c r="N83" i="15" a="1"/>
  <c r="M83" i="15" a="1"/>
  <c r="I83" i="15"/>
  <c r="H83" i="15"/>
  <c r="I82" i="15"/>
  <c r="H82" i="15"/>
  <c r="I81" i="15"/>
  <c r="H81" i="15"/>
  <c r="I80" i="15"/>
  <c r="H80" i="15"/>
  <c r="Q79" i="15" a="1"/>
  <c r="P79" i="15" a="1"/>
  <c r="O79" i="15" a="1"/>
  <c r="N79" i="15" a="1"/>
  <c r="M79" i="15" a="1"/>
  <c r="I79" i="15"/>
  <c r="H79" i="15"/>
  <c r="Q78" i="15" a="1"/>
  <c r="P78" i="15" a="1"/>
  <c r="O78" i="15" a="1"/>
  <c r="N78" i="15" a="1"/>
  <c r="M78" i="15" a="1"/>
  <c r="I78" i="15"/>
  <c r="H78" i="15"/>
  <c r="Q77" i="15" a="1"/>
  <c r="P77" i="15" a="1"/>
  <c r="O77" i="15" a="1"/>
  <c r="N77" i="15" a="1"/>
  <c r="M77" i="15" a="1"/>
  <c r="I77" i="15"/>
  <c r="H77" i="15"/>
  <c r="Q76" i="15" a="1"/>
  <c r="P76" i="15" a="1"/>
  <c r="O76" i="15" a="1"/>
  <c r="N76" i="15" a="1"/>
  <c r="M76" i="15" a="1"/>
  <c r="I76" i="15"/>
  <c r="H76" i="15"/>
  <c r="I75" i="15"/>
  <c r="H75" i="15"/>
  <c r="I74" i="15"/>
  <c r="H74" i="15"/>
  <c r="I73" i="15"/>
  <c r="H73" i="15"/>
  <c r="Q72" i="15" a="1"/>
  <c r="P72" i="15" a="1"/>
  <c r="O72" i="15" a="1"/>
  <c r="N72" i="15" a="1"/>
  <c r="M72" i="15" a="1"/>
  <c r="I72" i="15"/>
  <c r="H72" i="15"/>
  <c r="Q71" i="15" a="1"/>
  <c r="P71" i="15" a="1"/>
  <c r="O71" i="15" a="1"/>
  <c r="N71" i="15" a="1"/>
  <c r="M71" i="15" a="1"/>
  <c r="I71" i="15"/>
  <c r="H71" i="15"/>
  <c r="Q70" i="15" a="1"/>
  <c r="P70" i="15" a="1"/>
  <c r="O70" i="15" a="1"/>
  <c r="N70" i="15" a="1"/>
  <c r="M70" i="15" a="1"/>
  <c r="I70" i="15"/>
  <c r="H70" i="15"/>
  <c r="Q69" i="15" a="1"/>
  <c r="P69" i="15" a="1"/>
  <c r="O69" i="15" a="1"/>
  <c r="N69" i="15" a="1"/>
  <c r="M69" i="15" a="1"/>
  <c r="I69" i="15"/>
  <c r="H69" i="15"/>
  <c r="I68" i="15"/>
  <c r="H68" i="15"/>
  <c r="I67" i="15"/>
  <c r="H67" i="15"/>
  <c r="I66" i="15"/>
  <c r="H66" i="15"/>
  <c r="Q65" i="15" a="1"/>
  <c r="P65" i="15" a="1"/>
  <c r="O65" i="15" a="1"/>
  <c r="N65" i="15" a="1"/>
  <c r="M65" i="15" a="1"/>
  <c r="I65" i="15"/>
  <c r="H65" i="15"/>
  <c r="Q64" i="15" a="1"/>
  <c r="P64" i="15" a="1"/>
  <c r="O64" i="15" a="1"/>
  <c r="N64" i="15" a="1"/>
  <c r="M64" i="15" a="1"/>
  <c r="I64" i="15"/>
  <c r="H64" i="15"/>
  <c r="Q63" i="15" a="1"/>
  <c r="P63" i="15" a="1"/>
  <c r="O63" i="15" a="1"/>
  <c r="N63" i="15" a="1"/>
  <c r="M63" i="15" a="1"/>
  <c r="I63" i="15"/>
  <c r="H63" i="15"/>
  <c r="Q62" i="15" a="1"/>
  <c r="P62" i="15" a="1"/>
  <c r="O62" i="15" a="1"/>
  <c r="N62" i="15" a="1"/>
  <c r="M62" i="15" a="1"/>
  <c r="I62" i="15"/>
  <c r="H62" i="15"/>
  <c r="I61" i="15"/>
  <c r="H61" i="15"/>
  <c r="I60" i="15"/>
  <c r="H60" i="15"/>
  <c r="I59" i="15"/>
  <c r="H59" i="15"/>
  <c r="Q58" i="15" a="1"/>
  <c r="P58" i="15" a="1"/>
  <c r="O58" i="15" a="1"/>
  <c r="N58" i="15" a="1"/>
  <c r="M58" i="15" a="1"/>
  <c r="I58" i="15"/>
  <c r="H58" i="15"/>
  <c r="Q57" i="15" a="1"/>
  <c r="P57" i="15" a="1"/>
  <c r="O57" i="15" a="1"/>
  <c r="N57" i="15" a="1"/>
  <c r="M57" i="15" a="1"/>
  <c r="I57" i="15"/>
  <c r="H57" i="15"/>
  <c r="Q56" i="15" a="1"/>
  <c r="P56" i="15" a="1"/>
  <c r="O56" i="15" a="1"/>
  <c r="N56" i="15" a="1"/>
  <c r="M56" i="15" a="1"/>
  <c r="I56" i="15"/>
  <c r="H56" i="15"/>
  <c r="Q55" i="15" a="1"/>
  <c r="P55" i="15" a="1"/>
  <c r="O55" i="15" a="1"/>
  <c r="N55" i="15" a="1"/>
  <c r="M55" i="15" a="1"/>
  <c r="I55" i="15"/>
  <c r="H55" i="15"/>
  <c r="I54" i="15"/>
  <c r="H54" i="15"/>
  <c r="I53" i="15"/>
  <c r="H53" i="15"/>
  <c r="I52" i="15"/>
  <c r="H52" i="15"/>
  <c r="Q51" i="15" a="1"/>
  <c r="P51" i="15" a="1"/>
  <c r="O51" i="15" a="1"/>
  <c r="N51" i="15" a="1"/>
  <c r="M51" i="15" a="1"/>
  <c r="I51" i="15"/>
  <c r="H51" i="15"/>
  <c r="Q50" i="15" a="1"/>
  <c r="P50" i="15" a="1"/>
  <c r="O50" i="15" a="1"/>
  <c r="N50" i="15" a="1"/>
  <c r="M50" i="15" a="1"/>
  <c r="I50" i="15"/>
  <c r="H50" i="15"/>
  <c r="Q49" i="15" a="1"/>
  <c r="P49" i="15" a="1"/>
  <c r="O49" i="15" a="1"/>
  <c r="N49" i="15" a="1"/>
  <c r="M49" i="15" a="1"/>
  <c r="I49" i="15"/>
  <c r="H49" i="15"/>
  <c r="Q48" i="15" a="1"/>
  <c r="P48" i="15" a="1"/>
  <c r="O48" i="15" a="1"/>
  <c r="N48" i="15" a="1"/>
  <c r="M48" i="15" a="1"/>
  <c r="I48" i="15"/>
  <c r="H48" i="15"/>
  <c r="I47" i="15"/>
  <c r="H47" i="15"/>
  <c r="I46" i="15"/>
  <c r="H46" i="15"/>
  <c r="I45" i="15"/>
  <c r="H45" i="15"/>
  <c r="Q44" i="15" a="1"/>
  <c r="P44" i="15" a="1"/>
  <c r="O44" i="15" a="1"/>
  <c r="N44" i="15" a="1"/>
  <c r="M44" i="15" a="1"/>
  <c r="I44" i="15"/>
  <c r="H44" i="15"/>
  <c r="Q43" i="15" a="1"/>
  <c r="P43" i="15" a="1"/>
  <c r="O43" i="15" a="1"/>
  <c r="N43" i="15" a="1"/>
  <c r="M43" i="15" a="1"/>
  <c r="I43" i="15"/>
  <c r="H43" i="15"/>
  <c r="Q42" i="15" a="1"/>
  <c r="P42" i="15" a="1"/>
  <c r="O42" i="15" a="1"/>
  <c r="N42" i="15" a="1"/>
  <c r="M42" i="15" a="1"/>
  <c r="I42" i="15"/>
  <c r="H42" i="15"/>
  <c r="Q41" i="15" a="1"/>
  <c r="P41" i="15" a="1"/>
  <c r="O41" i="15" a="1"/>
  <c r="N41" i="15" a="1"/>
  <c r="M41" i="15" a="1"/>
  <c r="I41" i="15"/>
  <c r="H41" i="15"/>
  <c r="I40" i="15"/>
  <c r="H40" i="15"/>
  <c r="I39" i="15"/>
  <c r="H39" i="15"/>
  <c r="I38" i="15"/>
  <c r="H38" i="15"/>
  <c r="Q37" i="15" a="1"/>
  <c r="P37" i="15" a="1"/>
  <c r="O37" i="15" a="1"/>
  <c r="N37" i="15" a="1"/>
  <c r="M37" i="15" a="1"/>
  <c r="I37" i="15"/>
  <c r="H37" i="15"/>
  <c r="Q36" i="15" a="1"/>
  <c r="P36" i="15" a="1"/>
  <c r="O36" i="15" a="1"/>
  <c r="N36" i="15" a="1"/>
  <c r="M36" i="15" a="1"/>
  <c r="I36" i="15"/>
  <c r="H36" i="15"/>
  <c r="Q35" i="15" a="1"/>
  <c r="P35" i="15" a="1"/>
  <c r="O35" i="15" a="1"/>
  <c r="N35" i="15" a="1"/>
  <c r="M35" i="15" a="1"/>
  <c r="I35" i="15"/>
  <c r="H35" i="15"/>
  <c r="Q34" i="15" a="1"/>
  <c r="P34" i="15" a="1"/>
  <c r="O34" i="15" a="1"/>
  <c r="N34" i="15" a="1"/>
  <c r="M34" i="15" a="1"/>
  <c r="I34" i="15"/>
  <c r="H34" i="15"/>
  <c r="I33" i="15"/>
  <c r="H33" i="15"/>
  <c r="I32" i="15"/>
  <c r="H32" i="15"/>
  <c r="I31" i="15"/>
  <c r="H31" i="15"/>
  <c r="Q30" i="15" a="1"/>
  <c r="P30" i="15" a="1"/>
  <c r="O30" i="15" a="1"/>
  <c r="N30" i="15" a="1"/>
  <c r="M30" i="15" a="1"/>
  <c r="I30" i="15"/>
  <c r="H30" i="15"/>
  <c r="Q29" i="15" a="1"/>
  <c r="P29" i="15" a="1"/>
  <c r="O29" i="15" a="1"/>
  <c r="N29" i="15" a="1"/>
  <c r="M29" i="15" a="1"/>
  <c r="I29" i="15"/>
  <c r="H29" i="15"/>
  <c r="Q28" i="15" a="1"/>
  <c r="P28" i="15" a="1"/>
  <c r="O28" i="15" a="1"/>
  <c r="N28" i="15" a="1"/>
  <c r="M28" i="15" a="1"/>
  <c r="I28" i="15"/>
  <c r="H28" i="15"/>
  <c r="Q27" i="15" a="1"/>
  <c r="P27" i="15" a="1"/>
  <c r="O27" i="15" a="1"/>
  <c r="N27" i="15" a="1"/>
  <c r="M27" i="15" a="1"/>
  <c r="I27" i="15"/>
  <c r="H27" i="15"/>
  <c r="I26" i="15"/>
  <c r="H26" i="15"/>
  <c r="I25" i="15"/>
  <c r="H25" i="15"/>
  <c r="I24" i="15"/>
  <c r="H24" i="15"/>
  <c r="Q23" i="15" a="1"/>
  <c r="P23" i="15" a="1"/>
  <c r="O23" i="15" a="1"/>
  <c r="N23" i="15" a="1"/>
  <c r="M23" i="15" a="1"/>
  <c r="I23" i="15"/>
  <c r="H23" i="15"/>
  <c r="Q22" i="15" a="1"/>
  <c r="P22" i="15" a="1"/>
  <c r="O22" i="15" a="1"/>
  <c r="N22" i="15" a="1"/>
  <c r="M22" i="15" a="1"/>
  <c r="I22" i="15"/>
  <c r="H22" i="15"/>
  <c r="Q21" i="15" a="1"/>
  <c r="P21" i="15" a="1"/>
  <c r="O21" i="15" a="1"/>
  <c r="N21" i="15" a="1"/>
  <c r="M21" i="15" a="1"/>
  <c r="I21" i="15"/>
  <c r="H21" i="15"/>
  <c r="Q20" i="15" a="1"/>
  <c r="P20" i="15" a="1"/>
  <c r="O20" i="15" a="1"/>
  <c r="N20" i="15" a="1"/>
  <c r="M20" i="15" a="1"/>
  <c r="I20" i="15"/>
  <c r="H20" i="15"/>
  <c r="I19" i="15"/>
  <c r="H19" i="15"/>
  <c r="I18" i="15"/>
  <c r="H18" i="15"/>
  <c r="I17" i="15"/>
  <c r="H17" i="15"/>
  <c r="Q16" i="15" a="1"/>
  <c r="P16" i="15" a="1"/>
  <c r="O16" i="15" a="1"/>
  <c r="N16" i="15" a="1"/>
  <c r="M16" i="15" a="1"/>
  <c r="I16" i="15"/>
  <c r="H16" i="15"/>
  <c r="Q15" i="15" a="1"/>
  <c r="P15" i="15" a="1"/>
  <c r="O15" i="15" a="1"/>
  <c r="N15" i="15" a="1"/>
  <c r="M15" i="15" a="1"/>
  <c r="I15" i="15"/>
  <c r="H15" i="15"/>
  <c r="Q14" i="15" a="1"/>
  <c r="P14" i="15" a="1"/>
  <c r="O14" i="15" a="1"/>
  <c r="N14" i="15" a="1"/>
  <c r="M14" i="15" a="1"/>
  <c r="I14" i="15"/>
  <c r="H14" i="15"/>
  <c r="Q13" i="15" a="1"/>
  <c r="P13" i="15" a="1"/>
  <c r="O13" i="15" a="1"/>
  <c r="N13" i="15" a="1"/>
  <c r="M13" i="15" a="1"/>
  <c r="I13" i="15"/>
  <c r="H13" i="15"/>
  <c r="I12" i="15"/>
  <c r="H12" i="15"/>
  <c r="I11" i="15"/>
  <c r="H11" i="15"/>
  <c r="I10" i="15"/>
  <c r="H10" i="15"/>
  <c r="Q9" i="15" a="1"/>
  <c r="P9" i="15" a="1"/>
  <c r="O9" i="15" a="1"/>
  <c r="N9" i="15" a="1"/>
  <c r="M9" i="15" a="1"/>
  <c r="I9" i="15"/>
  <c r="H9" i="15"/>
  <c r="Q8" i="15" a="1"/>
  <c r="P8" i="15" a="1"/>
  <c r="O8" i="15" a="1"/>
  <c r="N8" i="15" a="1"/>
  <c r="M8" i="15" a="1"/>
  <c r="I8" i="15"/>
  <c r="H8" i="15"/>
  <c r="Q7" i="15" a="1"/>
  <c r="P7" i="15" a="1"/>
  <c r="O7" i="15" a="1"/>
  <c r="N7" i="15" a="1"/>
  <c r="M7" i="15" a="1"/>
  <c r="I7" i="15"/>
  <c r="H7" i="15"/>
  <c r="Q6" i="15" a="1"/>
  <c r="P6" i="15" a="1"/>
  <c r="O6" i="15" a="1"/>
  <c r="N6" i="15" a="1"/>
  <c r="M6" i="15" a="1"/>
  <c r="I6" i="15"/>
  <c r="H6" i="15"/>
  <c r="I5" i="15"/>
  <c r="H5" i="15"/>
  <c r="I4" i="15"/>
  <c r="H4" i="15"/>
  <c r="D114" i="13"/>
  <c r="D113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Q86" i="13" a="1"/>
  <c r="P86" i="13" a="1"/>
  <c r="O86" i="13" a="1"/>
  <c r="N86" i="13" a="1"/>
  <c r="M86" i="13" a="1"/>
  <c r="I86" i="13"/>
  <c r="Q85" i="13" a="1"/>
  <c r="P85" i="13" a="1"/>
  <c r="O85" i="13" a="1"/>
  <c r="N85" i="13" a="1"/>
  <c r="M85" i="13" a="1"/>
  <c r="I85" i="13"/>
  <c r="Q84" i="13" a="1"/>
  <c r="P84" i="13" a="1"/>
  <c r="O84" i="13" a="1"/>
  <c r="N84" i="13" a="1"/>
  <c r="M84" i="13" a="1"/>
  <c r="I84" i="13"/>
  <c r="Q83" i="13" a="1"/>
  <c r="P83" i="13" a="1"/>
  <c r="O83" i="13" a="1"/>
  <c r="N83" i="13" a="1"/>
  <c r="M83" i="13" a="1"/>
  <c r="I83" i="13"/>
  <c r="I82" i="13"/>
  <c r="I81" i="13"/>
  <c r="I80" i="13"/>
  <c r="Q79" i="13" a="1"/>
  <c r="P79" i="13" a="1"/>
  <c r="O79" i="13" a="1"/>
  <c r="N79" i="13" a="1"/>
  <c r="M79" i="13" a="1"/>
  <c r="I79" i="13"/>
  <c r="Q78" i="13" a="1"/>
  <c r="P78" i="13" a="1"/>
  <c r="O78" i="13" a="1"/>
  <c r="N78" i="13" a="1"/>
  <c r="M78" i="13" a="1"/>
  <c r="I78" i="13"/>
  <c r="Q77" i="13" a="1"/>
  <c r="P77" i="13" a="1"/>
  <c r="O77" i="13" a="1"/>
  <c r="N77" i="13" a="1"/>
  <c r="M77" i="13" a="1"/>
  <c r="I77" i="13"/>
  <c r="Q76" i="13" a="1"/>
  <c r="P76" i="13" a="1"/>
  <c r="O76" i="13" a="1"/>
  <c r="N76" i="13" a="1"/>
  <c r="M76" i="13" a="1"/>
  <c r="I76" i="13"/>
  <c r="I75" i="13"/>
  <c r="H75" i="13"/>
  <c r="I74" i="13"/>
  <c r="H74" i="13"/>
  <c r="I73" i="13"/>
  <c r="H73" i="13"/>
  <c r="Q72" i="13" a="1"/>
  <c r="P72" i="13" a="1"/>
  <c r="O72" i="13" a="1"/>
  <c r="N72" i="13" a="1"/>
  <c r="M72" i="13" a="1"/>
  <c r="I72" i="13"/>
  <c r="H72" i="13"/>
  <c r="Q71" i="13" a="1"/>
  <c r="P71" i="13" a="1"/>
  <c r="O71" i="13" a="1"/>
  <c r="N71" i="13" a="1"/>
  <c r="M71" i="13" a="1"/>
  <c r="I71" i="13"/>
  <c r="H71" i="13"/>
  <c r="Q70" i="13" a="1"/>
  <c r="P70" i="13" a="1"/>
  <c r="O70" i="13" a="1"/>
  <c r="N70" i="13" a="1"/>
  <c r="M70" i="13" a="1"/>
  <c r="I70" i="13"/>
  <c r="H70" i="13"/>
  <c r="Q69" i="13" a="1"/>
  <c r="P69" i="13" a="1"/>
  <c r="O69" i="13" a="1"/>
  <c r="N69" i="13" a="1"/>
  <c r="M69" i="13" a="1"/>
  <c r="I69" i="13"/>
  <c r="H69" i="13"/>
  <c r="I68" i="13"/>
  <c r="H68" i="13"/>
  <c r="I67" i="13"/>
  <c r="H67" i="13"/>
  <c r="I66" i="13"/>
  <c r="H66" i="13"/>
  <c r="Q65" i="13" a="1"/>
  <c r="P65" i="13" a="1"/>
  <c r="O65" i="13" a="1"/>
  <c r="N65" i="13" a="1"/>
  <c r="M65" i="13" a="1"/>
  <c r="I65" i="13"/>
  <c r="H65" i="13"/>
  <c r="Q64" i="13" a="1"/>
  <c r="P64" i="13" a="1"/>
  <c r="O64" i="13" a="1"/>
  <c r="N64" i="13" a="1"/>
  <c r="M64" i="13" a="1"/>
  <c r="I64" i="13"/>
  <c r="H64" i="13"/>
  <c r="Q63" i="13" a="1"/>
  <c r="P63" i="13" a="1"/>
  <c r="O63" i="13" a="1"/>
  <c r="N63" i="13" a="1"/>
  <c r="M63" i="13" a="1"/>
  <c r="I63" i="13"/>
  <c r="H63" i="13"/>
  <c r="Q62" i="13" a="1"/>
  <c r="P62" i="13" a="1"/>
  <c r="O62" i="13" a="1"/>
  <c r="N62" i="13" a="1"/>
  <c r="M62" i="13" a="1"/>
  <c r="I62" i="13"/>
  <c r="H62" i="13"/>
  <c r="I61" i="13"/>
  <c r="H61" i="13"/>
  <c r="I60" i="13"/>
  <c r="H60" i="13"/>
  <c r="I59" i="13"/>
  <c r="H59" i="13"/>
  <c r="Q58" i="13" a="1"/>
  <c r="P58" i="13" a="1"/>
  <c r="O58" i="13" a="1"/>
  <c r="N58" i="13" a="1"/>
  <c r="M58" i="13" a="1"/>
  <c r="I58" i="13"/>
  <c r="H58" i="13"/>
  <c r="Q57" i="13" a="1"/>
  <c r="P57" i="13" a="1"/>
  <c r="O57" i="13" a="1"/>
  <c r="N57" i="13" a="1"/>
  <c r="M57" i="13" a="1"/>
  <c r="I57" i="13"/>
  <c r="H57" i="13"/>
  <c r="Q56" i="13" a="1"/>
  <c r="P56" i="13" a="1"/>
  <c r="O56" i="13" a="1"/>
  <c r="N56" i="13" a="1"/>
  <c r="M56" i="13" a="1"/>
  <c r="I56" i="13"/>
  <c r="H56" i="13"/>
  <c r="Q55" i="13" a="1"/>
  <c r="P55" i="13" a="1"/>
  <c r="O55" i="13" a="1"/>
  <c r="N55" i="13" a="1"/>
  <c r="M55" i="13" a="1"/>
  <c r="I55" i="13"/>
  <c r="H55" i="13"/>
  <c r="I54" i="13"/>
  <c r="H54" i="13"/>
  <c r="I53" i="13"/>
  <c r="H53" i="13"/>
  <c r="I52" i="13"/>
  <c r="H52" i="13"/>
  <c r="Q51" i="13" a="1"/>
  <c r="P51" i="13" a="1"/>
  <c r="O51" i="13" a="1"/>
  <c r="N51" i="13" a="1"/>
  <c r="M51" i="13" a="1"/>
  <c r="I51" i="13"/>
  <c r="H51" i="13"/>
  <c r="Q50" i="13" a="1"/>
  <c r="P50" i="13" a="1"/>
  <c r="O50" i="13" a="1"/>
  <c r="N50" i="13" a="1"/>
  <c r="M50" i="13" a="1"/>
  <c r="I50" i="13"/>
  <c r="H50" i="13"/>
  <c r="Q49" i="13" a="1"/>
  <c r="P49" i="13" a="1"/>
  <c r="O49" i="13" a="1"/>
  <c r="N49" i="13" a="1"/>
  <c r="M49" i="13" a="1"/>
  <c r="I49" i="13"/>
  <c r="H49" i="13"/>
  <c r="Q48" i="13" a="1"/>
  <c r="P48" i="13" a="1"/>
  <c r="O48" i="13" a="1"/>
  <c r="N48" i="13" a="1"/>
  <c r="M48" i="13" a="1"/>
  <c r="I48" i="13"/>
  <c r="H48" i="13"/>
  <c r="I47" i="13"/>
  <c r="H47" i="13"/>
  <c r="I46" i="13"/>
  <c r="H46" i="13"/>
  <c r="I45" i="13"/>
  <c r="H45" i="13"/>
  <c r="Q44" i="13" a="1"/>
  <c r="P44" i="13" a="1"/>
  <c r="O44" i="13" a="1"/>
  <c r="N44" i="13" a="1"/>
  <c r="M44" i="13" a="1"/>
  <c r="I44" i="13"/>
  <c r="H44" i="13"/>
  <c r="Q43" i="13" a="1"/>
  <c r="P43" i="13" a="1"/>
  <c r="O43" i="13" a="1"/>
  <c r="N43" i="13" a="1"/>
  <c r="M43" i="13" a="1"/>
  <c r="I43" i="13"/>
  <c r="H43" i="13"/>
  <c r="Q42" i="13" a="1"/>
  <c r="P42" i="13" a="1"/>
  <c r="O42" i="13" a="1"/>
  <c r="N42" i="13" a="1"/>
  <c r="M42" i="13" a="1"/>
  <c r="I42" i="13"/>
  <c r="H42" i="13"/>
  <c r="Q41" i="13" a="1"/>
  <c r="P41" i="13" a="1"/>
  <c r="O41" i="13" a="1"/>
  <c r="N41" i="13" a="1"/>
  <c r="M41" i="13" a="1"/>
  <c r="I41" i="13"/>
  <c r="H41" i="13"/>
  <c r="I40" i="13"/>
  <c r="H40" i="13"/>
  <c r="I39" i="13"/>
  <c r="H39" i="13"/>
  <c r="I38" i="13"/>
  <c r="H38" i="13"/>
  <c r="Q37" i="13" a="1"/>
  <c r="P37" i="13" a="1"/>
  <c r="O37" i="13" a="1"/>
  <c r="N37" i="13" a="1"/>
  <c r="M37" i="13" a="1"/>
  <c r="I37" i="13"/>
  <c r="H37" i="13"/>
  <c r="Q36" i="13" a="1"/>
  <c r="P36" i="13" a="1"/>
  <c r="O36" i="13" a="1"/>
  <c r="N36" i="13" a="1"/>
  <c r="M36" i="13" a="1"/>
  <c r="I36" i="13"/>
  <c r="H36" i="13"/>
  <c r="Q35" i="13" a="1"/>
  <c r="P35" i="13" a="1"/>
  <c r="O35" i="13" a="1"/>
  <c r="N35" i="13" a="1"/>
  <c r="M35" i="13" a="1"/>
  <c r="I35" i="13"/>
  <c r="H35" i="13"/>
  <c r="Q34" i="13" a="1"/>
  <c r="P34" i="13" a="1"/>
  <c r="O34" i="13" a="1"/>
  <c r="N34" i="13" a="1"/>
  <c r="M34" i="13" a="1"/>
  <c r="I34" i="13"/>
  <c r="H34" i="13"/>
  <c r="I33" i="13"/>
  <c r="H33" i="13"/>
  <c r="I32" i="13"/>
  <c r="H32" i="13"/>
  <c r="I31" i="13"/>
  <c r="H31" i="13"/>
  <c r="Q30" i="13" a="1"/>
  <c r="P30" i="13" a="1"/>
  <c r="O30" i="13" a="1"/>
  <c r="N30" i="13" a="1"/>
  <c r="M30" i="13" a="1"/>
  <c r="I30" i="13"/>
  <c r="H30" i="13"/>
  <c r="Q29" i="13" a="1"/>
  <c r="P29" i="13" a="1"/>
  <c r="O29" i="13" a="1"/>
  <c r="N29" i="13" a="1"/>
  <c r="M29" i="13" a="1"/>
  <c r="I29" i="13"/>
  <c r="H29" i="13"/>
  <c r="Q28" i="13" a="1"/>
  <c r="P28" i="13" a="1"/>
  <c r="O28" i="13" a="1"/>
  <c r="N28" i="13" a="1"/>
  <c r="M28" i="13" a="1"/>
  <c r="I28" i="13"/>
  <c r="H28" i="13"/>
  <c r="Q27" i="13" a="1"/>
  <c r="P27" i="13" a="1"/>
  <c r="O27" i="13" a="1"/>
  <c r="N27" i="13" a="1"/>
  <c r="M27" i="13" a="1"/>
  <c r="I27" i="13"/>
  <c r="H27" i="13"/>
  <c r="I26" i="13"/>
  <c r="H26" i="13"/>
  <c r="I25" i="13"/>
  <c r="H25" i="13"/>
  <c r="I24" i="13"/>
  <c r="H24" i="13"/>
  <c r="Q23" i="13" a="1"/>
  <c r="P23" i="13" a="1"/>
  <c r="O23" i="13" a="1"/>
  <c r="N23" i="13" a="1"/>
  <c r="M23" i="13" a="1"/>
  <c r="I23" i="13"/>
  <c r="H23" i="13"/>
  <c r="Q22" i="13" a="1"/>
  <c r="P22" i="13" a="1"/>
  <c r="O22" i="13" a="1"/>
  <c r="N22" i="13" a="1"/>
  <c r="M22" i="13" a="1"/>
  <c r="I22" i="13"/>
  <c r="H22" i="13"/>
  <c r="Q21" i="13" a="1"/>
  <c r="P21" i="13" a="1"/>
  <c r="O21" i="13" a="1"/>
  <c r="N21" i="13" a="1"/>
  <c r="M21" i="13" a="1"/>
  <c r="I21" i="13"/>
  <c r="H21" i="13"/>
  <c r="Q20" i="13" a="1"/>
  <c r="P20" i="13" a="1"/>
  <c r="O20" i="13" a="1"/>
  <c r="N20" i="13" a="1"/>
  <c r="M20" i="13" a="1"/>
  <c r="I20" i="13"/>
  <c r="H20" i="13"/>
  <c r="I19" i="13"/>
  <c r="H19" i="13"/>
  <c r="I18" i="13"/>
  <c r="H18" i="13"/>
  <c r="I17" i="13"/>
  <c r="H17" i="13"/>
  <c r="Q16" i="13" a="1"/>
  <c r="P16" i="13" a="1"/>
  <c r="O16" i="13" a="1"/>
  <c r="N16" i="13" a="1"/>
  <c r="M16" i="13" a="1"/>
  <c r="I16" i="13"/>
  <c r="H16" i="13"/>
  <c r="Q15" i="13" a="1"/>
  <c r="P15" i="13" a="1"/>
  <c r="O15" i="13" a="1"/>
  <c r="N15" i="13" a="1"/>
  <c r="M15" i="13" a="1"/>
  <c r="I15" i="13"/>
  <c r="H15" i="13"/>
  <c r="Q14" i="13" a="1"/>
  <c r="P14" i="13" a="1"/>
  <c r="O14" i="13" a="1"/>
  <c r="N14" i="13" a="1"/>
  <c r="M14" i="13" a="1"/>
  <c r="I14" i="13"/>
  <c r="H14" i="13"/>
  <c r="Q13" i="13" a="1"/>
  <c r="P13" i="13" a="1"/>
  <c r="O13" i="13" a="1"/>
  <c r="N13" i="13" a="1"/>
  <c r="M13" i="13" a="1"/>
  <c r="I13" i="13"/>
  <c r="H13" i="13"/>
  <c r="I12" i="13"/>
  <c r="H12" i="13"/>
  <c r="I11" i="13"/>
  <c r="H11" i="13"/>
  <c r="I10" i="13"/>
  <c r="H10" i="13"/>
  <c r="Q9" i="13" a="1"/>
  <c r="P9" i="13" a="1"/>
  <c r="O9" i="13" a="1"/>
  <c r="N9" i="13" a="1"/>
  <c r="M9" i="13" a="1"/>
  <c r="I9" i="13"/>
  <c r="H9" i="13"/>
  <c r="Q8" i="13" a="1"/>
  <c r="P8" i="13" a="1"/>
  <c r="O8" i="13" a="1"/>
  <c r="N8" i="13" a="1"/>
  <c r="M8" i="13" a="1"/>
  <c r="I8" i="13"/>
  <c r="H8" i="13"/>
  <c r="Q7" i="13" a="1"/>
  <c r="P7" i="13" a="1"/>
  <c r="O7" i="13" a="1"/>
  <c r="N7" i="13" a="1"/>
  <c r="M7" i="13" a="1"/>
  <c r="I7" i="13"/>
  <c r="H7" i="13"/>
  <c r="Q6" i="13" a="1"/>
  <c r="P6" i="13" a="1"/>
  <c r="O6" i="13" a="1"/>
  <c r="N6" i="13" a="1"/>
  <c r="M6" i="13" a="1"/>
  <c r="I6" i="13"/>
  <c r="H6" i="13"/>
  <c r="I5" i="13"/>
  <c r="H5" i="13"/>
  <c r="I4" i="13"/>
  <c r="H4" i="13"/>
  <c r="D114" i="10"/>
  <c r="D113" i="10"/>
  <c r="I107" i="10"/>
  <c r="H107" i="10"/>
  <c r="E107" i="10"/>
  <c r="D107" i="10"/>
  <c r="I106" i="10"/>
  <c r="H106" i="10"/>
  <c r="E106" i="10"/>
  <c r="D106" i="10"/>
  <c r="I105" i="10"/>
  <c r="H105" i="10"/>
  <c r="E105" i="10"/>
  <c r="D105" i="10"/>
  <c r="I104" i="10"/>
  <c r="H104" i="10"/>
  <c r="E104" i="10"/>
  <c r="D104" i="10"/>
  <c r="I103" i="10"/>
  <c r="H103" i="10"/>
  <c r="E103" i="10"/>
  <c r="D103" i="10"/>
  <c r="I102" i="10"/>
  <c r="H102" i="10"/>
  <c r="E102" i="10"/>
  <c r="D102" i="10"/>
  <c r="I101" i="10"/>
  <c r="H101" i="10"/>
  <c r="E101" i="10"/>
  <c r="D101" i="10"/>
  <c r="I100" i="10"/>
  <c r="H100" i="10"/>
  <c r="E100" i="10"/>
  <c r="D100" i="10"/>
  <c r="I99" i="10"/>
  <c r="H99" i="10"/>
  <c r="I98" i="10"/>
  <c r="H98" i="10"/>
  <c r="I97" i="10"/>
  <c r="H97" i="10"/>
  <c r="I96" i="10"/>
  <c r="H96" i="10"/>
  <c r="I95" i="10"/>
  <c r="H95" i="10"/>
  <c r="I94" i="10"/>
  <c r="H94" i="10"/>
  <c r="I93" i="10"/>
  <c r="H93" i="10"/>
  <c r="I92" i="10"/>
  <c r="H92" i="10"/>
  <c r="I91" i="10"/>
  <c r="H91" i="10"/>
  <c r="I90" i="10"/>
  <c r="H90" i="10"/>
  <c r="I89" i="10"/>
  <c r="H89" i="10"/>
  <c r="I88" i="10"/>
  <c r="H88" i="10"/>
  <c r="I87" i="10"/>
  <c r="H87" i="10"/>
  <c r="Q86" i="10" a="1"/>
  <c r="P86" i="10" a="1"/>
  <c r="O86" i="10" a="1"/>
  <c r="N86" i="10" a="1"/>
  <c r="M86" i="10" a="1"/>
  <c r="I86" i="10"/>
  <c r="H86" i="10"/>
  <c r="Q85" i="10" a="1"/>
  <c r="P85" i="10" a="1"/>
  <c r="O85" i="10" a="1"/>
  <c r="N85" i="10" a="1"/>
  <c r="M85" i="10" a="1"/>
  <c r="I85" i="10"/>
  <c r="H85" i="10"/>
  <c r="Q84" i="10" a="1"/>
  <c r="P84" i="10" a="1"/>
  <c r="O84" i="10" a="1"/>
  <c r="N84" i="10" a="1"/>
  <c r="M84" i="10" a="1"/>
  <c r="I84" i="10"/>
  <c r="H84" i="10"/>
  <c r="Q83" i="10" a="1"/>
  <c r="P83" i="10" a="1"/>
  <c r="O83" i="10" a="1"/>
  <c r="N83" i="10" a="1"/>
  <c r="M83" i="10" a="1"/>
  <c r="I83" i="10"/>
  <c r="H83" i="10"/>
  <c r="I82" i="10"/>
  <c r="H82" i="10"/>
  <c r="I81" i="10"/>
  <c r="H81" i="10"/>
  <c r="I80" i="10"/>
  <c r="H80" i="10"/>
  <c r="Q79" i="10" a="1"/>
  <c r="P79" i="10" a="1"/>
  <c r="O79" i="10" a="1"/>
  <c r="N79" i="10" a="1"/>
  <c r="M79" i="10" a="1"/>
  <c r="I79" i="10"/>
  <c r="H79" i="10"/>
  <c r="Q78" i="10" a="1"/>
  <c r="P78" i="10" a="1"/>
  <c r="O78" i="10" a="1"/>
  <c r="N78" i="10" a="1"/>
  <c r="M78" i="10" a="1"/>
  <c r="I78" i="10"/>
  <c r="H78" i="10"/>
  <c r="Q77" i="10" a="1"/>
  <c r="P77" i="10" a="1"/>
  <c r="O77" i="10" a="1"/>
  <c r="N77" i="10" a="1"/>
  <c r="M77" i="10" a="1"/>
  <c r="I77" i="10"/>
  <c r="H77" i="10"/>
  <c r="Q76" i="10" a="1"/>
  <c r="P76" i="10" a="1"/>
  <c r="O76" i="10" a="1"/>
  <c r="N76" i="10" a="1"/>
  <c r="M76" i="10" a="1"/>
  <c r="I76" i="10"/>
  <c r="H76" i="10"/>
  <c r="I75" i="10"/>
  <c r="H75" i="10"/>
  <c r="I74" i="10"/>
  <c r="H74" i="10"/>
  <c r="I73" i="10"/>
  <c r="H73" i="10"/>
  <c r="Q72" i="10" a="1"/>
  <c r="P72" i="10" a="1"/>
  <c r="O72" i="10" a="1"/>
  <c r="N72" i="10" a="1"/>
  <c r="M72" i="10" a="1"/>
  <c r="I72" i="10"/>
  <c r="H72" i="10"/>
  <c r="Q71" i="10" a="1"/>
  <c r="P71" i="10" a="1"/>
  <c r="O71" i="10" a="1"/>
  <c r="N71" i="10" a="1"/>
  <c r="M71" i="10" a="1"/>
  <c r="I71" i="10"/>
  <c r="H71" i="10"/>
  <c r="Q70" i="10" a="1"/>
  <c r="P70" i="10" a="1"/>
  <c r="O70" i="10" a="1"/>
  <c r="N70" i="10" a="1"/>
  <c r="M70" i="10" a="1"/>
  <c r="I70" i="10"/>
  <c r="H70" i="10"/>
  <c r="Q69" i="10" a="1"/>
  <c r="P69" i="10" a="1"/>
  <c r="O69" i="10" a="1"/>
  <c r="N69" i="10" a="1"/>
  <c r="M69" i="10" a="1"/>
  <c r="I69" i="10"/>
  <c r="H69" i="10"/>
  <c r="I68" i="10"/>
  <c r="H68" i="10"/>
  <c r="I67" i="10"/>
  <c r="H67" i="10"/>
  <c r="I66" i="10"/>
  <c r="H66" i="10"/>
  <c r="Q65" i="10" a="1"/>
  <c r="P65" i="10" a="1"/>
  <c r="O65" i="10" a="1"/>
  <c r="N65" i="10" a="1"/>
  <c r="M65" i="10" a="1"/>
  <c r="I65" i="10"/>
  <c r="H65" i="10"/>
  <c r="Q64" i="10" a="1"/>
  <c r="P64" i="10" a="1"/>
  <c r="O64" i="10" a="1"/>
  <c r="N64" i="10" a="1"/>
  <c r="M64" i="10" a="1"/>
  <c r="I64" i="10"/>
  <c r="H64" i="10"/>
  <c r="Q63" i="10" a="1"/>
  <c r="P63" i="10" a="1"/>
  <c r="O63" i="10" a="1"/>
  <c r="N63" i="10" a="1"/>
  <c r="M63" i="10" a="1"/>
  <c r="I63" i="10"/>
  <c r="H63" i="10"/>
  <c r="Q62" i="10" a="1"/>
  <c r="P62" i="10" a="1"/>
  <c r="O62" i="10" a="1"/>
  <c r="N62" i="10" a="1"/>
  <c r="M62" i="10" a="1"/>
  <c r="I62" i="10"/>
  <c r="H62" i="10"/>
  <c r="I61" i="10"/>
  <c r="H61" i="10"/>
  <c r="I60" i="10"/>
  <c r="H60" i="10"/>
  <c r="I59" i="10"/>
  <c r="H59" i="10"/>
  <c r="Q58" i="10" a="1"/>
  <c r="P58" i="10" a="1"/>
  <c r="O58" i="10" a="1"/>
  <c r="N58" i="10" a="1"/>
  <c r="M58" i="10" a="1"/>
  <c r="I58" i="10"/>
  <c r="H58" i="10"/>
  <c r="Q57" i="10" a="1"/>
  <c r="P57" i="10" a="1"/>
  <c r="O57" i="10" a="1"/>
  <c r="N57" i="10" a="1"/>
  <c r="M57" i="10" a="1"/>
  <c r="I57" i="10"/>
  <c r="H57" i="10"/>
  <c r="Q56" i="10" a="1"/>
  <c r="P56" i="10" a="1"/>
  <c r="O56" i="10" a="1"/>
  <c r="N56" i="10" a="1"/>
  <c r="M56" i="10" a="1"/>
  <c r="I56" i="10"/>
  <c r="H56" i="10"/>
  <c r="Q55" i="10" a="1"/>
  <c r="P55" i="10" a="1"/>
  <c r="O55" i="10" a="1"/>
  <c r="N55" i="10" a="1"/>
  <c r="M55" i="10" a="1"/>
  <c r="I55" i="10"/>
  <c r="H55" i="10"/>
  <c r="I54" i="10"/>
  <c r="H54" i="10"/>
  <c r="I53" i="10"/>
  <c r="H53" i="10"/>
  <c r="I52" i="10"/>
  <c r="H52" i="10"/>
  <c r="Q51" i="10" a="1"/>
  <c r="P51" i="10" a="1"/>
  <c r="O51" i="10" a="1"/>
  <c r="N51" i="10" a="1"/>
  <c r="M51" i="10" a="1"/>
  <c r="I51" i="10"/>
  <c r="H51" i="10"/>
  <c r="Q50" i="10" a="1"/>
  <c r="P50" i="10" a="1"/>
  <c r="O50" i="10" a="1"/>
  <c r="N50" i="10" a="1"/>
  <c r="M50" i="10" a="1"/>
  <c r="I50" i="10"/>
  <c r="H50" i="10"/>
  <c r="Q49" i="10" a="1"/>
  <c r="P49" i="10" a="1"/>
  <c r="O49" i="10" a="1"/>
  <c r="N49" i="10" a="1"/>
  <c r="M49" i="10" a="1"/>
  <c r="I49" i="10"/>
  <c r="H49" i="10"/>
  <c r="Q48" i="10" a="1"/>
  <c r="P48" i="10" a="1"/>
  <c r="O48" i="10" a="1"/>
  <c r="N48" i="10" a="1"/>
  <c r="M48" i="10" a="1"/>
  <c r="I48" i="10"/>
  <c r="H48" i="10"/>
  <c r="I47" i="10"/>
  <c r="H47" i="10"/>
  <c r="I46" i="10"/>
  <c r="H46" i="10"/>
  <c r="I45" i="10"/>
  <c r="H45" i="10"/>
  <c r="Q44" i="10" a="1"/>
  <c r="P44" i="10" a="1"/>
  <c r="O44" i="10" a="1"/>
  <c r="N44" i="10" a="1"/>
  <c r="M44" i="10" a="1"/>
  <c r="I44" i="10"/>
  <c r="H44" i="10"/>
  <c r="Q43" i="10" a="1"/>
  <c r="P43" i="10" a="1"/>
  <c r="O43" i="10" a="1"/>
  <c r="N43" i="10" a="1"/>
  <c r="M43" i="10" a="1"/>
  <c r="I43" i="10"/>
  <c r="H43" i="10"/>
  <c r="Q42" i="10" a="1"/>
  <c r="P42" i="10" a="1"/>
  <c r="O42" i="10" a="1"/>
  <c r="N42" i="10" a="1"/>
  <c r="M42" i="10" a="1"/>
  <c r="I42" i="10"/>
  <c r="H42" i="10"/>
  <c r="Q41" i="10" a="1"/>
  <c r="P41" i="10" a="1"/>
  <c r="O41" i="10" a="1"/>
  <c r="N41" i="10" a="1"/>
  <c r="M41" i="10" a="1"/>
  <c r="I41" i="10"/>
  <c r="H41" i="10"/>
  <c r="I40" i="10"/>
  <c r="H40" i="10"/>
  <c r="I39" i="10"/>
  <c r="H39" i="10"/>
  <c r="I38" i="10"/>
  <c r="H38" i="10"/>
  <c r="Q37" i="10" a="1"/>
  <c r="P37" i="10" a="1"/>
  <c r="O37" i="10" a="1"/>
  <c r="N37" i="10" a="1"/>
  <c r="M37" i="10" a="1"/>
  <c r="I37" i="10"/>
  <c r="H37" i="10"/>
  <c r="Q36" i="10" a="1"/>
  <c r="P36" i="10" a="1"/>
  <c r="O36" i="10" a="1"/>
  <c r="N36" i="10" a="1"/>
  <c r="M36" i="10" a="1"/>
  <c r="I36" i="10"/>
  <c r="H36" i="10"/>
  <c r="Q35" i="10" a="1"/>
  <c r="P35" i="10" a="1"/>
  <c r="O35" i="10" a="1"/>
  <c r="N35" i="10" a="1"/>
  <c r="M35" i="10" a="1"/>
  <c r="I35" i="10"/>
  <c r="H35" i="10"/>
  <c r="Q34" i="10" a="1"/>
  <c r="P34" i="10" a="1"/>
  <c r="O34" i="10" a="1"/>
  <c r="N34" i="10" a="1"/>
  <c r="M34" i="10" a="1"/>
  <c r="I34" i="10"/>
  <c r="H34" i="10"/>
  <c r="I33" i="10"/>
  <c r="H33" i="10"/>
  <c r="I32" i="10"/>
  <c r="H32" i="10"/>
  <c r="I31" i="10"/>
  <c r="H31" i="10"/>
  <c r="Q30" i="10" a="1"/>
  <c r="P30" i="10" a="1"/>
  <c r="O30" i="10" a="1"/>
  <c r="N30" i="10" a="1"/>
  <c r="M30" i="10" a="1"/>
  <c r="I30" i="10"/>
  <c r="H30" i="10"/>
  <c r="Q29" i="10" a="1"/>
  <c r="P29" i="10" a="1"/>
  <c r="O29" i="10" a="1"/>
  <c r="N29" i="10" a="1"/>
  <c r="M29" i="10" a="1"/>
  <c r="I29" i="10"/>
  <c r="H29" i="10"/>
  <c r="Q28" i="10" a="1"/>
  <c r="P28" i="10" a="1"/>
  <c r="O28" i="10" a="1"/>
  <c r="N28" i="10" a="1"/>
  <c r="M28" i="10" a="1"/>
  <c r="I28" i="10"/>
  <c r="H28" i="10"/>
  <c r="Q27" i="10" a="1"/>
  <c r="P27" i="10" a="1"/>
  <c r="O27" i="10" a="1"/>
  <c r="N27" i="10" a="1"/>
  <c r="M27" i="10" a="1"/>
  <c r="I27" i="10"/>
  <c r="H27" i="10"/>
  <c r="I26" i="10"/>
  <c r="H26" i="10"/>
  <c r="I25" i="10"/>
  <c r="H25" i="10"/>
  <c r="I24" i="10"/>
  <c r="H24" i="10"/>
  <c r="Q23" i="10" a="1"/>
  <c r="P23" i="10" a="1"/>
  <c r="O23" i="10" a="1"/>
  <c r="N23" i="10" a="1"/>
  <c r="M23" i="10" a="1"/>
  <c r="I23" i="10"/>
  <c r="H23" i="10"/>
  <c r="Q22" i="10" a="1"/>
  <c r="P22" i="10" a="1"/>
  <c r="O22" i="10" a="1"/>
  <c r="N22" i="10" a="1"/>
  <c r="M22" i="10" a="1"/>
  <c r="I22" i="10"/>
  <c r="H22" i="10"/>
  <c r="Q21" i="10" a="1"/>
  <c r="P21" i="10" a="1"/>
  <c r="O21" i="10" a="1"/>
  <c r="N21" i="10" a="1"/>
  <c r="M21" i="10" a="1"/>
  <c r="I21" i="10"/>
  <c r="H21" i="10"/>
  <c r="Q20" i="10" a="1"/>
  <c r="P20" i="10" a="1"/>
  <c r="O20" i="10" a="1"/>
  <c r="N20" i="10" a="1"/>
  <c r="M20" i="10" a="1"/>
  <c r="I20" i="10"/>
  <c r="H20" i="10"/>
  <c r="I19" i="10"/>
  <c r="H19" i="10"/>
  <c r="I18" i="10"/>
  <c r="H18" i="10"/>
  <c r="I17" i="10"/>
  <c r="H17" i="10"/>
  <c r="Q16" i="10" a="1"/>
  <c r="P16" i="10" a="1"/>
  <c r="O16" i="10" a="1"/>
  <c r="N16" i="10" a="1"/>
  <c r="M16" i="10" a="1"/>
  <c r="I16" i="10"/>
  <c r="H16" i="10"/>
  <c r="Q15" i="10" a="1"/>
  <c r="P15" i="10" a="1"/>
  <c r="O15" i="10" a="1"/>
  <c r="N15" i="10" a="1"/>
  <c r="M15" i="10" a="1"/>
  <c r="I15" i="10"/>
  <c r="H15" i="10"/>
  <c r="Q14" i="10" a="1"/>
  <c r="P14" i="10" a="1"/>
  <c r="O14" i="10" a="1"/>
  <c r="N14" i="10" a="1"/>
  <c r="M14" i="10" a="1"/>
  <c r="I14" i="10"/>
  <c r="H14" i="10"/>
  <c r="Q13" i="10" a="1"/>
  <c r="P13" i="10" a="1"/>
  <c r="O13" i="10" a="1"/>
  <c r="N13" i="10" a="1"/>
  <c r="M13" i="10" a="1"/>
  <c r="I13" i="10"/>
  <c r="H13" i="10"/>
  <c r="I12" i="10"/>
  <c r="H12" i="10"/>
  <c r="I11" i="10"/>
  <c r="H11" i="10"/>
  <c r="I10" i="10"/>
  <c r="H10" i="10"/>
  <c r="Q9" i="10" a="1"/>
  <c r="P9" i="10" a="1"/>
  <c r="O9" i="10" a="1"/>
  <c r="N9" i="10" a="1"/>
  <c r="M9" i="10" a="1"/>
  <c r="I9" i="10"/>
  <c r="H9" i="10"/>
  <c r="Q8" i="10" a="1"/>
  <c r="P8" i="10" a="1"/>
  <c r="O8" i="10" a="1"/>
  <c r="N8" i="10" a="1"/>
  <c r="M8" i="10" a="1"/>
  <c r="I8" i="10"/>
  <c r="H8" i="10"/>
  <c r="Q7" i="10" a="1"/>
  <c r="P7" i="10" a="1"/>
  <c r="O7" i="10" a="1"/>
  <c r="N7" i="10" a="1"/>
  <c r="M7" i="10" a="1"/>
  <c r="I7" i="10"/>
  <c r="H7" i="10"/>
  <c r="Q6" i="10" a="1"/>
  <c r="P6" i="10" a="1"/>
  <c r="O6" i="10" a="1"/>
  <c r="N6" i="10" a="1"/>
  <c r="M6" i="10" a="1"/>
  <c r="I6" i="10"/>
  <c r="H6" i="10"/>
  <c r="I5" i="10"/>
  <c r="H5" i="10"/>
  <c r="I4" i="10"/>
  <c r="H4" i="10"/>
  <c r="I4" i="12"/>
  <c r="H4" i="12"/>
  <c r="I5" i="12"/>
  <c r="H5" i="12"/>
  <c r="I6" i="12"/>
  <c r="H6" i="12"/>
  <c r="I7" i="12"/>
  <c r="H7" i="12"/>
  <c r="I8" i="12"/>
  <c r="H8" i="12"/>
  <c r="I9" i="12"/>
  <c r="H9" i="12"/>
  <c r="I10" i="12"/>
  <c r="H10" i="12"/>
  <c r="I11" i="12"/>
  <c r="H11" i="12"/>
  <c r="I12" i="12"/>
  <c r="H12" i="12"/>
  <c r="I13" i="12"/>
  <c r="H13" i="12"/>
  <c r="I14" i="12"/>
  <c r="H14" i="12"/>
  <c r="I15" i="12"/>
  <c r="H15" i="12"/>
  <c r="I16" i="12"/>
  <c r="H16" i="12"/>
  <c r="I17" i="12"/>
  <c r="H17" i="12"/>
  <c r="I18" i="12"/>
  <c r="H18" i="12"/>
  <c r="I19" i="12"/>
  <c r="H19" i="12"/>
  <c r="I20" i="12"/>
  <c r="H20" i="12"/>
  <c r="I21" i="12"/>
  <c r="H21" i="12"/>
  <c r="I22" i="12"/>
  <c r="H22" i="12"/>
  <c r="I23" i="12"/>
  <c r="H23" i="12"/>
  <c r="I24" i="12"/>
  <c r="H24" i="12"/>
  <c r="I25" i="12"/>
  <c r="H25" i="12"/>
  <c r="I26" i="12"/>
  <c r="H26" i="12"/>
  <c r="I27" i="12"/>
  <c r="H27" i="12"/>
  <c r="I28" i="12"/>
  <c r="H28" i="12"/>
  <c r="I29" i="12"/>
  <c r="H29" i="12"/>
  <c r="I30" i="12"/>
  <c r="H30" i="12"/>
  <c r="I31" i="12"/>
  <c r="H31" i="12"/>
  <c r="I32" i="12"/>
  <c r="H32" i="12"/>
  <c r="I33" i="12"/>
  <c r="H33" i="12"/>
  <c r="I34" i="12"/>
  <c r="H34" i="12"/>
  <c r="I35" i="12"/>
  <c r="H35" i="12"/>
  <c r="I36" i="12"/>
  <c r="H36" i="12"/>
  <c r="I37" i="12"/>
  <c r="H37" i="12"/>
  <c r="I38" i="12"/>
  <c r="H38" i="12"/>
  <c r="I39" i="12"/>
  <c r="H39" i="12"/>
  <c r="I40" i="12"/>
  <c r="H40" i="12"/>
  <c r="I41" i="12"/>
  <c r="H41" i="12"/>
  <c r="I42" i="12"/>
  <c r="H42" i="12"/>
  <c r="I43" i="12"/>
  <c r="H43" i="12"/>
  <c r="I44" i="12"/>
  <c r="H44" i="12"/>
  <c r="I45" i="12"/>
  <c r="H45" i="12"/>
  <c r="I46" i="12"/>
  <c r="H46" i="12"/>
  <c r="I47" i="12"/>
  <c r="H47" i="12"/>
  <c r="I48" i="12"/>
  <c r="H48" i="12"/>
  <c r="I49" i="12"/>
  <c r="H49" i="12"/>
  <c r="I50" i="12"/>
  <c r="H50" i="12"/>
  <c r="I51" i="12"/>
  <c r="H51" i="12"/>
  <c r="I52" i="12"/>
  <c r="H52" i="12"/>
  <c r="I53" i="12"/>
  <c r="H53" i="12"/>
  <c r="I54" i="12"/>
  <c r="H54" i="12"/>
  <c r="I55" i="12"/>
  <c r="H55" i="12"/>
  <c r="I56" i="12"/>
  <c r="H56" i="12"/>
  <c r="I57" i="12"/>
  <c r="H57" i="12"/>
  <c r="I58" i="12"/>
  <c r="H58" i="12"/>
  <c r="I59" i="12"/>
  <c r="H59" i="12"/>
  <c r="I60" i="12"/>
  <c r="H60" i="12"/>
  <c r="I61" i="12"/>
  <c r="H61" i="12"/>
  <c r="I62" i="12"/>
  <c r="H62" i="12"/>
  <c r="I63" i="12"/>
  <c r="H63" i="12"/>
  <c r="I64" i="12"/>
  <c r="H64" i="12"/>
  <c r="I65" i="12"/>
  <c r="H65" i="12"/>
  <c r="I66" i="12"/>
  <c r="H66" i="12"/>
  <c r="I67" i="12"/>
  <c r="H67" i="12"/>
  <c r="I68" i="12"/>
  <c r="H68" i="12"/>
  <c r="H69" i="12"/>
  <c r="I70" i="12"/>
  <c r="H70" i="12"/>
  <c r="I71" i="12"/>
  <c r="H71" i="12"/>
  <c r="I72" i="12"/>
  <c r="H72" i="12"/>
  <c r="I73" i="12"/>
  <c r="H73" i="12"/>
  <c r="I74" i="12"/>
  <c r="H74" i="12"/>
  <c r="I75" i="12"/>
  <c r="H75" i="12"/>
  <c r="I76" i="12"/>
  <c r="H76" i="12"/>
  <c r="I77" i="12"/>
  <c r="H77" i="12"/>
  <c r="I78" i="12"/>
  <c r="H78" i="12"/>
  <c r="I79" i="12"/>
  <c r="H79" i="12"/>
  <c r="I80" i="12"/>
  <c r="H80" i="12"/>
  <c r="I81" i="12"/>
  <c r="H81" i="12"/>
  <c r="I82" i="12"/>
  <c r="H82" i="12"/>
  <c r="I83" i="12"/>
  <c r="H83" i="12"/>
  <c r="I84" i="12"/>
  <c r="H84" i="12"/>
  <c r="I85" i="12"/>
  <c r="H85" i="12"/>
  <c r="I86" i="12"/>
  <c r="H86" i="12"/>
  <c r="I87" i="12"/>
  <c r="H87" i="12"/>
  <c r="I88" i="12"/>
  <c r="H88" i="12"/>
  <c r="I89" i="12"/>
  <c r="H89" i="12"/>
  <c r="I90" i="12"/>
  <c r="H90" i="12"/>
  <c r="I91" i="12"/>
  <c r="H91" i="12"/>
  <c r="I92" i="12"/>
  <c r="H92" i="12"/>
  <c r="I93" i="12"/>
  <c r="H93" i="12"/>
  <c r="I94" i="12"/>
  <c r="H94" i="12"/>
  <c r="I95" i="12"/>
  <c r="H95" i="12"/>
  <c r="I96" i="12"/>
  <c r="H96" i="12"/>
  <c r="I97" i="12"/>
  <c r="H97" i="12"/>
  <c r="I98" i="12"/>
  <c r="H98" i="12"/>
  <c r="I99" i="12"/>
  <c r="H99" i="12"/>
  <c r="I100" i="12"/>
  <c r="H100" i="12"/>
  <c r="I101" i="12"/>
  <c r="H101" i="12"/>
  <c r="I102" i="12"/>
  <c r="H102" i="12"/>
  <c r="I103" i="12"/>
  <c r="H103" i="12"/>
  <c r="I104" i="12"/>
  <c r="H104" i="12"/>
  <c r="I105" i="12"/>
  <c r="H105" i="12"/>
  <c r="I106" i="12"/>
  <c r="H106" i="12"/>
  <c r="I107" i="12"/>
  <c r="H107" i="12"/>
  <c r="D113" i="12"/>
  <c r="D114" i="12"/>
  <c r="E107" i="12"/>
  <c r="D107" i="12"/>
  <c r="E106" i="12"/>
  <c r="D106" i="12"/>
  <c r="E105" i="12"/>
  <c r="D105" i="12"/>
  <c r="E104" i="12"/>
  <c r="D104" i="12"/>
  <c r="E103" i="12"/>
  <c r="D103" i="12"/>
  <c r="E102" i="12"/>
  <c r="D102" i="12"/>
  <c r="E101" i="12"/>
  <c r="D101" i="12"/>
  <c r="E100" i="12"/>
  <c r="D100" i="12"/>
  <c r="M86" i="12" a="1"/>
  <c r="N86" i="12" a="1"/>
  <c r="P86" i="12" a="1"/>
  <c r="Q86" i="12" a="1"/>
  <c r="O86" i="12" a="1"/>
  <c r="M85" i="12" a="1"/>
  <c r="N85" i="12" a="1"/>
  <c r="P85" i="12" a="1"/>
  <c r="Q85" i="12" a="1"/>
  <c r="O85" i="12" a="1"/>
  <c r="M84" i="12" a="1"/>
  <c r="N84" i="12" a="1"/>
  <c r="P84" i="12" a="1"/>
  <c r="Q84" i="12" a="1"/>
  <c r="O84" i="12" a="1"/>
  <c r="M83" i="12" a="1"/>
  <c r="N83" i="12" a="1"/>
  <c r="P83" i="12" a="1"/>
  <c r="Q83" i="12" a="1"/>
  <c r="O83" i="12" a="1"/>
  <c r="M79" i="12" a="1"/>
  <c r="N79" i="12" a="1"/>
  <c r="P79" i="12" a="1"/>
  <c r="Q79" i="12" a="1"/>
  <c r="O79" i="12" a="1"/>
  <c r="M78" i="12" a="1"/>
  <c r="N78" i="12" a="1"/>
  <c r="P78" i="12" a="1"/>
  <c r="Q78" i="12" a="1"/>
  <c r="O78" i="12" a="1"/>
  <c r="M77" i="12" a="1"/>
  <c r="N77" i="12" a="1"/>
  <c r="P77" i="12" a="1"/>
  <c r="Q77" i="12" a="1"/>
  <c r="O77" i="12" a="1"/>
  <c r="M76" i="12" a="1"/>
  <c r="N76" i="12" a="1"/>
  <c r="P76" i="12" a="1"/>
  <c r="Q76" i="12" a="1"/>
  <c r="O76" i="12" a="1"/>
  <c r="M72" i="12" a="1"/>
  <c r="N72" i="12" a="1"/>
  <c r="P72" i="12" a="1"/>
  <c r="Q72" i="12" a="1"/>
  <c r="O72" i="12" a="1"/>
  <c r="M71" i="12" a="1"/>
  <c r="N71" i="12" a="1"/>
  <c r="P71" i="12" a="1"/>
  <c r="Q71" i="12" a="1"/>
  <c r="O71" i="12" a="1"/>
  <c r="M70" i="12" a="1"/>
  <c r="N70" i="12" a="1"/>
  <c r="P70" i="12" a="1"/>
  <c r="Q70" i="12" a="1"/>
  <c r="O70" i="12" a="1"/>
  <c r="M69" i="12" a="1"/>
  <c r="N69" i="12" a="1"/>
  <c r="P69" i="12" a="1"/>
  <c r="Q69" i="12" a="1"/>
  <c r="O69" i="12" a="1"/>
  <c r="M65" i="12" a="1"/>
  <c r="N65" i="12" a="1"/>
  <c r="P65" i="12" a="1"/>
  <c r="Q65" i="12" a="1"/>
  <c r="O65" i="12" a="1"/>
  <c r="M64" i="12" a="1"/>
  <c r="N64" i="12" a="1"/>
  <c r="P64" i="12" a="1"/>
  <c r="Q64" i="12" a="1"/>
  <c r="O64" i="12" a="1"/>
  <c r="M63" i="12" a="1"/>
  <c r="N63" i="12" a="1"/>
  <c r="P63" i="12" a="1"/>
  <c r="Q63" i="12" a="1"/>
  <c r="O63" i="12" a="1"/>
  <c r="M62" i="12" a="1"/>
  <c r="N62" i="12" a="1"/>
  <c r="P62" i="12" a="1"/>
  <c r="Q62" i="12" a="1"/>
  <c r="O62" i="12" a="1"/>
  <c r="M58" i="12" a="1"/>
  <c r="N58" i="12" a="1"/>
  <c r="P58" i="12" a="1"/>
  <c r="Q58" i="12" a="1"/>
  <c r="O58" i="12" a="1"/>
  <c r="M57" i="12" a="1"/>
  <c r="N57" i="12" a="1"/>
  <c r="P57" i="12" a="1"/>
  <c r="Q57" i="12" a="1"/>
  <c r="O57" i="12" a="1"/>
  <c r="M56" i="12" a="1"/>
  <c r="N56" i="12" a="1"/>
  <c r="P56" i="12" a="1"/>
  <c r="Q56" i="12" a="1"/>
  <c r="O56" i="12" a="1"/>
  <c r="M55" i="12" a="1"/>
  <c r="N55" i="12" a="1"/>
  <c r="P55" i="12" a="1"/>
  <c r="Q55" i="12" a="1"/>
  <c r="O55" i="12" a="1"/>
  <c r="M51" i="12" a="1"/>
  <c r="N51" i="12" a="1"/>
  <c r="P51" i="12" a="1"/>
  <c r="Q51" i="12" a="1"/>
  <c r="O51" i="12" a="1"/>
  <c r="M50" i="12" a="1"/>
  <c r="N50" i="12" a="1"/>
  <c r="P50" i="12" a="1"/>
  <c r="Q50" i="12" a="1"/>
  <c r="O50" i="12" a="1"/>
  <c r="M49" i="12" a="1"/>
  <c r="N49" i="12" a="1"/>
  <c r="P49" i="12" a="1"/>
  <c r="Q49" i="12" a="1"/>
  <c r="O49" i="12" a="1"/>
  <c r="M48" i="12" a="1"/>
  <c r="N48" i="12" a="1"/>
  <c r="P48" i="12" a="1"/>
  <c r="Q48" i="12" a="1"/>
  <c r="O48" i="12" a="1"/>
  <c r="M44" i="12" a="1"/>
  <c r="N44" i="12" a="1"/>
  <c r="P44" i="12" a="1"/>
  <c r="Q44" i="12" a="1"/>
  <c r="O44" i="12" a="1"/>
  <c r="M43" i="12" a="1"/>
  <c r="N43" i="12" a="1"/>
  <c r="P43" i="12" a="1"/>
  <c r="Q43" i="12" a="1"/>
  <c r="O43" i="12" a="1"/>
  <c r="M42" i="12" a="1"/>
  <c r="N42" i="12" a="1"/>
  <c r="P42" i="12" a="1"/>
  <c r="Q42" i="12" a="1"/>
  <c r="O42" i="12" a="1"/>
  <c r="M41" i="12" a="1"/>
  <c r="N41" i="12" a="1"/>
  <c r="P41" i="12" a="1"/>
  <c r="Q41" i="12" a="1"/>
  <c r="O41" i="12" a="1"/>
  <c r="M37" i="12" a="1"/>
  <c r="N37" i="12" a="1"/>
  <c r="P37" i="12" a="1"/>
  <c r="Q37" i="12" a="1"/>
  <c r="O37" i="12" a="1"/>
  <c r="M36" i="12" a="1"/>
  <c r="N36" i="12" a="1"/>
  <c r="P36" i="12" a="1"/>
  <c r="Q36" i="12" a="1"/>
  <c r="O36" i="12" a="1"/>
  <c r="M35" i="12" a="1"/>
  <c r="N35" i="12" a="1"/>
  <c r="P35" i="12" a="1"/>
  <c r="Q35" i="12" a="1"/>
  <c r="O35" i="12" a="1"/>
  <c r="M34" i="12" a="1"/>
  <c r="N34" i="12" a="1"/>
  <c r="P34" i="12" a="1"/>
  <c r="Q34" i="12" a="1"/>
  <c r="O34" i="12" a="1"/>
  <c r="M30" i="12" a="1"/>
  <c r="N30" i="12" a="1"/>
  <c r="P30" i="12" a="1"/>
  <c r="Q30" i="12" a="1"/>
  <c r="O30" i="12" a="1"/>
  <c r="M29" i="12" a="1"/>
  <c r="N29" i="12" a="1"/>
  <c r="P29" i="12" a="1"/>
  <c r="Q29" i="12" a="1"/>
  <c r="O29" i="12" a="1"/>
  <c r="M28" i="12" a="1"/>
  <c r="N28" i="12" a="1"/>
  <c r="P28" i="12" a="1"/>
  <c r="Q28" i="12" a="1"/>
  <c r="O28" i="12" a="1"/>
  <c r="M27" i="12" a="1"/>
  <c r="N27" i="12" a="1"/>
  <c r="P27" i="12" a="1"/>
  <c r="Q27" i="12" a="1"/>
  <c r="O27" i="12" a="1"/>
  <c r="M23" i="12" a="1"/>
  <c r="N23" i="12" a="1"/>
  <c r="P23" i="12" a="1"/>
  <c r="Q23" i="12" a="1"/>
  <c r="O23" i="12" a="1"/>
  <c r="M22" i="12" a="1"/>
  <c r="N22" i="12" a="1"/>
  <c r="P22" i="12" a="1"/>
  <c r="Q22" i="12" a="1"/>
  <c r="O22" i="12" a="1"/>
  <c r="M21" i="12" a="1"/>
  <c r="N21" i="12" a="1"/>
  <c r="P21" i="12" a="1"/>
  <c r="Q21" i="12" a="1"/>
  <c r="O21" i="12" a="1"/>
  <c r="M20" i="12" a="1"/>
  <c r="N20" i="12" a="1"/>
  <c r="P20" i="12" a="1"/>
  <c r="Q20" i="12" a="1"/>
  <c r="O20" i="12" a="1"/>
  <c r="M16" i="12" a="1"/>
  <c r="N16" i="12" a="1"/>
  <c r="P16" i="12" a="1"/>
  <c r="Q16" i="12" a="1"/>
  <c r="O16" i="12" a="1"/>
  <c r="M15" i="12" a="1"/>
  <c r="N15" i="12" a="1"/>
  <c r="P15" i="12" a="1"/>
  <c r="Q15" i="12" a="1"/>
  <c r="O15" i="12" a="1"/>
  <c r="M14" i="12" a="1"/>
  <c r="N14" i="12" a="1"/>
  <c r="P14" i="12" a="1"/>
  <c r="Q14" i="12" a="1"/>
  <c r="O14" i="12" a="1"/>
  <c r="M13" i="12" a="1"/>
  <c r="N13" i="12" a="1"/>
  <c r="P13" i="12" a="1"/>
  <c r="Q13" i="12" a="1"/>
  <c r="O13" i="12" a="1"/>
  <c r="M9" i="12" a="1"/>
  <c r="N9" i="12" a="1"/>
  <c r="P9" i="12" a="1"/>
  <c r="Q9" i="12" a="1"/>
  <c r="O9" i="12" a="1"/>
  <c r="M8" i="12" a="1"/>
  <c r="N8" i="12" a="1"/>
  <c r="P8" i="12" a="1"/>
  <c r="Q8" i="12" a="1"/>
  <c r="O8" i="12" a="1"/>
  <c r="M7" i="12" a="1"/>
  <c r="N7" i="12" a="1"/>
  <c r="P7" i="12" a="1"/>
  <c r="Q7" i="12" a="1"/>
  <c r="O7" i="12" a="1"/>
  <c r="M6" i="12" a="1"/>
  <c r="N6" i="12" a="1"/>
  <c r="P6" i="12" a="1"/>
  <c r="Q6" i="12" a="1"/>
  <c r="O6" i="12" a="1"/>
  <c r="I4" i="11"/>
  <c r="H4" i="11"/>
  <c r="I5" i="11"/>
  <c r="H5" i="11"/>
  <c r="I6" i="11"/>
  <c r="H6" i="11"/>
  <c r="I7" i="11"/>
  <c r="H7" i="11"/>
  <c r="I8" i="11"/>
  <c r="H8" i="11"/>
  <c r="I9" i="11"/>
  <c r="H9" i="11"/>
  <c r="I10" i="11"/>
  <c r="H10" i="11"/>
  <c r="I11" i="11"/>
  <c r="H11" i="11"/>
  <c r="I12" i="11"/>
  <c r="H12" i="11"/>
  <c r="I13" i="11"/>
  <c r="H13" i="11"/>
  <c r="I14" i="11"/>
  <c r="H14" i="11"/>
  <c r="I15" i="11"/>
  <c r="H15" i="11"/>
  <c r="I16" i="11"/>
  <c r="H16" i="11"/>
  <c r="I17" i="11"/>
  <c r="H17" i="11"/>
  <c r="I18" i="11"/>
  <c r="H18" i="11"/>
  <c r="I19" i="11"/>
  <c r="H19" i="11"/>
  <c r="I20" i="11"/>
  <c r="H20" i="11"/>
  <c r="I21" i="11"/>
  <c r="H21" i="11"/>
  <c r="I22" i="11"/>
  <c r="H22" i="11"/>
  <c r="I23" i="11"/>
  <c r="H23" i="11"/>
  <c r="I24" i="11"/>
  <c r="H24" i="11"/>
  <c r="I25" i="11"/>
  <c r="H25" i="11"/>
  <c r="I26" i="11"/>
  <c r="H26" i="11"/>
  <c r="I27" i="11"/>
  <c r="H27" i="11"/>
  <c r="I28" i="11"/>
  <c r="H28" i="11"/>
  <c r="I29" i="11"/>
  <c r="H29" i="11"/>
  <c r="I30" i="11"/>
  <c r="H30" i="11"/>
  <c r="I31" i="11"/>
  <c r="H31" i="11"/>
  <c r="I32" i="11"/>
  <c r="H32" i="11"/>
  <c r="I33" i="11"/>
  <c r="H33" i="11"/>
  <c r="I34" i="11"/>
  <c r="H34" i="11"/>
  <c r="I35" i="11"/>
  <c r="H35" i="11"/>
  <c r="I36" i="11"/>
  <c r="H36" i="11"/>
  <c r="I37" i="11"/>
  <c r="H37" i="11"/>
  <c r="I38" i="11"/>
  <c r="H38" i="11"/>
  <c r="I39" i="11"/>
  <c r="H39" i="11"/>
  <c r="I40" i="11"/>
  <c r="H40" i="11"/>
  <c r="I41" i="11"/>
  <c r="H41" i="11"/>
  <c r="I42" i="11"/>
  <c r="H42" i="11"/>
  <c r="I43" i="11"/>
  <c r="H43" i="11"/>
  <c r="I44" i="11"/>
  <c r="H44" i="11"/>
  <c r="I45" i="11"/>
  <c r="H45" i="11"/>
  <c r="I46" i="11"/>
  <c r="H46" i="11"/>
  <c r="I47" i="11"/>
  <c r="H47" i="11"/>
  <c r="I48" i="11"/>
  <c r="H48" i="11"/>
  <c r="I49" i="11"/>
  <c r="H49" i="11"/>
  <c r="I50" i="11"/>
  <c r="H50" i="11"/>
  <c r="I51" i="11"/>
  <c r="H51" i="11"/>
  <c r="I52" i="11"/>
  <c r="H52" i="11"/>
  <c r="I53" i="11"/>
  <c r="H53" i="11"/>
  <c r="I54" i="11"/>
  <c r="H54" i="11"/>
  <c r="I55" i="11"/>
  <c r="H55" i="11"/>
  <c r="I56" i="11"/>
  <c r="H56" i="11"/>
  <c r="I57" i="11"/>
  <c r="H57" i="11"/>
  <c r="I58" i="11"/>
  <c r="H58" i="11"/>
  <c r="I59" i="11"/>
  <c r="H59" i="11"/>
  <c r="I60" i="11"/>
  <c r="H60" i="11"/>
  <c r="I61" i="11"/>
  <c r="H61" i="11"/>
  <c r="I62" i="11"/>
  <c r="H62" i="11"/>
  <c r="I63" i="11"/>
  <c r="H63" i="11"/>
  <c r="I64" i="11"/>
  <c r="H64" i="11"/>
  <c r="I65" i="11"/>
  <c r="H65" i="11"/>
  <c r="I66" i="11"/>
  <c r="H66" i="11"/>
  <c r="I67" i="11"/>
  <c r="H67" i="11"/>
  <c r="I68" i="11"/>
  <c r="H68" i="11"/>
  <c r="I69" i="11"/>
  <c r="H69" i="11"/>
  <c r="I70" i="11"/>
  <c r="H70" i="11"/>
  <c r="I71" i="11"/>
  <c r="H71" i="11"/>
  <c r="I72" i="11"/>
  <c r="H72" i="11"/>
  <c r="I73" i="11"/>
  <c r="H73" i="11"/>
  <c r="I74" i="11"/>
  <c r="H74" i="11"/>
  <c r="I75" i="11"/>
  <c r="H75" i="11"/>
  <c r="I76" i="11"/>
  <c r="H76" i="11"/>
  <c r="I77" i="11"/>
  <c r="H77" i="11"/>
  <c r="I78" i="11"/>
  <c r="H78" i="11"/>
  <c r="I79" i="11"/>
  <c r="H79" i="11"/>
  <c r="I80" i="11"/>
  <c r="H80" i="11"/>
  <c r="I81" i="11"/>
  <c r="H81" i="11"/>
  <c r="I82" i="11"/>
  <c r="H82" i="11"/>
  <c r="I83" i="11"/>
  <c r="H83" i="11"/>
  <c r="I84" i="11"/>
  <c r="H84" i="11"/>
  <c r="I85" i="11"/>
  <c r="H85" i="11"/>
  <c r="I86" i="11"/>
  <c r="H86" i="11"/>
  <c r="I87" i="11"/>
  <c r="H87" i="11"/>
  <c r="I88" i="11"/>
  <c r="H88" i="11"/>
  <c r="I89" i="11"/>
  <c r="H89" i="11"/>
  <c r="I90" i="11"/>
  <c r="H90" i="11"/>
  <c r="I91" i="11"/>
  <c r="H91" i="11"/>
  <c r="I92" i="11"/>
  <c r="H92" i="11"/>
  <c r="I93" i="11"/>
  <c r="H93" i="11"/>
  <c r="I94" i="11"/>
  <c r="H94" i="11"/>
  <c r="I95" i="11"/>
  <c r="H95" i="11"/>
  <c r="I96" i="11"/>
  <c r="H96" i="11"/>
  <c r="I97" i="11"/>
  <c r="H97" i="11"/>
  <c r="I98" i="11"/>
  <c r="H98" i="11"/>
  <c r="I99" i="11"/>
  <c r="H99" i="11"/>
  <c r="I100" i="11"/>
  <c r="H100" i="11"/>
  <c r="I101" i="11"/>
  <c r="H101" i="11"/>
  <c r="I102" i="11"/>
  <c r="H102" i="11"/>
  <c r="I103" i="11"/>
  <c r="H103" i="11"/>
  <c r="I104" i="11"/>
  <c r="H104" i="11"/>
  <c r="I105" i="11"/>
  <c r="H105" i="11"/>
  <c r="I106" i="11"/>
  <c r="H106" i="11"/>
  <c r="I107" i="11"/>
  <c r="H107" i="11"/>
  <c r="D113" i="11"/>
  <c r="D114" i="11"/>
  <c r="E107" i="11"/>
  <c r="D107" i="11"/>
  <c r="E106" i="11"/>
  <c r="D106" i="11"/>
  <c r="E105" i="11"/>
  <c r="D105" i="11"/>
  <c r="E104" i="11"/>
  <c r="D104" i="11"/>
  <c r="E103" i="11"/>
  <c r="D103" i="11"/>
  <c r="E102" i="11"/>
  <c r="D102" i="11"/>
  <c r="E101" i="11"/>
  <c r="D101" i="11"/>
  <c r="E100" i="11"/>
  <c r="D100" i="11"/>
  <c r="M48" i="11" a="1"/>
  <c r="N48" i="11" a="1"/>
  <c r="P48" i="11" a="1"/>
  <c r="Q48" i="11" a="1"/>
  <c r="M49" i="11" a="1"/>
  <c r="N49" i="11" a="1"/>
  <c r="P49" i="11" a="1"/>
  <c r="Q49" i="11" a="1"/>
  <c r="M50" i="11" a="1"/>
  <c r="N50" i="11" a="1"/>
  <c r="P50" i="11" a="1"/>
  <c r="Q50" i="11" a="1"/>
  <c r="M51" i="11" a="1"/>
  <c r="N51" i="11" a="1"/>
  <c r="P51" i="11" a="1"/>
  <c r="Q51" i="11" a="1"/>
  <c r="M27" i="11" a="1"/>
  <c r="N27" i="11" a="1"/>
  <c r="P27" i="11" a="1"/>
  <c r="Q27" i="11" a="1"/>
  <c r="M28" i="11" a="1"/>
  <c r="N28" i="11" a="1"/>
  <c r="P28" i="11" a="1"/>
  <c r="Q28" i="11" a="1"/>
  <c r="M29" i="11" a="1"/>
  <c r="N29" i="11" a="1"/>
  <c r="P29" i="11" a="1"/>
  <c r="Q29" i="11" a="1"/>
  <c r="M30" i="11" a="1"/>
  <c r="N30" i="11" a="1"/>
  <c r="P30" i="11" a="1"/>
  <c r="Q30" i="11" a="1"/>
  <c r="M6" i="11" a="1"/>
  <c r="N6" i="11" a="1"/>
  <c r="P6" i="11" a="1"/>
  <c r="Q6" i="11" a="1"/>
  <c r="M7" i="11" a="1"/>
  <c r="N7" i="11" a="1"/>
  <c r="P7" i="11" a="1"/>
  <c r="Q7" i="11" a="1"/>
  <c r="M8" i="11" a="1"/>
  <c r="N8" i="11" a="1"/>
  <c r="P8" i="11" a="1"/>
  <c r="Q8" i="11" a="1"/>
  <c r="M9" i="11" a="1"/>
  <c r="N9" i="11" a="1"/>
  <c r="P9" i="11" a="1"/>
  <c r="Q9" i="11" a="1"/>
  <c r="M13" i="11" a="1"/>
  <c r="N13" i="11" a="1"/>
  <c r="P13" i="11" a="1"/>
  <c r="Q13" i="11" a="1"/>
  <c r="M14" i="11" a="1"/>
  <c r="N14" i="11" a="1"/>
  <c r="P14" i="11" a="1"/>
  <c r="Q14" i="11" a="1"/>
  <c r="M15" i="11" a="1"/>
  <c r="N15" i="11" a="1"/>
  <c r="P15" i="11" a="1"/>
  <c r="Q15" i="11" a="1"/>
  <c r="M16" i="11" a="1"/>
  <c r="N16" i="11" a="1"/>
  <c r="P16" i="11" a="1"/>
  <c r="Q16" i="11" a="1"/>
  <c r="M20" i="11" a="1"/>
  <c r="N20" i="11" a="1"/>
  <c r="P20" i="11" a="1"/>
  <c r="Q20" i="11" a="1"/>
  <c r="M21" i="11" a="1"/>
  <c r="N21" i="11" a="1"/>
  <c r="P21" i="11" a="1"/>
  <c r="Q21" i="11" a="1"/>
  <c r="M22" i="11" a="1"/>
  <c r="N22" i="11" a="1"/>
  <c r="P22" i="11" a="1"/>
  <c r="Q22" i="11" a="1"/>
  <c r="M23" i="11" a="1"/>
  <c r="N23" i="11" a="1"/>
  <c r="P23" i="11" a="1"/>
  <c r="Q23" i="11" a="1"/>
  <c r="M34" i="11" a="1"/>
  <c r="N34" i="11" a="1"/>
  <c r="P34" i="11" a="1"/>
  <c r="Q34" i="11" a="1"/>
  <c r="M35" i="11" a="1"/>
  <c r="N35" i="11" a="1"/>
  <c r="P35" i="11" a="1"/>
  <c r="Q35" i="11" a="1"/>
  <c r="M36" i="11" a="1"/>
  <c r="N36" i="11" a="1"/>
  <c r="P36" i="11" a="1"/>
  <c r="Q36" i="11" a="1"/>
  <c r="M37" i="11" a="1"/>
  <c r="N37" i="11" a="1"/>
  <c r="P37" i="11" a="1"/>
  <c r="Q37" i="11" a="1"/>
  <c r="M41" i="11" a="1"/>
  <c r="N41" i="11" a="1"/>
  <c r="P41" i="11" a="1"/>
  <c r="Q41" i="11" a="1"/>
  <c r="M42" i="11" a="1"/>
  <c r="N42" i="11" a="1"/>
  <c r="P42" i="11" a="1"/>
  <c r="Q42" i="11" a="1"/>
  <c r="M43" i="11" a="1"/>
  <c r="N43" i="11" a="1"/>
  <c r="P43" i="11" a="1"/>
  <c r="Q43" i="11" a="1"/>
  <c r="M44" i="11" a="1"/>
  <c r="N44" i="11" a="1"/>
  <c r="P44" i="11" a="1"/>
  <c r="Q44" i="11" a="1"/>
  <c r="M55" i="11" a="1"/>
  <c r="N55" i="11" a="1"/>
  <c r="P55" i="11" a="1"/>
  <c r="Q55" i="11" a="1"/>
  <c r="M56" i="11" a="1"/>
  <c r="N56" i="11" a="1"/>
  <c r="P56" i="11" a="1"/>
  <c r="Q56" i="11" a="1"/>
  <c r="M57" i="11" a="1"/>
  <c r="N57" i="11" a="1"/>
  <c r="P57" i="11" a="1"/>
  <c r="Q57" i="11" a="1"/>
  <c r="M58" i="11" a="1"/>
  <c r="N58" i="11" a="1"/>
  <c r="P58" i="11" a="1"/>
  <c r="Q58" i="11" a="1"/>
  <c r="M62" i="11" a="1"/>
  <c r="N62" i="11" a="1"/>
  <c r="P62" i="11" a="1"/>
  <c r="Q62" i="11" a="1"/>
  <c r="M63" i="11" a="1"/>
  <c r="N63" i="11" a="1"/>
  <c r="P63" i="11" a="1"/>
  <c r="Q63" i="11" a="1"/>
  <c r="M64" i="11" a="1"/>
  <c r="N64" i="11" a="1"/>
  <c r="P64" i="11" a="1"/>
  <c r="Q64" i="11" a="1"/>
  <c r="M65" i="11" a="1"/>
  <c r="N65" i="11" a="1"/>
  <c r="P65" i="11" a="1"/>
  <c r="Q65" i="11" a="1"/>
  <c r="M69" i="11" a="1"/>
  <c r="N69" i="11" a="1"/>
  <c r="P69" i="11" a="1"/>
  <c r="Q69" i="11" a="1"/>
  <c r="M70" i="11" a="1"/>
  <c r="N70" i="11" a="1"/>
  <c r="P70" i="11" a="1"/>
  <c r="Q70" i="11" a="1"/>
  <c r="M71" i="11" a="1"/>
  <c r="N71" i="11" a="1"/>
  <c r="P71" i="11" a="1"/>
  <c r="Q71" i="11" a="1"/>
  <c r="M72" i="11" a="1"/>
  <c r="N72" i="11" a="1"/>
  <c r="P72" i="11" a="1"/>
  <c r="Q72" i="11" a="1"/>
  <c r="M76" i="11" a="1"/>
  <c r="N76" i="11" a="1"/>
  <c r="P76" i="11" a="1"/>
  <c r="Q76" i="11" a="1"/>
  <c r="M77" i="11" a="1"/>
  <c r="N77" i="11" a="1"/>
  <c r="P77" i="11" a="1"/>
  <c r="Q77" i="11" a="1"/>
  <c r="M78" i="11" a="1"/>
  <c r="N78" i="11" a="1"/>
  <c r="P78" i="11" a="1"/>
  <c r="Q78" i="11" a="1"/>
  <c r="M79" i="11" a="1"/>
  <c r="N79" i="11" a="1"/>
  <c r="P79" i="11" a="1"/>
  <c r="Q79" i="11" a="1"/>
  <c r="M83" i="11" a="1"/>
  <c r="N83" i="11" a="1"/>
  <c r="P83" i="11" a="1"/>
  <c r="Q83" i="11" a="1"/>
  <c r="M84" i="11" a="1"/>
  <c r="N84" i="11" a="1"/>
  <c r="P84" i="11" a="1"/>
  <c r="Q84" i="11" a="1"/>
  <c r="M85" i="11" a="1"/>
  <c r="N85" i="11" a="1"/>
  <c r="P85" i="11" a="1"/>
  <c r="Q85" i="11" a="1"/>
  <c r="M86" i="11" a="1"/>
  <c r="N86" i="11" a="1"/>
  <c r="P86" i="11" a="1"/>
  <c r="Q86" i="11" a="1"/>
  <c r="O86" i="11" a="1"/>
  <c r="O85" i="11" a="1"/>
  <c r="O84" i="11" a="1"/>
  <c r="O83" i="11" a="1"/>
  <c r="O79" i="11" a="1"/>
  <c r="O78" i="11" a="1"/>
  <c r="O77" i="11" a="1"/>
  <c r="O76" i="11" a="1"/>
  <c r="O72" i="11" a="1"/>
  <c r="O71" i="11" a="1"/>
  <c r="O70" i="11" a="1"/>
  <c r="O69" i="11" a="1"/>
  <c r="O65" i="11" a="1"/>
  <c r="O64" i="11" a="1"/>
  <c r="O63" i="11" a="1"/>
  <c r="O62" i="11" a="1"/>
  <c r="O58" i="11" a="1"/>
  <c r="O57" i="11" a="1"/>
  <c r="O56" i="11" a="1"/>
  <c r="O55" i="11" a="1"/>
  <c r="O51" i="11" a="1"/>
  <c r="O50" i="11" a="1"/>
  <c r="O49" i="11" a="1"/>
  <c r="O48" i="11" a="1"/>
  <c r="O44" i="11" a="1"/>
  <c r="O43" i="11" a="1"/>
  <c r="O42" i="11" a="1"/>
  <c r="O41" i="11" a="1"/>
  <c r="O37" i="11" a="1"/>
  <c r="O36" i="11" a="1"/>
  <c r="O35" i="11" a="1"/>
  <c r="O34" i="11" a="1"/>
  <c r="O30" i="11" a="1"/>
  <c r="O29" i="11" a="1"/>
  <c r="O28" i="11" a="1"/>
  <c r="O27" i="11" a="1"/>
  <c r="O23" i="11" a="1"/>
  <c r="O22" i="11" a="1"/>
  <c r="O21" i="11" a="1"/>
  <c r="O20" i="11" a="1"/>
  <c r="O16" i="11" a="1"/>
  <c r="O15" i="11" a="1"/>
  <c r="O14" i="11" a="1"/>
  <c r="O13" i="11" a="1"/>
  <c r="O9" i="11" a="1"/>
  <c r="O8" i="11" a="1"/>
  <c r="O7" i="11" a="1"/>
  <c r="O6" i="11" a="1"/>
  <c r="I4" i="8"/>
  <c r="M5" i="2"/>
  <c r="D114" i="8"/>
  <c r="D113" i="8"/>
  <c r="I107" i="8"/>
  <c r="H107" i="8"/>
  <c r="E107" i="8"/>
  <c r="D107" i="8"/>
  <c r="I106" i="8"/>
  <c r="H106" i="8"/>
  <c r="E106" i="8"/>
  <c r="D106" i="8"/>
  <c r="I105" i="8"/>
  <c r="H105" i="8"/>
  <c r="E105" i="8"/>
  <c r="D105" i="8"/>
  <c r="I104" i="8"/>
  <c r="H104" i="8"/>
  <c r="E104" i="8"/>
  <c r="D104" i="8"/>
  <c r="I103" i="8"/>
  <c r="H103" i="8"/>
  <c r="E103" i="8"/>
  <c r="D103" i="8"/>
  <c r="I102" i="8"/>
  <c r="H102" i="8"/>
  <c r="E102" i="8"/>
  <c r="D102" i="8"/>
  <c r="I101" i="8"/>
  <c r="H101" i="8"/>
  <c r="E101" i="8"/>
  <c r="D101" i="8"/>
  <c r="I100" i="8"/>
  <c r="H100" i="8"/>
  <c r="E100" i="8"/>
  <c r="D100" i="8"/>
  <c r="I99" i="8"/>
  <c r="H99" i="8"/>
  <c r="I98" i="8"/>
  <c r="H98" i="8"/>
  <c r="I97" i="8"/>
  <c r="H97" i="8"/>
  <c r="I96" i="8"/>
  <c r="H96" i="8"/>
  <c r="I95" i="8"/>
  <c r="H95" i="8"/>
  <c r="I94" i="8"/>
  <c r="H94" i="8"/>
  <c r="I93" i="8"/>
  <c r="H93" i="8"/>
  <c r="I92" i="8"/>
  <c r="H92" i="8"/>
  <c r="I91" i="8"/>
  <c r="H91" i="8"/>
  <c r="I90" i="8"/>
  <c r="H90" i="8"/>
  <c r="I89" i="8"/>
  <c r="H89" i="8"/>
  <c r="I88" i="8"/>
  <c r="H88" i="8"/>
  <c r="I87" i="8"/>
  <c r="H87" i="8"/>
  <c r="Q86" i="8" a="1"/>
  <c r="P86" i="8" a="1"/>
  <c r="O86" i="8" a="1"/>
  <c r="N86" i="8" a="1"/>
  <c r="M86" i="8" a="1"/>
  <c r="I86" i="8"/>
  <c r="H86" i="8"/>
  <c r="Q85" i="8" a="1"/>
  <c r="P85" i="8" a="1"/>
  <c r="O85" i="8" a="1"/>
  <c r="N85" i="8" a="1"/>
  <c r="M85" i="8" a="1"/>
  <c r="I85" i="8"/>
  <c r="H85" i="8"/>
  <c r="Q84" i="8" a="1"/>
  <c r="P84" i="8" a="1"/>
  <c r="O84" i="8" a="1"/>
  <c r="N84" i="8" a="1"/>
  <c r="M84" i="8" a="1"/>
  <c r="I84" i="8"/>
  <c r="H84" i="8"/>
  <c r="Q83" i="8" a="1"/>
  <c r="P83" i="8" a="1"/>
  <c r="O83" i="8" a="1"/>
  <c r="N83" i="8" a="1"/>
  <c r="M83" i="8" a="1"/>
  <c r="I83" i="8"/>
  <c r="H83" i="8"/>
  <c r="I82" i="8"/>
  <c r="H82" i="8"/>
  <c r="I81" i="8"/>
  <c r="H81" i="8"/>
  <c r="I80" i="8"/>
  <c r="H80" i="8"/>
  <c r="Q79" i="8" a="1"/>
  <c r="P79" i="8" a="1"/>
  <c r="O79" i="8" a="1"/>
  <c r="N79" i="8" a="1"/>
  <c r="M79" i="8" a="1"/>
  <c r="I79" i="8"/>
  <c r="H79" i="8"/>
  <c r="Q78" i="8" a="1"/>
  <c r="P78" i="8" a="1"/>
  <c r="O78" i="8" a="1"/>
  <c r="N78" i="8" a="1"/>
  <c r="M78" i="8" a="1"/>
  <c r="I78" i="8"/>
  <c r="H78" i="8"/>
  <c r="Q77" i="8" a="1"/>
  <c r="P77" i="8" a="1"/>
  <c r="O77" i="8" a="1"/>
  <c r="N77" i="8" a="1"/>
  <c r="M77" i="8" a="1"/>
  <c r="I77" i="8"/>
  <c r="H77" i="8"/>
  <c r="Q76" i="8" a="1"/>
  <c r="P76" i="8" a="1"/>
  <c r="O76" i="8" a="1"/>
  <c r="N76" i="8" a="1"/>
  <c r="M76" i="8" a="1"/>
  <c r="I76" i="8"/>
  <c r="H76" i="8"/>
  <c r="I75" i="8"/>
  <c r="H75" i="8"/>
  <c r="I74" i="8"/>
  <c r="H74" i="8"/>
  <c r="I73" i="8"/>
  <c r="H73" i="8"/>
  <c r="Q72" i="8" a="1"/>
  <c r="P72" i="8" a="1"/>
  <c r="O72" i="8" a="1"/>
  <c r="N72" i="8" a="1"/>
  <c r="M72" i="8" a="1"/>
  <c r="I72" i="8"/>
  <c r="H72" i="8"/>
  <c r="Q71" i="8" a="1"/>
  <c r="P71" i="8" a="1"/>
  <c r="O71" i="8" a="1"/>
  <c r="N71" i="8" a="1"/>
  <c r="M71" i="8" a="1"/>
  <c r="I71" i="8"/>
  <c r="H71" i="8"/>
  <c r="Q70" i="8" a="1"/>
  <c r="P70" i="8" a="1"/>
  <c r="O70" i="8" a="1"/>
  <c r="N70" i="8" a="1"/>
  <c r="M70" i="8" a="1"/>
  <c r="I70" i="8"/>
  <c r="H70" i="8"/>
  <c r="Q69" i="8" a="1"/>
  <c r="P69" i="8" a="1"/>
  <c r="O69" i="8" a="1"/>
  <c r="N69" i="8" a="1"/>
  <c r="M69" i="8" a="1"/>
  <c r="I69" i="8"/>
  <c r="H69" i="8"/>
  <c r="I68" i="8"/>
  <c r="H68" i="8"/>
  <c r="I67" i="8"/>
  <c r="H67" i="8"/>
  <c r="I66" i="8"/>
  <c r="H66" i="8"/>
  <c r="Q65" i="8" a="1"/>
  <c r="P65" i="8" a="1"/>
  <c r="O65" i="8" a="1"/>
  <c r="N65" i="8" a="1"/>
  <c r="M65" i="8" a="1"/>
  <c r="I65" i="8"/>
  <c r="H65" i="8"/>
  <c r="Q64" i="8" a="1"/>
  <c r="P64" i="8" a="1"/>
  <c r="O64" i="8" a="1"/>
  <c r="N64" i="8" a="1"/>
  <c r="M64" i="8" a="1"/>
  <c r="I64" i="8"/>
  <c r="H64" i="8"/>
  <c r="Q63" i="8" a="1"/>
  <c r="P63" i="8" a="1"/>
  <c r="O63" i="8" a="1"/>
  <c r="N63" i="8" a="1"/>
  <c r="M63" i="8" a="1"/>
  <c r="I63" i="8"/>
  <c r="H63" i="8"/>
  <c r="Q62" i="8" a="1"/>
  <c r="P62" i="8" a="1"/>
  <c r="O62" i="8" a="1"/>
  <c r="N62" i="8" a="1"/>
  <c r="M62" i="8" a="1"/>
  <c r="I62" i="8"/>
  <c r="H62" i="8"/>
  <c r="I61" i="8"/>
  <c r="H61" i="8"/>
  <c r="I60" i="8"/>
  <c r="H60" i="8"/>
  <c r="I59" i="8"/>
  <c r="H59" i="8"/>
  <c r="Q58" i="8" a="1"/>
  <c r="P58" i="8" a="1"/>
  <c r="O58" i="8" a="1"/>
  <c r="N58" i="8" a="1"/>
  <c r="M58" i="8" a="1"/>
  <c r="I58" i="8"/>
  <c r="H58" i="8"/>
  <c r="Q57" i="8" a="1"/>
  <c r="P57" i="8" a="1"/>
  <c r="O57" i="8" a="1"/>
  <c r="N57" i="8" a="1"/>
  <c r="M57" i="8" a="1"/>
  <c r="I57" i="8"/>
  <c r="H57" i="8"/>
  <c r="Q56" i="8" a="1"/>
  <c r="P56" i="8" a="1"/>
  <c r="O56" i="8" a="1"/>
  <c r="N56" i="8" a="1"/>
  <c r="M56" i="8" a="1"/>
  <c r="I56" i="8"/>
  <c r="H56" i="8"/>
  <c r="Q55" i="8" a="1"/>
  <c r="P55" i="8" a="1"/>
  <c r="O55" i="8" a="1"/>
  <c r="N55" i="8" a="1"/>
  <c r="M55" i="8" a="1"/>
  <c r="I55" i="8"/>
  <c r="H55" i="8"/>
  <c r="I54" i="8"/>
  <c r="H54" i="8"/>
  <c r="I53" i="8"/>
  <c r="H53" i="8"/>
  <c r="I52" i="8"/>
  <c r="H52" i="8"/>
  <c r="Q51" i="8" a="1"/>
  <c r="P51" i="8" a="1"/>
  <c r="O51" i="8" a="1"/>
  <c r="N51" i="8" a="1"/>
  <c r="M51" i="8" a="1"/>
  <c r="I51" i="8"/>
  <c r="H51" i="8"/>
  <c r="Q50" i="8" a="1"/>
  <c r="P50" i="8" a="1"/>
  <c r="O50" i="8" a="1"/>
  <c r="N50" i="8" a="1"/>
  <c r="M50" i="8" a="1"/>
  <c r="I50" i="8"/>
  <c r="H50" i="8"/>
  <c r="Q49" i="8" a="1"/>
  <c r="P49" i="8" a="1"/>
  <c r="O49" i="8" a="1"/>
  <c r="N49" i="8" a="1"/>
  <c r="M49" i="8" a="1"/>
  <c r="I49" i="8"/>
  <c r="H49" i="8"/>
  <c r="Q48" i="8" a="1"/>
  <c r="P48" i="8" a="1"/>
  <c r="O48" i="8" a="1"/>
  <c r="N48" i="8" a="1"/>
  <c r="M48" i="8" a="1"/>
  <c r="I48" i="8"/>
  <c r="H48" i="8"/>
  <c r="I47" i="8"/>
  <c r="H47" i="8"/>
  <c r="I46" i="8"/>
  <c r="H46" i="8"/>
  <c r="I45" i="8"/>
  <c r="H45" i="8"/>
  <c r="Q44" i="8" a="1"/>
  <c r="P44" i="8" a="1"/>
  <c r="O44" i="8" a="1"/>
  <c r="N44" i="8" a="1"/>
  <c r="M44" i="8" a="1"/>
  <c r="I44" i="8"/>
  <c r="H44" i="8"/>
  <c r="Q43" i="8" a="1"/>
  <c r="P43" i="8" a="1"/>
  <c r="O43" i="8" a="1"/>
  <c r="N43" i="8" a="1"/>
  <c r="M43" i="8" a="1"/>
  <c r="I43" i="8"/>
  <c r="H43" i="8"/>
  <c r="Q42" i="8" a="1"/>
  <c r="P42" i="8" a="1"/>
  <c r="O42" i="8" a="1"/>
  <c r="N42" i="8" a="1"/>
  <c r="M42" i="8" a="1"/>
  <c r="I42" i="8"/>
  <c r="H42" i="8"/>
  <c r="Q41" i="8" a="1"/>
  <c r="P41" i="8" a="1"/>
  <c r="O41" i="8" a="1"/>
  <c r="N41" i="8" a="1"/>
  <c r="M41" i="8" a="1"/>
  <c r="I41" i="8"/>
  <c r="H41" i="8"/>
  <c r="I40" i="8"/>
  <c r="H40" i="8"/>
  <c r="I39" i="8"/>
  <c r="H39" i="8"/>
  <c r="I38" i="8"/>
  <c r="H38" i="8"/>
  <c r="Q37" i="8" a="1"/>
  <c r="P37" i="8" a="1"/>
  <c r="O37" i="8" a="1"/>
  <c r="N37" i="8" a="1"/>
  <c r="M37" i="8" a="1"/>
  <c r="I37" i="8"/>
  <c r="H37" i="8"/>
  <c r="Q36" i="8" a="1"/>
  <c r="P36" i="8" a="1"/>
  <c r="O36" i="8" a="1"/>
  <c r="N36" i="8" a="1"/>
  <c r="M36" i="8" a="1"/>
  <c r="I36" i="8"/>
  <c r="H36" i="8"/>
  <c r="Q35" i="8" a="1"/>
  <c r="P35" i="8" a="1"/>
  <c r="O35" i="8" a="1"/>
  <c r="N35" i="8" a="1"/>
  <c r="M35" i="8" a="1"/>
  <c r="I35" i="8"/>
  <c r="H35" i="8"/>
  <c r="Q34" i="8" a="1"/>
  <c r="P34" i="8" a="1"/>
  <c r="O34" i="8" a="1"/>
  <c r="N34" i="8" a="1"/>
  <c r="M34" i="8" a="1"/>
  <c r="I34" i="8"/>
  <c r="H34" i="8"/>
  <c r="I33" i="8"/>
  <c r="H33" i="8"/>
  <c r="I32" i="8"/>
  <c r="H32" i="8"/>
  <c r="I31" i="8"/>
  <c r="H31" i="8"/>
  <c r="Q30" i="8" a="1"/>
  <c r="P30" i="8" a="1"/>
  <c r="O30" i="8" a="1"/>
  <c r="N30" i="8" a="1"/>
  <c r="M30" i="8" a="1"/>
  <c r="I30" i="8"/>
  <c r="H30" i="8"/>
  <c r="Q29" i="8" a="1"/>
  <c r="P29" i="8" a="1"/>
  <c r="O29" i="8" a="1"/>
  <c r="N29" i="8" a="1"/>
  <c r="M29" i="8" a="1"/>
  <c r="I29" i="8"/>
  <c r="H29" i="8"/>
  <c r="Q28" i="8" a="1"/>
  <c r="P28" i="8" a="1"/>
  <c r="O28" i="8" a="1"/>
  <c r="N28" i="8" a="1"/>
  <c r="M28" i="8" a="1"/>
  <c r="I28" i="8"/>
  <c r="H28" i="8"/>
  <c r="Q27" i="8" a="1"/>
  <c r="P27" i="8" a="1"/>
  <c r="O27" i="8" a="1"/>
  <c r="N27" i="8" a="1"/>
  <c r="M27" i="8" a="1"/>
  <c r="I27" i="8"/>
  <c r="H27" i="8"/>
  <c r="I26" i="8"/>
  <c r="H26" i="8"/>
  <c r="I25" i="8"/>
  <c r="H25" i="8"/>
  <c r="I24" i="8"/>
  <c r="H24" i="8"/>
  <c r="Q23" i="8" a="1"/>
  <c r="P23" i="8" a="1"/>
  <c r="O23" i="8" a="1"/>
  <c r="N23" i="8" a="1"/>
  <c r="M23" i="8" a="1"/>
  <c r="I23" i="8"/>
  <c r="H23" i="8"/>
  <c r="Q22" i="8" a="1"/>
  <c r="P22" i="8" a="1"/>
  <c r="O22" i="8" a="1"/>
  <c r="N22" i="8" a="1"/>
  <c r="M22" i="8" a="1"/>
  <c r="I22" i="8"/>
  <c r="H22" i="8"/>
  <c r="Q21" i="8" a="1"/>
  <c r="P21" i="8" a="1"/>
  <c r="O21" i="8" a="1"/>
  <c r="N21" i="8" a="1"/>
  <c r="M21" i="8" a="1"/>
  <c r="I21" i="8"/>
  <c r="H21" i="8"/>
  <c r="Q20" i="8" a="1"/>
  <c r="P20" i="8" a="1"/>
  <c r="O20" i="8" a="1"/>
  <c r="N20" i="8" a="1"/>
  <c r="M20" i="8" a="1"/>
  <c r="I20" i="8"/>
  <c r="H20" i="8"/>
  <c r="I19" i="8"/>
  <c r="H19" i="8"/>
  <c r="I18" i="8"/>
  <c r="H18" i="8"/>
  <c r="I17" i="8"/>
  <c r="H17" i="8"/>
  <c r="Q16" i="8" a="1"/>
  <c r="P16" i="8" a="1"/>
  <c r="O16" i="8" a="1"/>
  <c r="N16" i="8" a="1"/>
  <c r="M16" i="8" a="1"/>
  <c r="I16" i="8"/>
  <c r="H16" i="8"/>
  <c r="Q15" i="8" a="1"/>
  <c r="P15" i="8" a="1"/>
  <c r="O15" i="8" a="1"/>
  <c r="N15" i="8" a="1"/>
  <c r="M15" i="8" a="1"/>
  <c r="I15" i="8"/>
  <c r="H15" i="8"/>
  <c r="Q14" i="8" a="1"/>
  <c r="P14" i="8" a="1"/>
  <c r="O14" i="8" a="1"/>
  <c r="N14" i="8" a="1"/>
  <c r="M14" i="8" a="1"/>
  <c r="I14" i="8"/>
  <c r="H14" i="8"/>
  <c r="Q13" i="8" a="1"/>
  <c r="P13" i="8" a="1"/>
  <c r="O13" i="8" a="1"/>
  <c r="N13" i="8" a="1"/>
  <c r="M13" i="8" a="1"/>
  <c r="I13" i="8"/>
  <c r="H13" i="8"/>
  <c r="I12" i="8"/>
  <c r="H12" i="8"/>
  <c r="I11" i="8"/>
  <c r="H11" i="8"/>
  <c r="I10" i="8"/>
  <c r="H10" i="8"/>
  <c r="Q9" i="8" a="1"/>
  <c r="P9" i="8" a="1"/>
  <c r="O9" i="8" a="1"/>
  <c r="N9" i="8" a="1"/>
  <c r="M9" i="8" a="1"/>
  <c r="I9" i="8"/>
  <c r="H9" i="8"/>
  <c r="Q8" i="8" a="1"/>
  <c r="P8" i="8" a="1"/>
  <c r="O8" i="8" a="1"/>
  <c r="N8" i="8" a="1"/>
  <c r="M8" i="8" a="1"/>
  <c r="I8" i="8"/>
  <c r="H8" i="8"/>
  <c r="Q7" i="8" a="1"/>
  <c r="P7" i="8" a="1"/>
  <c r="O7" i="8" a="1"/>
  <c r="N7" i="8" a="1"/>
  <c r="M7" i="8" a="1"/>
  <c r="I7" i="8"/>
  <c r="H7" i="8"/>
  <c r="Q6" i="8" a="1"/>
  <c r="P6" i="8" a="1"/>
  <c r="O6" i="8" a="1"/>
  <c r="N6" i="8" a="1"/>
  <c r="M6" i="8" a="1"/>
  <c r="I6" i="8"/>
  <c r="H6" i="8"/>
  <c r="I5" i="8"/>
  <c r="H5" i="8"/>
  <c r="AA15" i="4" a="1"/>
  <c r="AB15" i="4"/>
  <c r="Z15" i="4" a="1"/>
  <c r="Y15" i="4" a="1"/>
  <c r="E86" i="4"/>
  <c r="X15" i="4" a="1"/>
  <c r="D83" i="4"/>
  <c r="AA14" i="4" a="1"/>
  <c r="AB14" i="4"/>
  <c r="Z14" i="4" a="1"/>
  <c r="Y14" i="4" a="1"/>
  <c r="D86" i="4"/>
  <c r="X14" i="4" a="1"/>
  <c r="D90" i="4"/>
  <c r="AA13" i="4" a="1"/>
  <c r="AB13" i="4"/>
  <c r="Z13" i="4" a="1"/>
  <c r="Y13" i="4" a="1"/>
  <c r="E87" i="4"/>
  <c r="X13" i="4" a="1"/>
  <c r="D89" i="4"/>
  <c r="AA12" i="4" a="1"/>
  <c r="AB12" i="4"/>
  <c r="Z12" i="4" a="1"/>
  <c r="Y12" i="4" a="1"/>
  <c r="E81" i="4"/>
  <c r="X12" i="4" a="1"/>
  <c r="D80" i="4"/>
  <c r="AA11" i="4" a="1"/>
  <c r="AB11" i="4"/>
  <c r="Z11" i="4" a="1"/>
  <c r="Y11" i="4" a="1"/>
  <c r="E89" i="4"/>
  <c r="X11" i="4" a="1"/>
  <c r="D87" i="4"/>
  <c r="AA10" i="4" a="1"/>
  <c r="AB10" i="4"/>
  <c r="Z10" i="4" a="1"/>
  <c r="Y10" i="4" a="1"/>
  <c r="E91" i="4"/>
  <c r="X10" i="4" a="1"/>
  <c r="D85" i="4"/>
  <c r="AA9" i="4" a="1"/>
  <c r="AB9" i="4"/>
  <c r="Z9" i="4" a="1"/>
  <c r="Y9" i="4" a="1"/>
  <c r="E79" i="4"/>
  <c r="X9" i="4" a="1"/>
  <c r="D78" i="4"/>
  <c r="AA8" i="4" a="1"/>
  <c r="AB8" i="4"/>
  <c r="Z8" i="4" a="1"/>
  <c r="Y8" i="4" a="1"/>
  <c r="D81" i="4"/>
  <c r="X8" i="4" a="1"/>
  <c r="D77" i="4"/>
  <c r="AA7" i="4" a="1"/>
  <c r="AB7" i="4"/>
  <c r="Z7" i="4" a="1"/>
  <c r="Y7" i="4" a="1"/>
  <c r="D91" i="4"/>
  <c r="X7" i="4" a="1"/>
  <c r="D84" i="4"/>
  <c r="AA6" i="4" a="1"/>
  <c r="AB6" i="4"/>
  <c r="Z6" i="4" a="1"/>
  <c r="Y6" i="4" a="1"/>
  <c r="E78" i="4"/>
  <c r="X6" i="4" a="1"/>
  <c r="D79" i="4"/>
  <c r="AA5" i="4" a="1"/>
  <c r="AB5" i="4"/>
  <c r="Z5" i="4" a="1"/>
  <c r="Y5" i="4" a="1"/>
  <c r="E76" i="4"/>
  <c r="X5" i="4" a="1"/>
  <c r="D88" i="4"/>
  <c r="AA4" i="4"/>
  <c r="AB4" i="4"/>
  <c r="Z4" i="4" a="1"/>
  <c r="Y4" i="4" a="1"/>
  <c r="D76" i="4"/>
  <c r="X4" i="4" a="1"/>
  <c r="D82" i="4"/>
  <c r="Q86" i="4" a="1"/>
  <c r="P86" i="4" a="1"/>
  <c r="O86" i="4" a="1"/>
  <c r="N86" i="4" a="1"/>
  <c r="M86" i="4" a="1"/>
  <c r="Q85" i="4" a="1"/>
  <c r="P85" i="4" a="1"/>
  <c r="O85" i="4" a="1"/>
  <c r="N85" i="4" a="1"/>
  <c r="M85" i="4" a="1"/>
  <c r="Q84" i="4" a="1"/>
  <c r="P84" i="4" a="1"/>
  <c r="O84" i="4" a="1"/>
  <c r="N84" i="4" a="1"/>
  <c r="M84" i="4" a="1"/>
  <c r="Q83" i="4" a="1"/>
  <c r="P83" i="4" a="1"/>
  <c r="O83" i="4" a="1"/>
  <c r="N83" i="4" a="1"/>
  <c r="M83" i="4" a="1"/>
  <c r="Q79" i="4" a="1"/>
  <c r="P79" i="4" a="1"/>
  <c r="O79" i="4" a="1"/>
  <c r="N79" i="4" a="1"/>
  <c r="M79" i="4" a="1"/>
  <c r="Q78" i="4" a="1"/>
  <c r="P78" i="4" a="1"/>
  <c r="O78" i="4" a="1"/>
  <c r="N78" i="4" a="1"/>
  <c r="M78" i="4" a="1"/>
  <c r="Q77" i="4" a="1"/>
  <c r="P77" i="4" a="1"/>
  <c r="O77" i="4" a="1"/>
  <c r="N77" i="4" a="1"/>
  <c r="M77" i="4" a="1"/>
  <c r="Q76" i="4" a="1"/>
  <c r="P76" i="4" a="1"/>
  <c r="O76" i="4" a="1"/>
  <c r="N76" i="4" a="1"/>
  <c r="M76" i="4" a="1"/>
  <c r="Q72" i="4" a="1"/>
  <c r="P72" i="4" a="1"/>
  <c r="O72" i="4" a="1"/>
  <c r="N72" i="4" a="1"/>
  <c r="M72" i="4" a="1"/>
  <c r="Q71" i="4" a="1"/>
  <c r="P71" i="4" a="1"/>
  <c r="O71" i="4" a="1"/>
  <c r="N71" i="4" a="1"/>
  <c r="M71" i="4" a="1"/>
  <c r="Q70" i="4" a="1"/>
  <c r="P70" i="4" a="1"/>
  <c r="O70" i="4" a="1"/>
  <c r="N70" i="4" a="1"/>
  <c r="M70" i="4" a="1"/>
  <c r="Q69" i="4" a="1"/>
  <c r="P69" i="4" a="1"/>
  <c r="O69" i="4" a="1"/>
  <c r="N69" i="4" a="1"/>
  <c r="M69" i="4" a="1"/>
  <c r="Q65" i="4" a="1"/>
  <c r="P65" i="4" a="1"/>
  <c r="O65" i="4" a="1"/>
  <c r="N65" i="4" a="1"/>
  <c r="M65" i="4" a="1"/>
  <c r="Q64" i="4" a="1"/>
  <c r="P64" i="4" a="1"/>
  <c r="O64" i="4" a="1"/>
  <c r="N64" i="4" a="1"/>
  <c r="M64" i="4" a="1"/>
  <c r="Q63" i="4" a="1"/>
  <c r="P63" i="4" a="1"/>
  <c r="O63" i="4" a="1"/>
  <c r="N63" i="4" a="1"/>
  <c r="M63" i="4" a="1"/>
  <c r="Q62" i="4" a="1"/>
  <c r="P62" i="4" a="1"/>
  <c r="O62" i="4" a="1"/>
  <c r="N62" i="4" a="1"/>
  <c r="M62" i="4" a="1"/>
  <c r="Q58" i="4" a="1"/>
  <c r="P58" i="4" a="1"/>
  <c r="O58" i="4" a="1"/>
  <c r="N58" i="4" a="1"/>
  <c r="M58" i="4" a="1"/>
  <c r="Q57" i="4" a="1"/>
  <c r="P57" i="4" a="1"/>
  <c r="O57" i="4" a="1"/>
  <c r="N57" i="4" a="1"/>
  <c r="M57" i="4" a="1"/>
  <c r="Q56" i="4" a="1"/>
  <c r="P56" i="4" a="1"/>
  <c r="O56" i="4" a="1"/>
  <c r="N56" i="4" a="1"/>
  <c r="M56" i="4" a="1"/>
  <c r="Q55" i="4" a="1"/>
  <c r="P55" i="4" a="1"/>
  <c r="O55" i="4" a="1"/>
  <c r="N55" i="4" a="1"/>
  <c r="M55" i="4" a="1"/>
  <c r="Q51" i="4" a="1"/>
  <c r="P51" i="4" a="1"/>
  <c r="O51" i="4" a="1"/>
  <c r="N51" i="4" a="1"/>
  <c r="M51" i="4" a="1"/>
  <c r="Q50" i="4" a="1"/>
  <c r="P50" i="4" a="1"/>
  <c r="O50" i="4" a="1"/>
  <c r="N50" i="4" a="1"/>
  <c r="M50" i="4" a="1"/>
  <c r="Q49" i="4" a="1"/>
  <c r="P49" i="4" a="1"/>
  <c r="O49" i="4" a="1"/>
  <c r="N49" i="4" a="1"/>
  <c r="M49" i="4" a="1"/>
  <c r="Q48" i="4" a="1"/>
  <c r="P48" i="4" a="1"/>
  <c r="O48" i="4" a="1"/>
  <c r="N48" i="4" a="1"/>
  <c r="M48" i="4" a="1"/>
  <c r="Q44" i="4" a="1"/>
  <c r="P44" i="4" a="1"/>
  <c r="O44" i="4" a="1"/>
  <c r="N44" i="4" a="1"/>
  <c r="M44" i="4" a="1"/>
  <c r="Q43" i="4" a="1"/>
  <c r="P43" i="4" a="1"/>
  <c r="O43" i="4" a="1"/>
  <c r="N43" i="4" a="1"/>
  <c r="M43" i="4" a="1"/>
  <c r="Q42" i="4" a="1"/>
  <c r="P42" i="4" a="1"/>
  <c r="O42" i="4" a="1"/>
  <c r="N42" i="4" a="1"/>
  <c r="M42" i="4" a="1"/>
  <c r="Q41" i="4" a="1"/>
  <c r="P41" i="4" a="1"/>
  <c r="O41" i="4" a="1"/>
  <c r="N41" i="4" a="1"/>
  <c r="M41" i="4" a="1"/>
  <c r="Q37" i="4" a="1"/>
  <c r="P37" i="4" a="1"/>
  <c r="O37" i="4" a="1"/>
  <c r="N37" i="4" a="1"/>
  <c r="M37" i="4" a="1"/>
  <c r="Q36" i="4" a="1"/>
  <c r="P36" i="4" a="1"/>
  <c r="O36" i="4" a="1"/>
  <c r="N36" i="4" a="1"/>
  <c r="M36" i="4" a="1"/>
  <c r="Q35" i="4" a="1"/>
  <c r="P35" i="4" a="1"/>
  <c r="O35" i="4" a="1"/>
  <c r="N35" i="4" a="1"/>
  <c r="M35" i="4" a="1"/>
  <c r="Q34" i="4" a="1"/>
  <c r="P34" i="4" a="1"/>
  <c r="O34" i="4" a="1"/>
  <c r="N34" i="4" a="1"/>
  <c r="M34" i="4" a="1"/>
  <c r="Q30" i="4" a="1"/>
  <c r="P30" i="4" a="1"/>
  <c r="O30" i="4" a="1"/>
  <c r="N30" i="4" a="1"/>
  <c r="M30" i="4" a="1"/>
  <c r="Q29" i="4" a="1"/>
  <c r="P29" i="4" a="1"/>
  <c r="O29" i="4" a="1"/>
  <c r="N29" i="4" a="1"/>
  <c r="M29" i="4" a="1"/>
  <c r="Q28" i="4" a="1"/>
  <c r="P28" i="4" a="1"/>
  <c r="O28" i="4" a="1"/>
  <c r="N28" i="4" a="1"/>
  <c r="M28" i="4" a="1"/>
  <c r="Q27" i="4" a="1"/>
  <c r="P27" i="4" a="1"/>
  <c r="O27" i="4" a="1"/>
  <c r="N27" i="4" a="1"/>
  <c r="M27" i="4" a="1"/>
  <c r="Q23" i="4" a="1"/>
  <c r="P23" i="4" a="1"/>
  <c r="O23" i="4" a="1"/>
  <c r="N23" i="4" a="1"/>
  <c r="M23" i="4" a="1"/>
  <c r="Q22" i="4" a="1"/>
  <c r="P22" i="4" a="1"/>
  <c r="O22" i="4" a="1"/>
  <c r="N22" i="4" a="1"/>
  <c r="M22" i="4" a="1"/>
  <c r="Q21" i="4" a="1"/>
  <c r="P21" i="4" a="1"/>
  <c r="O21" i="4" a="1"/>
  <c r="N21" i="4" a="1"/>
  <c r="M21" i="4" a="1"/>
  <c r="Q20" i="4" a="1"/>
  <c r="P20" i="4" a="1"/>
  <c r="O20" i="4" a="1"/>
  <c r="N20" i="4" a="1"/>
  <c r="M20" i="4" a="1"/>
  <c r="Q16" i="4" a="1"/>
  <c r="P16" i="4" a="1"/>
  <c r="O16" i="4" a="1"/>
  <c r="N16" i="4" a="1"/>
  <c r="M16" i="4" a="1"/>
  <c r="Q15" i="4" a="1"/>
  <c r="P15" i="4" a="1"/>
  <c r="O15" i="4" a="1"/>
  <c r="N15" i="4" a="1"/>
  <c r="M15" i="4" a="1"/>
  <c r="Q14" i="4" a="1"/>
  <c r="P14" i="4" a="1"/>
  <c r="O14" i="4" a="1"/>
  <c r="N14" i="4" a="1"/>
  <c r="M14" i="4" a="1"/>
  <c r="Q13" i="4" a="1"/>
  <c r="P13" i="4" a="1"/>
  <c r="O13" i="4" a="1"/>
  <c r="N13" i="4" a="1"/>
  <c r="M13" i="4" a="1"/>
  <c r="Q9" i="4" a="1"/>
  <c r="P9" i="4" a="1"/>
  <c r="O9" i="4" a="1"/>
  <c r="N9" i="4" a="1"/>
  <c r="M9" i="4" a="1"/>
  <c r="Q8" i="4" a="1"/>
  <c r="P8" i="4" a="1"/>
  <c r="O8" i="4" a="1"/>
  <c r="N8" i="4" a="1"/>
  <c r="M8" i="4" a="1"/>
  <c r="Q7" i="4" a="1"/>
  <c r="P7" i="4" a="1"/>
  <c r="O7" i="4" a="1"/>
  <c r="N7" i="4" a="1"/>
  <c r="M7" i="4" a="1"/>
  <c r="Q6" i="4" a="1"/>
  <c r="P6" i="4" a="1"/>
  <c r="O6" i="4" a="1"/>
  <c r="N6" i="4" a="1"/>
  <c r="M6" i="4" a="1"/>
  <c r="D114" i="9"/>
  <c r="D113" i="9"/>
  <c r="I107" i="9"/>
  <c r="H107" i="9"/>
  <c r="E107" i="9"/>
  <c r="D107" i="9"/>
  <c r="I106" i="9"/>
  <c r="H106" i="9"/>
  <c r="E106" i="9"/>
  <c r="D106" i="9"/>
  <c r="I105" i="9"/>
  <c r="H105" i="9"/>
  <c r="E105" i="9"/>
  <c r="D105" i="9"/>
  <c r="I104" i="9"/>
  <c r="H104" i="9"/>
  <c r="E104" i="9"/>
  <c r="D104" i="9"/>
  <c r="I103" i="9"/>
  <c r="H103" i="9"/>
  <c r="E103" i="9"/>
  <c r="D103" i="9"/>
  <c r="I102" i="9"/>
  <c r="H102" i="9"/>
  <c r="E102" i="9"/>
  <c r="D102" i="9"/>
  <c r="I101" i="9"/>
  <c r="H101" i="9"/>
  <c r="E101" i="9"/>
  <c r="D101" i="9"/>
  <c r="I100" i="9"/>
  <c r="H100" i="9"/>
  <c r="E100" i="9"/>
  <c r="D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92" i="9"/>
  <c r="H92" i="9"/>
  <c r="I91" i="9"/>
  <c r="H91" i="9"/>
  <c r="I90" i="9"/>
  <c r="H90" i="9"/>
  <c r="I89" i="9"/>
  <c r="H89" i="9"/>
  <c r="I88" i="9"/>
  <c r="H88" i="9"/>
  <c r="I87" i="9"/>
  <c r="H87" i="9"/>
  <c r="Q86" i="9" a="1"/>
  <c r="P86" i="9" a="1"/>
  <c r="O86" i="9" a="1"/>
  <c r="N86" i="9" a="1"/>
  <c r="M86" i="9" a="1"/>
  <c r="I86" i="9"/>
  <c r="H86" i="9"/>
  <c r="Q85" i="9" a="1"/>
  <c r="P85" i="9" a="1"/>
  <c r="O85" i="9" a="1"/>
  <c r="N85" i="9" a="1"/>
  <c r="M85" i="9" a="1"/>
  <c r="I85" i="9"/>
  <c r="H85" i="9"/>
  <c r="Q84" i="9" a="1"/>
  <c r="P84" i="9" a="1"/>
  <c r="O84" i="9" a="1"/>
  <c r="N84" i="9" a="1"/>
  <c r="M84" i="9" a="1"/>
  <c r="I84" i="9"/>
  <c r="H84" i="9"/>
  <c r="Q83" i="9" a="1"/>
  <c r="P83" i="9" a="1"/>
  <c r="O83" i="9" a="1"/>
  <c r="N83" i="9" a="1"/>
  <c r="M83" i="9" a="1"/>
  <c r="I83" i="9"/>
  <c r="H83" i="9"/>
  <c r="I82" i="9"/>
  <c r="H82" i="9"/>
  <c r="I81" i="9"/>
  <c r="H81" i="9"/>
  <c r="I80" i="9"/>
  <c r="H80" i="9"/>
  <c r="Q79" i="9" a="1"/>
  <c r="P79" i="9" a="1"/>
  <c r="O79" i="9" a="1"/>
  <c r="N79" i="9" a="1"/>
  <c r="M79" i="9" a="1"/>
  <c r="I79" i="9"/>
  <c r="H79" i="9"/>
  <c r="Q78" i="9" a="1"/>
  <c r="P78" i="9" a="1"/>
  <c r="O78" i="9" a="1"/>
  <c r="N78" i="9" a="1"/>
  <c r="M78" i="9" a="1"/>
  <c r="I78" i="9"/>
  <c r="H78" i="9"/>
  <c r="Q77" i="9" a="1"/>
  <c r="P77" i="9" a="1"/>
  <c r="O77" i="9" a="1"/>
  <c r="N77" i="9" a="1"/>
  <c r="M77" i="9" a="1"/>
  <c r="I77" i="9"/>
  <c r="H77" i="9"/>
  <c r="Q76" i="9" a="1"/>
  <c r="P76" i="9" a="1"/>
  <c r="O76" i="9" a="1"/>
  <c r="N76" i="9" a="1"/>
  <c r="M76" i="9" a="1"/>
  <c r="I76" i="9"/>
  <c r="H76" i="9"/>
  <c r="I75" i="9"/>
  <c r="H75" i="9"/>
  <c r="I74" i="9"/>
  <c r="H74" i="9"/>
  <c r="I73" i="9"/>
  <c r="H73" i="9"/>
  <c r="Q72" i="9" a="1"/>
  <c r="P72" i="9" a="1"/>
  <c r="O72" i="9" a="1"/>
  <c r="N72" i="9" a="1"/>
  <c r="M72" i="9" a="1"/>
  <c r="I72" i="9"/>
  <c r="H72" i="9"/>
  <c r="Q71" i="9" a="1"/>
  <c r="P71" i="9" a="1"/>
  <c r="O71" i="9" a="1"/>
  <c r="N71" i="9" a="1"/>
  <c r="M71" i="9" a="1"/>
  <c r="I71" i="9"/>
  <c r="H71" i="9"/>
  <c r="Q70" i="9" a="1"/>
  <c r="P70" i="9" a="1"/>
  <c r="O70" i="9" a="1"/>
  <c r="N70" i="9" a="1"/>
  <c r="M70" i="9" a="1"/>
  <c r="I70" i="9"/>
  <c r="H70" i="9"/>
  <c r="Q69" i="9" a="1"/>
  <c r="P69" i="9" a="1"/>
  <c r="O69" i="9" a="1"/>
  <c r="N69" i="9" a="1"/>
  <c r="M69" i="9" a="1"/>
  <c r="I69" i="9"/>
  <c r="H69" i="9"/>
  <c r="I68" i="9"/>
  <c r="H68" i="9"/>
  <c r="I67" i="9"/>
  <c r="H67" i="9"/>
  <c r="I66" i="9"/>
  <c r="H66" i="9"/>
  <c r="Q65" i="9" a="1"/>
  <c r="P65" i="9" a="1"/>
  <c r="O65" i="9" a="1"/>
  <c r="N65" i="9" a="1"/>
  <c r="M65" i="9" a="1"/>
  <c r="I65" i="9"/>
  <c r="H65" i="9"/>
  <c r="Q64" i="9" a="1"/>
  <c r="P64" i="9" a="1"/>
  <c r="O64" i="9" a="1"/>
  <c r="N64" i="9" a="1"/>
  <c r="M64" i="9" a="1"/>
  <c r="I64" i="9"/>
  <c r="H64" i="9"/>
  <c r="Q63" i="9" a="1"/>
  <c r="P63" i="9" a="1"/>
  <c r="O63" i="9" a="1"/>
  <c r="N63" i="9" a="1"/>
  <c r="M63" i="9" a="1"/>
  <c r="I63" i="9"/>
  <c r="H63" i="9"/>
  <c r="Q62" i="9" a="1"/>
  <c r="P62" i="9" a="1"/>
  <c r="O62" i="9" a="1"/>
  <c r="N62" i="9" a="1"/>
  <c r="M62" i="9" a="1"/>
  <c r="I62" i="9"/>
  <c r="H62" i="9"/>
  <c r="I61" i="9"/>
  <c r="H61" i="9"/>
  <c r="I60" i="9"/>
  <c r="H60" i="9"/>
  <c r="I59" i="9"/>
  <c r="H59" i="9"/>
  <c r="Q58" i="9" a="1"/>
  <c r="P58" i="9" a="1"/>
  <c r="O58" i="9" a="1"/>
  <c r="N58" i="9" a="1"/>
  <c r="M58" i="9" a="1"/>
  <c r="I58" i="9"/>
  <c r="H58" i="9"/>
  <c r="Q57" i="9" a="1"/>
  <c r="P57" i="9" a="1"/>
  <c r="O57" i="9" a="1"/>
  <c r="N57" i="9" a="1"/>
  <c r="M57" i="9" a="1"/>
  <c r="I57" i="9"/>
  <c r="H57" i="9"/>
  <c r="Q56" i="9" a="1"/>
  <c r="P56" i="9" a="1"/>
  <c r="O56" i="9" a="1"/>
  <c r="N56" i="9" a="1"/>
  <c r="M56" i="9" a="1"/>
  <c r="I56" i="9"/>
  <c r="H56" i="9"/>
  <c r="Q55" i="9" a="1"/>
  <c r="P55" i="9" a="1"/>
  <c r="O55" i="9" a="1"/>
  <c r="N55" i="9" a="1"/>
  <c r="M55" i="9" a="1"/>
  <c r="I55" i="9"/>
  <c r="H55" i="9"/>
  <c r="I54" i="9"/>
  <c r="H54" i="9"/>
  <c r="I53" i="9"/>
  <c r="H53" i="9"/>
  <c r="I52" i="9"/>
  <c r="H52" i="9"/>
  <c r="Q51" i="9" a="1"/>
  <c r="P51" i="9" a="1"/>
  <c r="O51" i="9" a="1"/>
  <c r="N51" i="9" a="1"/>
  <c r="M51" i="9" a="1"/>
  <c r="I51" i="9"/>
  <c r="H51" i="9"/>
  <c r="Q50" i="9" a="1"/>
  <c r="P50" i="9" a="1"/>
  <c r="O50" i="9" a="1"/>
  <c r="N50" i="9" a="1"/>
  <c r="M50" i="9" a="1"/>
  <c r="I50" i="9"/>
  <c r="H50" i="9"/>
  <c r="Q49" i="9" a="1"/>
  <c r="P49" i="9" a="1"/>
  <c r="O49" i="9" a="1"/>
  <c r="N49" i="9" a="1"/>
  <c r="M49" i="9" a="1"/>
  <c r="I49" i="9"/>
  <c r="H49" i="9"/>
  <c r="Q48" i="9" a="1"/>
  <c r="P48" i="9" a="1"/>
  <c r="O48" i="9" a="1"/>
  <c r="N48" i="9" a="1"/>
  <c r="M48" i="9" a="1"/>
  <c r="I48" i="9"/>
  <c r="H48" i="9"/>
  <c r="I47" i="9"/>
  <c r="H47" i="9"/>
  <c r="I46" i="9"/>
  <c r="H46" i="9"/>
  <c r="I45" i="9"/>
  <c r="H45" i="9"/>
  <c r="Q44" i="9" a="1"/>
  <c r="P44" i="9" a="1"/>
  <c r="O44" i="9" a="1"/>
  <c r="N44" i="9" a="1"/>
  <c r="M44" i="9" a="1"/>
  <c r="I44" i="9"/>
  <c r="H44" i="9"/>
  <c r="Q43" i="9" a="1"/>
  <c r="P43" i="9" a="1"/>
  <c r="O43" i="9" a="1"/>
  <c r="N43" i="9" a="1"/>
  <c r="M43" i="9" a="1"/>
  <c r="I43" i="9"/>
  <c r="H43" i="9"/>
  <c r="Q42" i="9" a="1"/>
  <c r="P42" i="9" a="1"/>
  <c r="O42" i="9" a="1"/>
  <c r="N42" i="9" a="1"/>
  <c r="M42" i="9" a="1"/>
  <c r="I42" i="9"/>
  <c r="H42" i="9"/>
  <c r="Q41" i="9" a="1"/>
  <c r="P41" i="9" a="1"/>
  <c r="O41" i="9" a="1"/>
  <c r="N41" i="9" a="1"/>
  <c r="M41" i="9" a="1"/>
  <c r="I41" i="9"/>
  <c r="H41" i="9"/>
  <c r="I40" i="9"/>
  <c r="H40" i="9"/>
  <c r="I39" i="9"/>
  <c r="H39" i="9"/>
  <c r="I38" i="9"/>
  <c r="H38" i="9"/>
  <c r="Q37" i="9" a="1"/>
  <c r="P37" i="9" a="1"/>
  <c r="O37" i="9" a="1"/>
  <c r="N37" i="9" a="1"/>
  <c r="M37" i="9" a="1"/>
  <c r="I37" i="9"/>
  <c r="H37" i="9"/>
  <c r="Q36" i="9" a="1"/>
  <c r="P36" i="9" a="1"/>
  <c r="O36" i="9" a="1"/>
  <c r="N36" i="9" a="1"/>
  <c r="M36" i="9" a="1"/>
  <c r="I36" i="9"/>
  <c r="H36" i="9"/>
  <c r="Q35" i="9" a="1"/>
  <c r="P35" i="9" a="1"/>
  <c r="O35" i="9" a="1"/>
  <c r="N35" i="9" a="1"/>
  <c r="M35" i="9" a="1"/>
  <c r="I35" i="9"/>
  <c r="H35" i="9"/>
  <c r="Q34" i="9" a="1"/>
  <c r="P34" i="9" a="1"/>
  <c r="O34" i="9" a="1"/>
  <c r="N34" i="9" a="1"/>
  <c r="M34" i="9" a="1"/>
  <c r="I34" i="9"/>
  <c r="H34" i="9"/>
  <c r="I33" i="9"/>
  <c r="H33" i="9"/>
  <c r="I32" i="9"/>
  <c r="H32" i="9"/>
  <c r="I31" i="9"/>
  <c r="H31" i="9"/>
  <c r="Q30" i="9" a="1"/>
  <c r="P30" i="9" a="1"/>
  <c r="O30" i="9" a="1"/>
  <c r="N30" i="9" a="1"/>
  <c r="M30" i="9" a="1"/>
  <c r="I30" i="9"/>
  <c r="H30" i="9"/>
  <c r="Q29" i="9" a="1"/>
  <c r="P29" i="9" a="1"/>
  <c r="O29" i="9" a="1"/>
  <c r="N29" i="9" a="1"/>
  <c r="M29" i="9" a="1"/>
  <c r="I29" i="9"/>
  <c r="H29" i="9"/>
  <c r="Q28" i="9" a="1"/>
  <c r="P28" i="9" a="1"/>
  <c r="O28" i="9" a="1"/>
  <c r="N28" i="9" a="1"/>
  <c r="M28" i="9" a="1"/>
  <c r="I28" i="9"/>
  <c r="H28" i="9"/>
  <c r="Q27" i="9" a="1"/>
  <c r="P27" i="9" a="1"/>
  <c r="O27" i="9" a="1"/>
  <c r="N27" i="9" a="1"/>
  <c r="M27" i="9" a="1"/>
  <c r="I27" i="9"/>
  <c r="H27" i="9"/>
  <c r="I26" i="9"/>
  <c r="H26" i="9"/>
  <c r="I25" i="9"/>
  <c r="H25" i="9"/>
  <c r="I24" i="9"/>
  <c r="H24" i="9"/>
  <c r="Q23" i="9" a="1"/>
  <c r="P23" i="9" a="1"/>
  <c r="O23" i="9" a="1"/>
  <c r="N23" i="9" a="1"/>
  <c r="M23" i="9" a="1"/>
  <c r="I23" i="9"/>
  <c r="H23" i="9"/>
  <c r="Q22" i="9" a="1"/>
  <c r="P22" i="9" a="1"/>
  <c r="O22" i="9" a="1"/>
  <c r="N22" i="9" a="1"/>
  <c r="M22" i="9" a="1"/>
  <c r="I22" i="9"/>
  <c r="H22" i="9"/>
  <c r="Q21" i="9" a="1"/>
  <c r="P21" i="9" a="1"/>
  <c r="O21" i="9" a="1"/>
  <c r="N21" i="9" a="1"/>
  <c r="M21" i="9" a="1"/>
  <c r="I21" i="9"/>
  <c r="H21" i="9"/>
  <c r="Q20" i="9" a="1"/>
  <c r="P20" i="9" a="1"/>
  <c r="O20" i="9" a="1"/>
  <c r="N20" i="9" a="1"/>
  <c r="M20" i="9" a="1"/>
  <c r="I20" i="9"/>
  <c r="H20" i="9"/>
  <c r="I19" i="9"/>
  <c r="H19" i="9"/>
  <c r="I18" i="9"/>
  <c r="H18" i="9"/>
  <c r="I17" i="9"/>
  <c r="H17" i="9"/>
  <c r="Q16" i="9" a="1"/>
  <c r="P16" i="9" a="1"/>
  <c r="O16" i="9" a="1"/>
  <c r="N16" i="9" a="1"/>
  <c r="M16" i="9" a="1"/>
  <c r="I16" i="9"/>
  <c r="H16" i="9"/>
  <c r="Q15" i="9" a="1"/>
  <c r="P15" i="9" a="1"/>
  <c r="O15" i="9" a="1"/>
  <c r="N15" i="9" a="1"/>
  <c r="M15" i="9" a="1"/>
  <c r="I15" i="9"/>
  <c r="H15" i="9"/>
  <c r="Q14" i="9" a="1"/>
  <c r="P14" i="9" a="1"/>
  <c r="O14" i="9" a="1"/>
  <c r="N14" i="9" a="1"/>
  <c r="M14" i="9" a="1"/>
  <c r="I14" i="9"/>
  <c r="H14" i="9"/>
  <c r="Q13" i="9" a="1"/>
  <c r="P13" i="9" a="1"/>
  <c r="O13" i="9" a="1"/>
  <c r="N13" i="9" a="1"/>
  <c r="M13" i="9" a="1"/>
  <c r="I13" i="9"/>
  <c r="H13" i="9"/>
  <c r="I12" i="9"/>
  <c r="H12" i="9"/>
  <c r="I11" i="9"/>
  <c r="H11" i="9"/>
  <c r="I10" i="9"/>
  <c r="H10" i="9"/>
  <c r="Q9" i="9" a="1"/>
  <c r="P9" i="9" a="1"/>
  <c r="O9" i="9" a="1"/>
  <c r="N9" i="9" a="1"/>
  <c r="M9" i="9" a="1"/>
  <c r="I9" i="9"/>
  <c r="H9" i="9"/>
  <c r="Q8" i="9" a="1"/>
  <c r="P8" i="9" a="1"/>
  <c r="O8" i="9" a="1"/>
  <c r="N8" i="9" a="1"/>
  <c r="M8" i="9" a="1"/>
  <c r="I8" i="9"/>
  <c r="H8" i="9"/>
  <c r="Q7" i="9" a="1"/>
  <c r="P7" i="9" a="1"/>
  <c r="O7" i="9" a="1"/>
  <c r="N7" i="9" a="1"/>
  <c r="M7" i="9" a="1"/>
  <c r="I7" i="9"/>
  <c r="H7" i="9"/>
  <c r="Q6" i="9" a="1"/>
  <c r="P6" i="9" a="1"/>
  <c r="O6" i="9" a="1"/>
  <c r="N6" i="9" a="1"/>
  <c r="M6" i="9" a="1"/>
  <c r="I6" i="9"/>
  <c r="H6" i="9"/>
  <c r="I5" i="9"/>
  <c r="H5" i="9"/>
  <c r="I4" i="9"/>
  <c r="H4" i="9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D92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A23" i="5"/>
  <c r="A22" i="5"/>
  <c r="A21" i="5"/>
  <c r="A20" i="5"/>
  <c r="A19" i="5"/>
  <c r="A18" i="5"/>
  <c r="D114" i="4"/>
  <c r="D113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H4" i="4"/>
  <c r="C21" i="3"/>
  <c r="C20" i="3"/>
  <c r="C19" i="3"/>
  <c r="C18" i="3"/>
  <c r="C17" i="3"/>
  <c r="R16" i="3"/>
  <c r="C16" i="3"/>
  <c r="R15" i="3"/>
  <c r="C15" i="3"/>
  <c r="R14" i="3"/>
  <c r="C14" i="3"/>
  <c r="R13" i="3"/>
  <c r="C13" i="3"/>
  <c r="R12" i="3"/>
  <c r="C12" i="3"/>
  <c r="R11" i="3"/>
  <c r="C11" i="3"/>
  <c r="R10" i="3"/>
  <c r="C10" i="3"/>
  <c r="R9" i="3"/>
  <c r="C9" i="3"/>
  <c r="R8" i="3"/>
  <c r="C8" i="3"/>
  <c r="R7" i="3"/>
  <c r="C7" i="3"/>
  <c r="R6" i="3"/>
  <c r="C6" i="3"/>
  <c r="R5" i="3"/>
  <c r="C5" i="3"/>
  <c r="R4" i="3"/>
  <c r="C4" i="3"/>
  <c r="R3" i="3"/>
  <c r="C3" i="3"/>
  <c r="R2" i="3"/>
  <c r="C2" i="3"/>
  <c r="M108" i="2"/>
  <c r="M107" i="2"/>
  <c r="N107" i="2"/>
  <c r="M106" i="2"/>
  <c r="N106" i="2"/>
  <c r="M105" i="2"/>
  <c r="N105" i="2"/>
  <c r="M104" i="2"/>
  <c r="N104" i="2"/>
  <c r="M103" i="2"/>
  <c r="N103" i="2"/>
  <c r="M102" i="2"/>
  <c r="M101" i="2"/>
  <c r="N101" i="2"/>
  <c r="M100" i="2"/>
  <c r="M99" i="2"/>
  <c r="M98" i="2"/>
  <c r="M97" i="2"/>
  <c r="N97" i="2"/>
  <c r="M96" i="2"/>
  <c r="M95" i="2"/>
  <c r="M94" i="2"/>
  <c r="N94" i="2"/>
  <c r="M93" i="2"/>
  <c r="M92" i="2"/>
  <c r="M91" i="2"/>
  <c r="M90" i="2"/>
  <c r="M89" i="2"/>
  <c r="M88" i="2"/>
  <c r="M87" i="2"/>
  <c r="P86" i="2"/>
  <c r="M86" i="2"/>
  <c r="N86" i="2"/>
  <c r="P85" i="2"/>
  <c r="Q85" i="2"/>
  <c r="M85" i="2"/>
  <c r="P84" i="2"/>
  <c r="M84" i="2"/>
  <c r="P83" i="2"/>
  <c r="M83" i="2"/>
  <c r="M82" i="2"/>
  <c r="M81" i="2"/>
  <c r="M80" i="2"/>
  <c r="P79" i="2"/>
  <c r="M79" i="2"/>
  <c r="P78" i="2"/>
  <c r="M78" i="2"/>
  <c r="P77" i="2"/>
  <c r="M77" i="2"/>
  <c r="P76" i="2"/>
  <c r="M76" i="2"/>
  <c r="M75" i="2"/>
  <c r="M74" i="2"/>
  <c r="N74" i="2"/>
  <c r="M73" i="2"/>
  <c r="P72" i="2"/>
  <c r="M72" i="2"/>
  <c r="P71" i="2"/>
  <c r="M71" i="2"/>
  <c r="P70" i="2"/>
  <c r="M70" i="2"/>
  <c r="P69" i="2"/>
  <c r="M69" i="2"/>
  <c r="M68" i="2"/>
  <c r="N68" i="2"/>
  <c r="M67" i="2"/>
  <c r="M66" i="2"/>
  <c r="N66" i="2"/>
  <c r="P65" i="2"/>
  <c r="M65" i="2"/>
  <c r="P64" i="2"/>
  <c r="M64" i="2"/>
  <c r="P63" i="2"/>
  <c r="M63" i="2"/>
  <c r="P62" i="2"/>
  <c r="M62" i="2"/>
  <c r="M61" i="2"/>
  <c r="M60" i="2"/>
  <c r="P58" i="2"/>
  <c r="M58" i="2"/>
  <c r="P57" i="2"/>
  <c r="M57" i="2"/>
  <c r="P56" i="2"/>
  <c r="M56" i="2"/>
  <c r="P55" i="2"/>
  <c r="M55" i="2"/>
  <c r="M52" i="2"/>
  <c r="P51" i="2"/>
  <c r="M51" i="2"/>
  <c r="P50" i="2"/>
  <c r="M50" i="2"/>
  <c r="P49" i="2"/>
  <c r="M49" i="2"/>
  <c r="P48" i="2"/>
  <c r="M45" i="2"/>
  <c r="P44" i="2"/>
  <c r="M44" i="2"/>
  <c r="P43" i="2"/>
  <c r="M43" i="2"/>
  <c r="P42" i="2"/>
  <c r="M42" i="2"/>
  <c r="P41" i="2"/>
  <c r="M40" i="2"/>
  <c r="M39" i="2"/>
  <c r="M38" i="2"/>
  <c r="P37" i="2"/>
  <c r="M37" i="2"/>
  <c r="P36" i="2"/>
  <c r="P35" i="2"/>
  <c r="N35" i="2"/>
  <c r="P34" i="2"/>
  <c r="M34" i="2"/>
  <c r="N34" i="2"/>
  <c r="M33" i="2"/>
  <c r="M32" i="2"/>
  <c r="M31" i="2"/>
  <c r="N31" i="2"/>
  <c r="P30" i="2"/>
  <c r="P29" i="2"/>
  <c r="P28" i="2"/>
  <c r="M28" i="2"/>
  <c r="P27" i="2"/>
  <c r="M27" i="2"/>
  <c r="M26" i="2"/>
  <c r="M25" i="2"/>
  <c r="P23" i="2"/>
  <c r="P22" i="2"/>
  <c r="M22" i="2"/>
  <c r="P21" i="2"/>
  <c r="R21" i="2"/>
  <c r="M21" i="2"/>
  <c r="P20" i="2"/>
  <c r="M20" i="2"/>
  <c r="M19" i="2"/>
  <c r="P16" i="2"/>
  <c r="M16" i="2"/>
  <c r="P15" i="2"/>
  <c r="M15" i="2"/>
  <c r="P14" i="2"/>
  <c r="M14" i="2"/>
  <c r="P13" i="2"/>
  <c r="M13" i="2"/>
  <c r="M10" i="2"/>
  <c r="P9" i="2"/>
  <c r="M9" i="2"/>
  <c r="N9" i="2"/>
  <c r="P8" i="2"/>
  <c r="M8" i="2"/>
  <c r="P7" i="2"/>
  <c r="M7" i="2"/>
  <c r="N7" i="2"/>
  <c r="P6" i="2"/>
  <c r="M6" i="2"/>
  <c r="S79" i="2"/>
  <c r="R79" i="2"/>
  <c r="Q79" i="2"/>
  <c r="R78" i="2"/>
  <c r="Q78" i="2"/>
  <c r="S51" i="2"/>
  <c r="Q51" i="2"/>
  <c r="U49" i="2"/>
  <c r="T49" i="2"/>
  <c r="Q21" i="2"/>
  <c r="W21" i="2"/>
  <c r="U21" i="2"/>
  <c r="T21" i="2"/>
  <c r="S21" i="2"/>
  <c r="U86" i="2"/>
  <c r="T86" i="2"/>
  <c r="S86" i="2"/>
  <c r="R86" i="2"/>
  <c r="Q86" i="2"/>
  <c r="U85" i="2"/>
  <c r="T85" i="2"/>
  <c r="S85" i="2"/>
  <c r="R85" i="2"/>
  <c r="W85" i="2"/>
  <c r="U84" i="2"/>
  <c r="T84" i="2"/>
  <c r="S84" i="2"/>
  <c r="R84" i="2"/>
  <c r="Q84" i="2"/>
  <c r="U83" i="2"/>
  <c r="T83" i="2"/>
  <c r="S83" i="2"/>
  <c r="R83" i="2"/>
  <c r="Q83" i="2"/>
  <c r="T79" i="2"/>
  <c r="U79" i="2"/>
  <c r="U78" i="2"/>
  <c r="T78" i="2"/>
  <c r="S78" i="2"/>
  <c r="U77" i="2"/>
  <c r="T77" i="2"/>
  <c r="S77" i="2"/>
  <c r="R77" i="2"/>
  <c r="Q77" i="2"/>
  <c r="U76" i="2"/>
  <c r="T76" i="2"/>
  <c r="S76" i="2"/>
  <c r="R76" i="2"/>
  <c r="Q76" i="2"/>
  <c r="Q72" i="2"/>
  <c r="R72" i="2"/>
  <c r="S72" i="2"/>
  <c r="T72" i="2"/>
  <c r="U72" i="2"/>
  <c r="U71" i="2"/>
  <c r="T71" i="2"/>
  <c r="S71" i="2"/>
  <c r="R71" i="2"/>
  <c r="Q71" i="2"/>
  <c r="U70" i="2"/>
  <c r="T70" i="2"/>
  <c r="S70" i="2"/>
  <c r="R70" i="2"/>
  <c r="Q70" i="2"/>
  <c r="R69" i="2"/>
  <c r="U69" i="2"/>
  <c r="T69" i="2"/>
  <c r="S69" i="2"/>
  <c r="Q69" i="2"/>
  <c r="T65" i="2"/>
  <c r="S65" i="2"/>
  <c r="R65" i="2"/>
  <c r="Q65" i="2"/>
  <c r="U65" i="2"/>
  <c r="U64" i="2"/>
  <c r="T64" i="2"/>
  <c r="S64" i="2"/>
  <c r="R64" i="2"/>
  <c r="Q64" i="2"/>
  <c r="U63" i="2"/>
  <c r="T63" i="2"/>
  <c r="S63" i="2"/>
  <c r="R63" i="2"/>
  <c r="Q63" i="2"/>
  <c r="U62" i="2"/>
  <c r="T62" i="2"/>
  <c r="S62" i="2"/>
  <c r="R62" i="2"/>
  <c r="Q62" i="2"/>
  <c r="U58" i="2"/>
  <c r="T58" i="2"/>
  <c r="S58" i="2"/>
  <c r="R58" i="2"/>
  <c r="Q58" i="2"/>
  <c r="T57" i="2"/>
  <c r="S57" i="2"/>
  <c r="R57" i="2"/>
  <c r="Q57" i="2"/>
  <c r="U57" i="2"/>
  <c r="U56" i="2"/>
  <c r="T56" i="2"/>
  <c r="R56" i="2"/>
  <c r="Q56" i="2"/>
  <c r="S56" i="2"/>
  <c r="R55" i="2"/>
  <c r="T55" i="2"/>
  <c r="U55" i="2"/>
  <c r="S55" i="2"/>
  <c r="Q55" i="2"/>
  <c r="U51" i="2"/>
  <c r="T51" i="2"/>
  <c r="R51" i="2"/>
  <c r="W51" i="2"/>
  <c r="U50" i="2"/>
  <c r="T50" i="2"/>
  <c r="S50" i="2"/>
  <c r="R50" i="2"/>
  <c r="Q50" i="2"/>
  <c r="S49" i="2"/>
  <c r="R49" i="2"/>
  <c r="Q49" i="2"/>
  <c r="Q48" i="2"/>
  <c r="U48" i="2"/>
  <c r="T48" i="2"/>
  <c r="S48" i="2"/>
  <c r="R48" i="2"/>
  <c r="U44" i="2"/>
  <c r="T44" i="2"/>
  <c r="S44" i="2"/>
  <c r="R44" i="2"/>
  <c r="Q44" i="2"/>
  <c r="U43" i="2"/>
  <c r="T43" i="2"/>
  <c r="S43" i="2"/>
  <c r="R43" i="2"/>
  <c r="Q43" i="2"/>
  <c r="U42" i="2"/>
  <c r="T42" i="2"/>
  <c r="S42" i="2"/>
  <c r="R42" i="2"/>
  <c r="Q42" i="2"/>
  <c r="U41" i="2"/>
  <c r="T41" i="2"/>
  <c r="S41" i="2"/>
  <c r="S58" i="17"/>
  <c r="S64" i="17"/>
  <c r="R83" i="17"/>
  <c r="R64" i="17"/>
  <c r="S21" i="17"/>
  <c r="S43" i="17"/>
  <c r="S83" i="17"/>
  <c r="T83" i="17"/>
  <c r="S65" i="17"/>
  <c r="J14" i="4"/>
  <c r="K14" i="4"/>
  <c r="J10" i="4"/>
  <c r="K10" i="4"/>
  <c r="J9" i="4"/>
  <c r="K9" i="4"/>
  <c r="J8" i="4"/>
  <c r="K8" i="4"/>
  <c r="J7" i="4"/>
  <c r="K7" i="4"/>
  <c r="J6" i="4"/>
  <c r="K6" i="4"/>
  <c r="J5" i="4"/>
  <c r="K5" i="4"/>
  <c r="J51" i="4"/>
  <c r="K51" i="4"/>
  <c r="J50" i="4"/>
  <c r="K50" i="4"/>
  <c r="J49" i="4"/>
  <c r="K49" i="4"/>
  <c r="J48" i="4"/>
  <c r="K48" i="4"/>
  <c r="J47" i="4"/>
  <c r="K47" i="4"/>
  <c r="J46" i="4"/>
  <c r="K46" i="4"/>
  <c r="J45" i="4"/>
  <c r="K45" i="4"/>
  <c r="J44" i="4"/>
  <c r="K44" i="4"/>
  <c r="J43" i="4"/>
  <c r="K43" i="4"/>
  <c r="J42" i="4"/>
  <c r="K42" i="4"/>
  <c r="J41" i="4"/>
  <c r="K41" i="4"/>
  <c r="J40" i="4"/>
  <c r="K40" i="4"/>
  <c r="J39" i="4"/>
  <c r="K39" i="4"/>
  <c r="J38" i="4"/>
  <c r="K38" i="4"/>
  <c r="J37" i="4"/>
  <c r="K37" i="4"/>
  <c r="J36" i="4"/>
  <c r="K36" i="4"/>
  <c r="J35" i="4"/>
  <c r="K35" i="4"/>
  <c r="J34" i="4"/>
  <c r="K34" i="4"/>
  <c r="J33" i="4"/>
  <c r="K33" i="4"/>
  <c r="J32" i="4"/>
  <c r="K32" i="4"/>
  <c r="J31" i="4"/>
  <c r="K31" i="4"/>
  <c r="J30" i="4"/>
  <c r="K30" i="4"/>
  <c r="J29" i="4"/>
  <c r="K29" i="4"/>
  <c r="J28" i="4"/>
  <c r="K28" i="4"/>
  <c r="J27" i="4"/>
  <c r="K27" i="4"/>
  <c r="J26" i="4"/>
  <c r="K26" i="4"/>
  <c r="J25" i="4"/>
  <c r="K25" i="4"/>
  <c r="J24" i="4"/>
  <c r="K24" i="4"/>
  <c r="J23" i="4"/>
  <c r="K23" i="4"/>
  <c r="J22" i="4"/>
  <c r="K22" i="4"/>
  <c r="J21" i="4"/>
  <c r="K21" i="4"/>
  <c r="J20" i="4"/>
  <c r="K20" i="4"/>
  <c r="J19" i="4"/>
  <c r="K19" i="4"/>
  <c r="J18" i="4"/>
  <c r="K18" i="4"/>
  <c r="J17" i="4"/>
  <c r="K17" i="4"/>
  <c r="J16" i="4"/>
  <c r="K16" i="4"/>
  <c r="J15" i="4"/>
  <c r="K15" i="4"/>
  <c r="J13" i="4"/>
  <c r="K13" i="4"/>
  <c r="J12" i="4"/>
  <c r="K12" i="4"/>
  <c r="J11" i="4"/>
  <c r="K11" i="4"/>
  <c r="S85" i="17"/>
  <c r="S79" i="17"/>
  <c r="S78" i="17"/>
  <c r="S72" i="17"/>
  <c r="S71" i="17"/>
  <c r="S76" i="17"/>
  <c r="S70" i="17"/>
  <c r="R58" i="17"/>
  <c r="T58" i="17"/>
  <c r="R85" i="17"/>
  <c r="T85" i="17"/>
  <c r="S84" i="17"/>
  <c r="R76" i="17"/>
  <c r="T76" i="17"/>
  <c r="S34" i="17"/>
  <c r="R50" i="17"/>
  <c r="T50" i="17"/>
  <c r="S44" i="17"/>
  <c r="R78" i="17"/>
  <c r="T78" i="17"/>
  <c r="R77" i="17"/>
  <c r="R71" i="17"/>
  <c r="T71" i="17"/>
  <c r="R55" i="17"/>
  <c r="T55" i="17"/>
  <c r="S42" i="17"/>
  <c r="S15" i="17"/>
  <c r="R84" i="17"/>
  <c r="T84" i="17"/>
  <c r="R43" i="17"/>
  <c r="S35" i="17"/>
  <c r="S20" i="17"/>
  <c r="R15" i="17"/>
  <c r="S9" i="15"/>
  <c r="S36" i="15"/>
  <c r="R14" i="17"/>
  <c r="R44" i="17"/>
  <c r="T44" i="17"/>
  <c r="R6" i="17"/>
  <c r="S23" i="15"/>
  <c r="S85" i="15"/>
  <c r="S27" i="17"/>
  <c r="R37" i="17"/>
  <c r="R21" i="17"/>
  <c r="T21" i="17"/>
  <c r="S8" i="15"/>
  <c r="R76" i="15"/>
  <c r="S23" i="17"/>
  <c r="S7" i="17"/>
  <c r="R84" i="10"/>
  <c r="R20" i="17"/>
  <c r="T20" i="17"/>
  <c r="W63" i="2"/>
  <c r="R48" i="17"/>
  <c r="T48" i="17"/>
  <c r="S77" i="15"/>
  <c r="S30" i="9"/>
  <c r="S85" i="10"/>
  <c r="S9" i="17"/>
  <c r="J4" i="11"/>
  <c r="K4" i="11"/>
  <c r="S86" i="17"/>
  <c r="S77" i="17"/>
  <c r="S63" i="17"/>
  <c r="S30" i="17"/>
  <c r="R79" i="17"/>
  <c r="R49" i="17"/>
  <c r="T49" i="17"/>
  <c r="R72" i="17"/>
  <c r="R70" i="17"/>
  <c r="R69" i="17"/>
  <c r="R65" i="17"/>
  <c r="R63" i="17"/>
  <c r="R62" i="17"/>
  <c r="W44" i="2"/>
  <c r="S79" i="10"/>
  <c r="W84" i="2"/>
  <c r="S64" i="15"/>
  <c r="W62" i="2"/>
  <c r="R56" i="9"/>
  <c r="R16" i="17"/>
  <c r="S14" i="17"/>
  <c r="S13" i="17"/>
  <c r="R51" i="17"/>
  <c r="T51" i="17"/>
  <c r="R23" i="15"/>
  <c r="S16" i="9"/>
  <c r="V83" i="2"/>
  <c r="R28" i="17"/>
  <c r="S70" i="10"/>
  <c r="V49" i="2"/>
  <c r="W55" i="2"/>
  <c r="S62" i="17"/>
  <c r="S48" i="15"/>
  <c r="R15" i="15"/>
  <c r="S23" i="9"/>
  <c r="R86" i="17"/>
  <c r="R41" i="17"/>
  <c r="T41" i="17"/>
  <c r="R34" i="17"/>
  <c r="R30" i="17"/>
  <c r="R29" i="17"/>
  <c r="R23" i="17"/>
  <c r="S57" i="15"/>
  <c r="S6" i="10"/>
  <c r="W42" i="2"/>
  <c r="V84" i="2"/>
  <c r="W49" i="2"/>
  <c r="R36" i="15"/>
  <c r="S6" i="17"/>
  <c r="R83" i="15"/>
  <c r="S83" i="9"/>
  <c r="R13" i="4"/>
  <c r="W58" i="2"/>
  <c r="S36" i="4"/>
  <c r="S42" i="15"/>
  <c r="S28" i="15"/>
  <c r="S7" i="15"/>
  <c r="S86" i="9"/>
  <c r="R34" i="9"/>
  <c r="W65" i="2"/>
  <c r="R13" i="15"/>
  <c r="S29" i="4"/>
  <c r="R6" i="4"/>
  <c r="S41" i="15"/>
  <c r="S71" i="10"/>
  <c r="S58" i="10"/>
  <c r="R42" i="17"/>
  <c r="R7" i="17"/>
  <c r="S84" i="4"/>
  <c r="R76" i="10"/>
  <c r="S65" i="15"/>
  <c r="S83" i="4"/>
  <c r="R77" i="4"/>
  <c r="R7" i="9"/>
  <c r="R20" i="4"/>
  <c r="R13" i="17"/>
  <c r="R9" i="17"/>
  <c r="S84" i="10"/>
  <c r="S43" i="10"/>
  <c r="S64" i="4"/>
  <c r="S34" i="4"/>
  <c r="S6" i="9"/>
  <c r="V44" i="2"/>
  <c r="S37" i="10"/>
  <c r="S62" i="4"/>
  <c r="R58" i="10"/>
  <c r="S30" i="15"/>
  <c r="R8" i="15"/>
  <c r="S7" i="10"/>
  <c r="S72" i="15"/>
  <c r="R36" i="17"/>
  <c r="S28" i="17"/>
  <c r="S56" i="15"/>
  <c r="S35" i="10"/>
  <c r="R42" i="15"/>
  <c r="R64" i="10"/>
  <c r="R44" i="10"/>
  <c r="S34" i="10"/>
  <c r="R65" i="4"/>
  <c r="R8" i="4"/>
  <c r="R58" i="9"/>
  <c r="S79" i="15"/>
  <c r="R77" i="15"/>
  <c r="V51" i="2"/>
  <c r="R69" i="15"/>
  <c r="S49" i="15"/>
  <c r="S86" i="10"/>
  <c r="R78" i="10"/>
  <c r="R63" i="10"/>
  <c r="S6" i="4"/>
  <c r="S29" i="17"/>
  <c r="R63" i="15"/>
  <c r="S72" i="10"/>
  <c r="R69" i="4"/>
  <c r="R28" i="9"/>
  <c r="R77" i="10"/>
  <c r="S83" i="15"/>
  <c r="R78" i="15"/>
  <c r="S76" i="15"/>
  <c r="S43" i="15"/>
  <c r="S23" i="4"/>
  <c r="R8" i="17"/>
  <c r="R84" i="15"/>
  <c r="R27" i="15"/>
  <c r="S29" i="10"/>
  <c r="S79" i="4"/>
  <c r="S70" i="15"/>
  <c r="S22" i="15"/>
  <c r="S51" i="9"/>
  <c r="R48" i="15"/>
  <c r="S35" i="15"/>
  <c r="S78" i="10"/>
  <c r="S21" i="10"/>
  <c r="S64" i="9"/>
  <c r="S62" i="9"/>
  <c r="R44" i="9"/>
  <c r="R55" i="15"/>
  <c r="S34" i="15"/>
  <c r="S51" i="10"/>
  <c r="R79" i="15"/>
  <c r="R51" i="15"/>
  <c r="R14" i="15"/>
  <c r="S48" i="4"/>
  <c r="S41" i="4"/>
  <c r="S50" i="9"/>
  <c r="R42" i="10"/>
  <c r="S70" i="9"/>
  <c r="V21" i="2"/>
  <c r="V64" i="2"/>
  <c r="S58" i="15"/>
  <c r="S41" i="10"/>
  <c r="R84" i="4"/>
  <c r="S65" i="9"/>
  <c r="R57" i="17"/>
  <c r="R50" i="15"/>
  <c r="S72" i="4"/>
  <c r="R83" i="9"/>
  <c r="V48" i="2"/>
  <c r="S55" i="10"/>
  <c r="S20" i="10"/>
  <c r="R13" i="10"/>
  <c r="R72" i="4"/>
  <c r="V56" i="2"/>
  <c r="R70" i="15"/>
  <c r="R36" i="10"/>
  <c r="S15" i="10"/>
  <c r="S57" i="4"/>
  <c r="R23" i="4"/>
  <c r="S20" i="4"/>
  <c r="S69" i="9"/>
  <c r="S57" i="17"/>
  <c r="S84" i="15"/>
  <c r="S76" i="10"/>
  <c r="R49" i="10"/>
  <c r="R21" i="10"/>
  <c r="S77" i="4"/>
  <c r="R70" i="4"/>
  <c r="R50" i="4"/>
  <c r="S58" i="9"/>
  <c r="S41" i="9"/>
  <c r="S28" i="9"/>
  <c r="R13" i="9"/>
  <c r="S71" i="4"/>
  <c r="S56" i="4"/>
  <c r="R34" i="15"/>
  <c r="S83" i="12"/>
  <c r="S8" i="12"/>
  <c r="R79" i="4"/>
  <c r="S70" i="4"/>
  <c r="T70" i="4"/>
  <c r="S50" i="4"/>
  <c r="T50" i="4"/>
  <c r="S42" i="4"/>
  <c r="S22" i="4"/>
  <c r="R85" i="10"/>
  <c r="R83" i="10"/>
  <c r="R30" i="10"/>
  <c r="S27" i="10"/>
  <c r="S13" i="10"/>
  <c r="S43" i="4"/>
  <c r="R78" i="9"/>
  <c r="S71" i="9"/>
  <c r="R43" i="9"/>
  <c r="S37" i="9"/>
  <c r="S57" i="9"/>
  <c r="R56" i="17"/>
  <c r="R21" i="15"/>
  <c r="R43" i="10"/>
  <c r="S36" i="10"/>
  <c r="S85" i="4"/>
  <c r="R71" i="4"/>
  <c r="S21" i="9"/>
  <c r="S13" i="9"/>
  <c r="S56" i="17"/>
  <c r="S78" i="15"/>
  <c r="R72" i="15"/>
  <c r="R6" i="15"/>
  <c r="S49" i="10"/>
  <c r="R27" i="10"/>
  <c r="S22" i="10"/>
  <c r="S55" i="4"/>
  <c r="W71" i="2"/>
  <c r="V62" i="2"/>
  <c r="R57" i="15"/>
  <c r="R49" i="15"/>
  <c r="R62" i="10"/>
  <c r="S23" i="10"/>
  <c r="S76" i="4"/>
  <c r="S9" i="4"/>
  <c r="R50" i="9"/>
  <c r="S42" i="9"/>
  <c r="S34" i="9"/>
  <c r="R65" i="9"/>
  <c r="S65" i="12"/>
  <c r="R30" i="9"/>
  <c r="R16" i="9"/>
  <c r="R14" i="9"/>
  <c r="S44" i="10"/>
  <c r="S8" i="17"/>
  <c r="R65" i="15"/>
  <c r="S50" i="15"/>
  <c r="R44" i="15"/>
  <c r="R43" i="15"/>
  <c r="R72" i="10"/>
  <c r="S64" i="10"/>
  <c r="S69" i="4"/>
  <c r="R56" i="4"/>
  <c r="S49" i="4"/>
  <c r="R44" i="4"/>
  <c r="R34" i="4"/>
  <c r="R21" i="4"/>
  <c r="R36" i="9"/>
  <c r="S69" i="17"/>
  <c r="R27" i="17"/>
  <c r="R22" i="17"/>
  <c r="S22" i="17"/>
  <c r="S16" i="17"/>
  <c r="R28" i="15"/>
  <c r="S16" i="15"/>
  <c r="S83" i="10"/>
  <c r="S57" i="10"/>
  <c r="R51" i="10"/>
  <c r="R23" i="10"/>
  <c r="R83" i="12"/>
  <c r="J4" i="9"/>
  <c r="K4" i="9"/>
  <c r="R78" i="4"/>
  <c r="R72" i="9"/>
  <c r="V78" i="2"/>
  <c r="V77" i="2"/>
  <c r="R62" i="15"/>
  <c r="R22" i="15"/>
  <c r="R71" i="10"/>
  <c r="S62" i="10"/>
  <c r="S50" i="10"/>
  <c r="R29" i="10"/>
  <c r="R20" i="10"/>
  <c r="R86" i="4"/>
  <c r="S37" i="4"/>
  <c r="S84" i="9"/>
  <c r="R70" i="9"/>
  <c r="R55" i="9"/>
  <c r="R9" i="9"/>
  <c r="S7" i="9"/>
  <c r="W78" i="2"/>
  <c r="W50" i="2"/>
  <c r="V41" i="2"/>
  <c r="S86" i="15"/>
  <c r="S36" i="17"/>
  <c r="S71" i="15"/>
  <c r="R64" i="15"/>
  <c r="S15" i="15"/>
  <c r="R56" i="10"/>
  <c r="R50" i="10"/>
  <c r="S48" i="11"/>
  <c r="J4" i="8"/>
  <c r="K4" i="8"/>
  <c r="R86" i="15"/>
  <c r="R85" i="15"/>
  <c r="R56" i="15"/>
  <c r="S55" i="15"/>
  <c r="R30" i="15"/>
  <c r="S29" i="15"/>
  <c r="R69" i="10"/>
  <c r="S63" i="10"/>
  <c r="R57" i="10"/>
  <c r="R55" i="10"/>
  <c r="S28" i="10"/>
  <c r="R7" i="10"/>
  <c r="S23" i="12"/>
  <c r="S76" i="11"/>
  <c r="S78" i="11"/>
  <c r="S20" i="15"/>
  <c r="R35" i="17"/>
  <c r="R63" i="9"/>
  <c r="R22" i="10"/>
  <c r="R85" i="12"/>
  <c r="S7" i="12"/>
  <c r="S69" i="11"/>
  <c r="R83" i="4"/>
  <c r="S65" i="4"/>
  <c r="R62" i="4"/>
  <c r="R36" i="4"/>
  <c r="R27" i="4"/>
  <c r="R14" i="4"/>
  <c r="R84" i="9"/>
  <c r="S79" i="9"/>
  <c r="R57" i="9"/>
  <c r="R51" i="9"/>
  <c r="R79" i="10"/>
  <c r="R70" i="10"/>
  <c r="S65" i="10"/>
  <c r="R35" i="10"/>
  <c r="R16" i="10"/>
  <c r="R15" i="10"/>
  <c r="S58" i="4"/>
  <c r="R55" i="4"/>
  <c r="R22" i="4"/>
  <c r="R64" i="9"/>
  <c r="V43" i="2"/>
  <c r="R48" i="10"/>
  <c r="R76" i="4"/>
  <c r="R57" i="4"/>
  <c r="R62" i="9"/>
  <c r="S49" i="9"/>
  <c r="R42" i="9"/>
  <c r="R22" i="9"/>
  <c r="R21" i="9"/>
  <c r="V63" i="2"/>
  <c r="R9" i="15"/>
  <c r="S30" i="10"/>
  <c r="R6" i="10"/>
  <c r="R64" i="4"/>
  <c r="R63" i="4"/>
  <c r="R43" i="4"/>
  <c r="R29" i="4"/>
  <c r="R15" i="4"/>
  <c r="S72" i="9"/>
  <c r="R35" i="9"/>
  <c r="R27" i="9"/>
  <c r="R23" i="9"/>
  <c r="R15" i="9"/>
  <c r="V50" i="2"/>
  <c r="R41" i="10"/>
  <c r="R28" i="10"/>
  <c r="R65" i="12"/>
  <c r="S64" i="11"/>
  <c r="R48" i="4"/>
  <c r="R37" i="4"/>
  <c r="S27" i="4"/>
  <c r="S15" i="4"/>
  <c r="S8" i="4"/>
  <c r="S63" i="9"/>
  <c r="S56" i="9"/>
  <c r="R41" i="9"/>
  <c r="S8" i="9"/>
  <c r="W76" i="2"/>
  <c r="W70" i="2"/>
  <c r="R34" i="10"/>
  <c r="S14" i="10"/>
  <c r="R8" i="10"/>
  <c r="R70" i="12"/>
  <c r="S57" i="11"/>
  <c r="R77" i="9"/>
  <c r="R49" i="9"/>
  <c r="S44" i="9"/>
  <c r="R29" i="9"/>
  <c r="S15" i="9"/>
  <c r="W86" i="2"/>
  <c r="W83" i="2"/>
  <c r="V76" i="2"/>
  <c r="V69" i="2"/>
  <c r="W48" i="2"/>
  <c r="S48" i="10"/>
  <c r="R9" i="10"/>
  <c r="S71" i="11"/>
  <c r="R83" i="11"/>
  <c r="R51" i="4"/>
  <c r="R41" i="4"/>
  <c r="S85" i="9"/>
  <c r="S55" i="9"/>
  <c r="S27" i="9"/>
  <c r="S20" i="9"/>
  <c r="W79" i="2"/>
  <c r="W77" i="2"/>
  <c r="S62" i="15"/>
  <c r="S9" i="10"/>
  <c r="S49" i="11"/>
  <c r="R35" i="4"/>
  <c r="S30" i="4"/>
  <c r="R28" i="4"/>
  <c r="S77" i="9"/>
  <c r="S48" i="9"/>
  <c r="R37" i="9"/>
  <c r="S35" i="9"/>
  <c r="S9" i="9"/>
  <c r="V71" i="2"/>
  <c r="W43" i="2"/>
  <c r="S6" i="11"/>
  <c r="R79" i="9"/>
  <c r="J89" i="14"/>
  <c r="K89" i="14"/>
  <c r="S37" i="15"/>
  <c r="R16" i="15"/>
  <c r="J26" i="13"/>
  <c r="K26" i="13"/>
  <c r="J25" i="13"/>
  <c r="K25" i="13"/>
  <c r="J24" i="13"/>
  <c r="K24" i="13"/>
  <c r="J106" i="10"/>
  <c r="K106" i="10"/>
  <c r="J32" i="10"/>
  <c r="K32" i="10"/>
  <c r="J31" i="10"/>
  <c r="K31" i="10"/>
  <c r="S16" i="10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J27" i="12"/>
  <c r="K27" i="12"/>
  <c r="J28" i="12"/>
  <c r="K28" i="12"/>
  <c r="J30" i="12"/>
  <c r="K30" i="12"/>
  <c r="J46" i="12"/>
  <c r="K46" i="12"/>
  <c r="J50" i="12"/>
  <c r="K50" i="12"/>
  <c r="J53" i="12"/>
  <c r="K53" i="12"/>
  <c r="J55" i="12"/>
  <c r="K55" i="12"/>
  <c r="J61" i="12"/>
  <c r="K61" i="12"/>
  <c r="J64" i="12"/>
  <c r="K64" i="12"/>
  <c r="J67" i="12"/>
  <c r="K67" i="12"/>
  <c r="J69" i="12"/>
  <c r="K69" i="12"/>
  <c r="J71" i="12"/>
  <c r="K71" i="12"/>
  <c r="J73" i="12"/>
  <c r="K73" i="12"/>
  <c r="J75" i="12"/>
  <c r="K75" i="12"/>
  <c r="J81" i="12"/>
  <c r="K81" i="12"/>
  <c r="J82" i="12"/>
  <c r="K82" i="12"/>
  <c r="J85" i="12"/>
  <c r="K85" i="12"/>
  <c r="J87" i="12"/>
  <c r="K87" i="12"/>
  <c r="J89" i="12"/>
  <c r="K89" i="12"/>
  <c r="J92" i="12"/>
  <c r="K92" i="12"/>
  <c r="J96" i="12"/>
  <c r="K96" i="12"/>
  <c r="J100" i="12"/>
  <c r="K100" i="12"/>
  <c r="J102" i="12"/>
  <c r="K102" i="12"/>
  <c r="J105" i="12"/>
  <c r="K105" i="12"/>
  <c r="S70" i="12"/>
  <c r="R22" i="12"/>
  <c r="J9" i="11"/>
  <c r="K9" i="11"/>
  <c r="J15" i="11"/>
  <c r="K15" i="11"/>
  <c r="J24" i="11"/>
  <c r="K24" i="11"/>
  <c r="J25" i="11"/>
  <c r="K25" i="11"/>
  <c r="J35" i="11"/>
  <c r="K35" i="11"/>
  <c r="J38" i="11"/>
  <c r="K38" i="11"/>
  <c r="J42" i="11"/>
  <c r="K42" i="11"/>
  <c r="J46" i="11"/>
  <c r="K46" i="11"/>
  <c r="J48" i="11"/>
  <c r="K48" i="11"/>
  <c r="J51" i="11"/>
  <c r="K51" i="11"/>
  <c r="J54" i="11"/>
  <c r="K54" i="11"/>
  <c r="J59" i="11"/>
  <c r="K59" i="11"/>
  <c r="J65" i="11"/>
  <c r="K65" i="11"/>
  <c r="J66" i="11"/>
  <c r="K66" i="11"/>
  <c r="J67" i="11"/>
  <c r="K67" i="11"/>
  <c r="J68" i="11"/>
  <c r="K68" i="11"/>
  <c r="J72" i="11"/>
  <c r="K72" i="11"/>
  <c r="J74" i="11"/>
  <c r="K74" i="11"/>
  <c r="J77" i="11"/>
  <c r="K77" i="11"/>
  <c r="J87" i="11"/>
  <c r="K87" i="11"/>
  <c r="J89" i="11"/>
  <c r="K89" i="11"/>
  <c r="J91" i="11"/>
  <c r="K91" i="11"/>
  <c r="J93" i="11"/>
  <c r="K93" i="11"/>
  <c r="J98" i="11"/>
  <c r="K98" i="11"/>
  <c r="J100" i="11"/>
  <c r="K100" i="11"/>
  <c r="J101" i="11"/>
  <c r="K101" i="11"/>
  <c r="S58" i="11"/>
  <c r="S62" i="11"/>
  <c r="S63" i="11"/>
  <c r="R71" i="11"/>
  <c r="J45" i="8"/>
  <c r="K45" i="8"/>
  <c r="R42" i="4"/>
  <c r="S35" i="4"/>
  <c r="S21" i="4"/>
  <c r="S14" i="4"/>
  <c r="J72" i="9"/>
  <c r="K72" i="9"/>
  <c r="J96" i="14"/>
  <c r="K96" i="14"/>
  <c r="J29" i="14"/>
  <c r="K29" i="14"/>
  <c r="R35" i="15"/>
  <c r="S27" i="15"/>
  <c r="S21" i="15"/>
  <c r="S13" i="15"/>
  <c r="J68" i="10"/>
  <c r="K68" i="10"/>
  <c r="R37" i="10"/>
  <c r="J84" i="12"/>
  <c r="K84" i="12"/>
  <c r="J88" i="12"/>
  <c r="K88" i="12"/>
  <c r="J91" i="12"/>
  <c r="K91" i="12"/>
  <c r="J94" i="12"/>
  <c r="K94" i="12"/>
  <c r="J99" i="12"/>
  <c r="K99" i="12"/>
  <c r="J106" i="12"/>
  <c r="K106" i="12"/>
  <c r="R84" i="12"/>
  <c r="R69" i="12"/>
  <c r="R57" i="12"/>
  <c r="S55" i="12"/>
  <c r="S21" i="12"/>
  <c r="S15" i="12"/>
  <c r="J73" i="11"/>
  <c r="K73" i="11"/>
  <c r="J84" i="11"/>
  <c r="K84" i="11"/>
  <c r="J96" i="11"/>
  <c r="K96" i="11"/>
  <c r="J103" i="11"/>
  <c r="K103" i="11"/>
  <c r="R62" i="11"/>
  <c r="J89" i="8"/>
  <c r="K89" i="8"/>
  <c r="J7" i="8"/>
  <c r="K7" i="8"/>
  <c r="R58" i="4"/>
  <c r="R9" i="4"/>
  <c r="S7" i="4"/>
  <c r="R76" i="9"/>
  <c r="R48" i="9"/>
  <c r="J46" i="9"/>
  <c r="K46" i="9"/>
  <c r="J45" i="9"/>
  <c r="K45" i="9"/>
  <c r="S36" i="9"/>
  <c r="J33" i="9"/>
  <c r="K33" i="9"/>
  <c r="J32" i="9"/>
  <c r="K32" i="9"/>
  <c r="J31" i="9"/>
  <c r="K31" i="9"/>
  <c r="R20" i="9"/>
  <c r="J11" i="17"/>
  <c r="K11" i="17"/>
  <c r="J34" i="14"/>
  <c r="K34" i="14"/>
  <c r="J33" i="14"/>
  <c r="K33" i="14"/>
  <c r="J31" i="14"/>
  <c r="K31" i="14"/>
  <c r="S69" i="15"/>
  <c r="S63" i="15"/>
  <c r="S51" i="15"/>
  <c r="S44" i="15"/>
  <c r="J67" i="10"/>
  <c r="K67" i="10"/>
  <c r="J66" i="10"/>
  <c r="K66" i="10"/>
  <c r="R65" i="10"/>
  <c r="S56" i="10"/>
  <c r="S42" i="10"/>
  <c r="R14" i="10"/>
  <c r="S8" i="10"/>
  <c r="J29" i="12"/>
  <c r="K29" i="12"/>
  <c r="J31" i="12"/>
  <c r="K31" i="12"/>
  <c r="J32" i="12"/>
  <c r="K32" i="12"/>
  <c r="J34" i="12"/>
  <c r="K34" i="12"/>
  <c r="J48" i="12"/>
  <c r="K48" i="12"/>
  <c r="J52" i="12"/>
  <c r="K52" i="12"/>
  <c r="J54" i="12"/>
  <c r="K54" i="12"/>
  <c r="J59" i="12"/>
  <c r="K59" i="12"/>
  <c r="J62" i="12"/>
  <c r="K62" i="12"/>
  <c r="J66" i="12"/>
  <c r="K66" i="12"/>
  <c r="J68" i="12"/>
  <c r="K68" i="12"/>
  <c r="J76" i="12"/>
  <c r="K76" i="12"/>
  <c r="J78" i="12"/>
  <c r="K78" i="12"/>
  <c r="J80" i="12"/>
  <c r="K80" i="12"/>
  <c r="J93" i="12"/>
  <c r="K93" i="12"/>
  <c r="J103" i="12"/>
  <c r="K103" i="12"/>
  <c r="J107" i="12"/>
  <c r="K107" i="12"/>
  <c r="S57" i="12"/>
  <c r="J10" i="11"/>
  <c r="K10" i="11"/>
  <c r="J16" i="11"/>
  <c r="K16" i="11"/>
  <c r="J17" i="11"/>
  <c r="K17" i="11"/>
  <c r="J18" i="11"/>
  <c r="K18" i="11"/>
  <c r="J19" i="11"/>
  <c r="K19" i="11"/>
  <c r="J20" i="11"/>
  <c r="K20" i="11"/>
  <c r="J22" i="11"/>
  <c r="K22" i="11"/>
  <c r="J23" i="11"/>
  <c r="K23" i="11"/>
  <c r="J26" i="11"/>
  <c r="K26" i="11"/>
  <c r="J27" i="11"/>
  <c r="K27" i="11"/>
  <c r="J29" i="11"/>
  <c r="K29" i="11"/>
  <c r="J31" i="11"/>
  <c r="K31" i="11"/>
  <c r="J32" i="11"/>
  <c r="K32" i="11"/>
  <c r="J34" i="11"/>
  <c r="K34" i="11"/>
  <c r="J37" i="11"/>
  <c r="K37" i="11"/>
  <c r="J40" i="11"/>
  <c r="K40" i="11"/>
  <c r="J44" i="11"/>
  <c r="K44" i="11"/>
  <c r="J49" i="11"/>
  <c r="K49" i="11"/>
  <c r="J53" i="11"/>
  <c r="K53" i="11"/>
  <c r="J56" i="11"/>
  <c r="K56" i="11"/>
  <c r="J58" i="11"/>
  <c r="K58" i="11"/>
  <c r="J61" i="11"/>
  <c r="K61" i="11"/>
  <c r="J63" i="11"/>
  <c r="K63" i="11"/>
  <c r="J64" i="11"/>
  <c r="K64" i="11"/>
  <c r="J76" i="11"/>
  <c r="K76" i="11"/>
  <c r="J79" i="11"/>
  <c r="K79" i="11"/>
  <c r="J81" i="11"/>
  <c r="K81" i="11"/>
  <c r="J83" i="11"/>
  <c r="K83" i="11"/>
  <c r="J85" i="11"/>
  <c r="K85" i="11"/>
  <c r="J94" i="11"/>
  <c r="K94" i="11"/>
  <c r="J104" i="11"/>
  <c r="K104" i="11"/>
  <c r="J106" i="11"/>
  <c r="K106" i="11"/>
  <c r="S84" i="11"/>
  <c r="S85" i="11"/>
  <c r="J94" i="8"/>
  <c r="K94" i="8"/>
  <c r="J90" i="8"/>
  <c r="K90" i="8"/>
  <c r="J87" i="8"/>
  <c r="K87" i="8"/>
  <c r="S86" i="4"/>
  <c r="S78" i="4"/>
  <c r="R49" i="4"/>
  <c r="S44" i="4"/>
  <c r="R30" i="4"/>
  <c r="S28" i="4"/>
  <c r="R86" i="9"/>
  <c r="J58" i="9"/>
  <c r="K58" i="9"/>
  <c r="S43" i="9"/>
  <c r="J30" i="9"/>
  <c r="K30" i="9"/>
  <c r="S29" i="9"/>
  <c r="S22" i="9"/>
  <c r="S14" i="9"/>
  <c r="W57" i="2"/>
  <c r="J61" i="16"/>
  <c r="K61" i="16"/>
  <c r="R58" i="15"/>
  <c r="J26" i="15"/>
  <c r="K26" i="15"/>
  <c r="J21" i="15"/>
  <c r="K21" i="15"/>
  <c r="J67" i="13"/>
  <c r="K67" i="13"/>
  <c r="J66" i="13"/>
  <c r="K66" i="13"/>
  <c r="R86" i="10"/>
  <c r="J79" i="10"/>
  <c r="K79" i="10"/>
  <c r="S77" i="10"/>
  <c r="S69" i="10"/>
  <c r="J47" i="12"/>
  <c r="K47" i="12"/>
  <c r="J49" i="12"/>
  <c r="K49" i="12"/>
  <c r="J51" i="12"/>
  <c r="K51" i="12"/>
  <c r="J56" i="12"/>
  <c r="K56" i="12"/>
  <c r="J58" i="12"/>
  <c r="K58" i="12"/>
  <c r="J65" i="12"/>
  <c r="K65" i="12"/>
  <c r="J72" i="12"/>
  <c r="K72" i="12"/>
  <c r="J74" i="12"/>
  <c r="K74" i="12"/>
  <c r="J79" i="12"/>
  <c r="K79" i="12"/>
  <c r="J95" i="12"/>
  <c r="K95" i="12"/>
  <c r="J97" i="12"/>
  <c r="K97" i="12"/>
  <c r="S50" i="12"/>
  <c r="R16" i="12"/>
  <c r="S13" i="12"/>
  <c r="J36" i="11"/>
  <c r="K36" i="11"/>
  <c r="J39" i="11"/>
  <c r="K39" i="11"/>
  <c r="J41" i="11"/>
  <c r="K41" i="11"/>
  <c r="J43" i="11"/>
  <c r="K43" i="11"/>
  <c r="J45" i="11"/>
  <c r="K45" i="11"/>
  <c r="J50" i="11"/>
  <c r="K50" i="11"/>
  <c r="J52" i="11"/>
  <c r="K52" i="11"/>
  <c r="J55" i="11"/>
  <c r="K55" i="11"/>
  <c r="J60" i="11"/>
  <c r="K60" i="11"/>
  <c r="J62" i="11"/>
  <c r="K62" i="11"/>
  <c r="J70" i="11"/>
  <c r="K70" i="11"/>
  <c r="J71" i="11"/>
  <c r="K71" i="11"/>
  <c r="J75" i="11"/>
  <c r="K75" i="11"/>
  <c r="J78" i="11"/>
  <c r="K78" i="11"/>
  <c r="J80" i="11"/>
  <c r="K80" i="11"/>
  <c r="J82" i="11"/>
  <c r="K82" i="11"/>
  <c r="J86" i="11"/>
  <c r="K86" i="11"/>
  <c r="J88" i="11"/>
  <c r="K88" i="11"/>
  <c r="J92" i="11"/>
  <c r="K92" i="11"/>
  <c r="J95" i="11"/>
  <c r="K95" i="11"/>
  <c r="J97" i="11"/>
  <c r="K97" i="11"/>
  <c r="J99" i="11"/>
  <c r="K99" i="11"/>
  <c r="J105" i="11"/>
  <c r="K105" i="11"/>
  <c r="J107" i="11"/>
  <c r="K107" i="11"/>
  <c r="R55" i="11"/>
  <c r="R56" i="11"/>
  <c r="R69" i="11"/>
  <c r="J92" i="8"/>
  <c r="K92" i="8"/>
  <c r="J91" i="8"/>
  <c r="K91" i="8"/>
  <c r="J88" i="8"/>
  <c r="K88" i="8"/>
  <c r="J57" i="8"/>
  <c r="K57" i="8"/>
  <c r="S63" i="4"/>
  <c r="S51" i="4"/>
  <c r="R16" i="4"/>
  <c r="J13" i="9"/>
  <c r="K13" i="9"/>
  <c r="J12" i="9"/>
  <c r="K12" i="9"/>
  <c r="J11" i="9"/>
  <c r="K11" i="9"/>
  <c r="J10" i="9"/>
  <c r="K10" i="9"/>
  <c r="J9" i="9"/>
  <c r="K9" i="9"/>
  <c r="J7" i="9"/>
  <c r="K7" i="9"/>
  <c r="J42" i="12"/>
  <c r="K42" i="12"/>
  <c r="J57" i="12"/>
  <c r="K57" i="12"/>
  <c r="J60" i="12"/>
  <c r="K60" i="12"/>
  <c r="J63" i="12"/>
  <c r="K63" i="12"/>
  <c r="J70" i="12"/>
  <c r="K70" i="12"/>
  <c r="J77" i="12"/>
  <c r="K77" i="12"/>
  <c r="J83" i="12"/>
  <c r="K83" i="12"/>
  <c r="J86" i="12"/>
  <c r="K86" i="12"/>
  <c r="J98" i="12"/>
  <c r="K98" i="12"/>
  <c r="J101" i="12"/>
  <c r="K101" i="12"/>
  <c r="J104" i="12"/>
  <c r="K104" i="12"/>
  <c r="J9" i="8"/>
  <c r="K9" i="8"/>
  <c r="V55" i="2"/>
  <c r="J107" i="16"/>
  <c r="K107" i="16"/>
  <c r="N108" i="2"/>
  <c r="J86" i="18"/>
  <c r="K86" i="18"/>
  <c r="J85" i="18"/>
  <c r="K85" i="18"/>
  <c r="J84" i="18"/>
  <c r="K84" i="18"/>
  <c r="J83" i="18"/>
  <c r="K83" i="18"/>
  <c r="J82" i="18"/>
  <c r="K82" i="18"/>
  <c r="J81" i="18"/>
  <c r="K81" i="18"/>
  <c r="J80" i="18"/>
  <c r="K80" i="18"/>
  <c r="J79" i="18"/>
  <c r="K79" i="18"/>
  <c r="J78" i="18"/>
  <c r="K78" i="18"/>
  <c r="J77" i="18"/>
  <c r="K77" i="18"/>
  <c r="J76" i="18"/>
  <c r="K76" i="18"/>
  <c r="J75" i="18"/>
  <c r="K75" i="18"/>
  <c r="J74" i="18"/>
  <c r="K74" i="18"/>
  <c r="J73" i="18"/>
  <c r="K73" i="18"/>
  <c r="J72" i="18"/>
  <c r="K72" i="18"/>
  <c r="J71" i="18"/>
  <c r="K71" i="18"/>
  <c r="J70" i="18"/>
  <c r="K70" i="18"/>
  <c r="J69" i="18"/>
  <c r="K69" i="18"/>
  <c r="J68" i="18"/>
  <c r="K68" i="18"/>
  <c r="J67" i="18"/>
  <c r="K67" i="18"/>
  <c r="J66" i="18"/>
  <c r="K66" i="18"/>
  <c r="J65" i="18"/>
  <c r="K65" i="18"/>
  <c r="J64" i="18"/>
  <c r="K64" i="18"/>
  <c r="J63" i="18"/>
  <c r="K63" i="18"/>
  <c r="J62" i="18"/>
  <c r="K62" i="18"/>
  <c r="J61" i="18"/>
  <c r="K61" i="18"/>
  <c r="J60" i="18"/>
  <c r="K60" i="18"/>
  <c r="J59" i="18"/>
  <c r="K59" i="18"/>
  <c r="J58" i="18"/>
  <c r="K58" i="18"/>
  <c r="J57" i="18"/>
  <c r="K57" i="18"/>
  <c r="J56" i="18"/>
  <c r="K56" i="18"/>
  <c r="J55" i="18"/>
  <c r="K55" i="18"/>
  <c r="J54" i="18"/>
  <c r="K54" i="18"/>
  <c r="J53" i="18"/>
  <c r="K53" i="18"/>
  <c r="J52" i="18"/>
  <c r="K52" i="18"/>
  <c r="J51" i="18"/>
  <c r="K51" i="18"/>
  <c r="J50" i="18"/>
  <c r="K50" i="18"/>
  <c r="J49" i="18"/>
  <c r="K49" i="18"/>
  <c r="J48" i="18"/>
  <c r="K48" i="18"/>
  <c r="J47" i="18"/>
  <c r="K47" i="18"/>
  <c r="J46" i="18"/>
  <c r="K46" i="18"/>
  <c r="J45" i="18"/>
  <c r="K45" i="18"/>
  <c r="J44" i="18"/>
  <c r="K44" i="18"/>
  <c r="J43" i="18"/>
  <c r="K43" i="18"/>
  <c r="J42" i="18"/>
  <c r="K42" i="18"/>
  <c r="J41" i="18"/>
  <c r="K41" i="18"/>
  <c r="J40" i="18"/>
  <c r="K40" i="18"/>
  <c r="J39" i="18"/>
  <c r="K39" i="18"/>
  <c r="J38" i="18"/>
  <c r="K38" i="18"/>
  <c r="J37" i="18"/>
  <c r="K37" i="18"/>
  <c r="J36" i="18"/>
  <c r="K36" i="18"/>
  <c r="J35" i="18"/>
  <c r="K35" i="18"/>
  <c r="J34" i="18"/>
  <c r="K34" i="18"/>
  <c r="J33" i="18"/>
  <c r="K33" i="18"/>
  <c r="J32" i="18"/>
  <c r="K32" i="18"/>
  <c r="J31" i="18"/>
  <c r="K31" i="18"/>
  <c r="J30" i="18"/>
  <c r="K30" i="18"/>
  <c r="J29" i="18"/>
  <c r="K29" i="18"/>
  <c r="J28" i="18"/>
  <c r="K28" i="18"/>
  <c r="J27" i="18"/>
  <c r="K27" i="18"/>
  <c r="J26" i="18"/>
  <c r="K26" i="18"/>
  <c r="J25" i="18"/>
  <c r="K25" i="18"/>
  <c r="J24" i="18"/>
  <c r="K24" i="18"/>
  <c r="J23" i="18"/>
  <c r="K23" i="18"/>
  <c r="J22" i="18"/>
  <c r="K22" i="18"/>
  <c r="J21" i="18"/>
  <c r="K21" i="18"/>
  <c r="J20" i="18"/>
  <c r="K20" i="18"/>
  <c r="J19" i="18"/>
  <c r="K19" i="18"/>
  <c r="J18" i="18"/>
  <c r="K18" i="18"/>
  <c r="J17" i="18"/>
  <c r="K17" i="18"/>
  <c r="J16" i="18"/>
  <c r="K16" i="18"/>
  <c r="J15" i="18"/>
  <c r="K15" i="18"/>
  <c r="J14" i="18"/>
  <c r="K14" i="18"/>
  <c r="J13" i="18"/>
  <c r="K13" i="18"/>
  <c r="R71" i="15"/>
  <c r="J68" i="15"/>
  <c r="J66" i="15"/>
  <c r="J37" i="15"/>
  <c r="R20" i="15"/>
  <c r="S6" i="15"/>
  <c r="J105" i="13"/>
  <c r="J104" i="13"/>
  <c r="J103" i="13"/>
  <c r="J97" i="13"/>
  <c r="J95" i="13"/>
  <c r="J92" i="13"/>
  <c r="J91" i="13"/>
  <c r="J88" i="13"/>
  <c r="J87" i="13"/>
  <c r="S85" i="12"/>
  <c r="J12" i="18"/>
  <c r="K12" i="18"/>
  <c r="J11" i="18"/>
  <c r="K11" i="18"/>
  <c r="J10" i="18"/>
  <c r="K10" i="18"/>
  <c r="J9" i="18"/>
  <c r="K9" i="18"/>
  <c r="J8" i="18"/>
  <c r="K8" i="18"/>
  <c r="J7" i="18"/>
  <c r="K7" i="18"/>
  <c r="J6" i="18"/>
  <c r="K6" i="18"/>
  <c r="J5" i="18"/>
  <c r="K5" i="18"/>
  <c r="J66" i="17"/>
  <c r="J56" i="17"/>
  <c r="J55" i="17"/>
  <c r="J54" i="17"/>
  <c r="J52" i="17"/>
  <c r="J49" i="17"/>
  <c r="J31" i="17"/>
  <c r="K31" i="17"/>
  <c r="R78" i="11"/>
  <c r="J59" i="16"/>
  <c r="J43" i="15"/>
  <c r="J40" i="15"/>
  <c r="J38" i="15"/>
  <c r="R37" i="15"/>
  <c r="R29" i="15"/>
  <c r="J27" i="15"/>
  <c r="J25" i="15"/>
  <c r="J15" i="15"/>
  <c r="R7" i="15"/>
  <c r="J4" i="15"/>
  <c r="J107" i="13"/>
  <c r="J99" i="13"/>
  <c r="J98" i="13"/>
  <c r="J96" i="13"/>
  <c r="J82" i="13"/>
  <c r="J80" i="13"/>
  <c r="S64" i="12"/>
  <c r="R58" i="11"/>
  <c r="R64" i="11"/>
  <c r="S13" i="4"/>
  <c r="R7" i="4"/>
  <c r="J98" i="9"/>
  <c r="K98" i="9"/>
  <c r="J97" i="9"/>
  <c r="K97" i="9"/>
  <c r="J94" i="9"/>
  <c r="K94" i="9"/>
  <c r="J90" i="9"/>
  <c r="K90" i="9"/>
  <c r="J87" i="9"/>
  <c r="K87" i="9"/>
  <c r="J81" i="9"/>
  <c r="K81" i="9"/>
  <c r="J71" i="9"/>
  <c r="J106" i="4"/>
  <c r="K106" i="4"/>
  <c r="J96" i="4"/>
  <c r="K96" i="4"/>
  <c r="J82" i="4"/>
  <c r="K82" i="4"/>
  <c r="J77" i="4"/>
  <c r="K77" i="4"/>
  <c r="J73" i="4"/>
  <c r="K73" i="4"/>
  <c r="J64" i="4"/>
  <c r="K64" i="4"/>
  <c r="J57" i="4"/>
  <c r="K57" i="4"/>
  <c r="J55" i="4"/>
  <c r="K55" i="4"/>
  <c r="J53" i="4"/>
  <c r="K53" i="4"/>
  <c r="J76" i="14"/>
  <c r="J75" i="14"/>
  <c r="J74" i="14"/>
  <c r="J72" i="14"/>
  <c r="J71" i="14"/>
  <c r="J69" i="14"/>
  <c r="J67" i="14"/>
  <c r="J66" i="14"/>
  <c r="J65" i="14"/>
  <c r="J64" i="14"/>
  <c r="J63" i="14"/>
  <c r="J62" i="14"/>
  <c r="J59" i="14"/>
  <c r="J58" i="14"/>
  <c r="J56" i="14"/>
  <c r="J54" i="14"/>
  <c r="J53" i="14"/>
  <c r="J71" i="15"/>
  <c r="R41" i="15"/>
  <c r="J19" i="15"/>
  <c r="J18" i="15"/>
  <c r="J17" i="15"/>
  <c r="S14" i="15"/>
  <c r="J102" i="13"/>
  <c r="J101" i="13"/>
  <c r="J100" i="13"/>
  <c r="J93" i="13"/>
  <c r="J89" i="13"/>
  <c r="S79" i="12"/>
  <c r="R76" i="11"/>
  <c r="J81" i="8"/>
  <c r="K81" i="8"/>
  <c r="J80" i="8"/>
  <c r="R85" i="4"/>
  <c r="S16" i="4"/>
  <c r="J106" i="9"/>
  <c r="K106" i="9"/>
  <c r="J105" i="9"/>
  <c r="K105" i="9"/>
  <c r="J104" i="9"/>
  <c r="K104" i="9"/>
  <c r="J103" i="9"/>
  <c r="K103" i="9"/>
  <c r="J102" i="9"/>
  <c r="K102" i="9"/>
  <c r="J101" i="9"/>
  <c r="K101" i="9"/>
  <c r="J99" i="9"/>
  <c r="K99" i="9"/>
  <c r="J93" i="9"/>
  <c r="K93" i="9"/>
  <c r="J92" i="9"/>
  <c r="K92" i="9"/>
  <c r="J88" i="9"/>
  <c r="K88" i="9"/>
  <c r="R85" i="9"/>
  <c r="J79" i="9"/>
  <c r="S78" i="9"/>
  <c r="S76" i="9"/>
  <c r="J107" i="4"/>
  <c r="K107" i="4"/>
  <c r="J105" i="4"/>
  <c r="K105" i="4"/>
  <c r="J101" i="4"/>
  <c r="K101" i="4"/>
  <c r="J98" i="4"/>
  <c r="K98" i="4"/>
  <c r="J94" i="4"/>
  <c r="K94" i="4"/>
  <c r="J91" i="4"/>
  <c r="K91" i="4"/>
  <c r="J89" i="4"/>
  <c r="K89" i="4"/>
  <c r="J86" i="4"/>
  <c r="K86" i="4"/>
  <c r="J80" i="4"/>
  <c r="K80" i="4"/>
  <c r="J67" i="4"/>
  <c r="K67" i="4"/>
  <c r="J63" i="4"/>
  <c r="K63" i="4"/>
  <c r="J60" i="4"/>
  <c r="K60" i="4"/>
  <c r="J56" i="4"/>
  <c r="K56" i="4"/>
  <c r="J52" i="4"/>
  <c r="K52" i="4"/>
  <c r="J42" i="15"/>
  <c r="J94" i="13"/>
  <c r="J90" i="13"/>
  <c r="R85" i="11"/>
  <c r="J90" i="4"/>
  <c r="K90" i="4"/>
  <c r="J85" i="4"/>
  <c r="K85" i="4"/>
  <c r="J79" i="4"/>
  <c r="K79" i="4"/>
  <c r="J75" i="4"/>
  <c r="K75" i="4"/>
  <c r="J69" i="4"/>
  <c r="K69" i="4"/>
  <c r="J100" i="9"/>
  <c r="K100" i="9"/>
  <c r="J96" i="9"/>
  <c r="K96" i="9"/>
  <c r="J95" i="9"/>
  <c r="K95" i="9"/>
  <c r="J91" i="9"/>
  <c r="K91" i="9"/>
  <c r="J89" i="9"/>
  <c r="K89" i="9"/>
  <c r="R71" i="9"/>
  <c r="R69" i="9"/>
  <c r="J104" i="4"/>
  <c r="K104" i="4"/>
  <c r="J100" i="4"/>
  <c r="K100" i="4"/>
  <c r="J95" i="4"/>
  <c r="K95" i="4"/>
  <c r="J93" i="4"/>
  <c r="K93" i="4"/>
  <c r="J87" i="4"/>
  <c r="K87" i="4"/>
  <c r="J83" i="4"/>
  <c r="K83" i="4"/>
  <c r="J81" i="4"/>
  <c r="K81" i="4"/>
  <c r="J76" i="4"/>
  <c r="K76" i="4"/>
  <c r="J72" i="4"/>
  <c r="K72" i="4"/>
  <c r="J71" i="4"/>
  <c r="K71" i="4"/>
  <c r="J68" i="4"/>
  <c r="K68" i="4"/>
  <c r="J66" i="4"/>
  <c r="K66" i="4"/>
  <c r="J61" i="4"/>
  <c r="K61" i="4"/>
  <c r="J59" i="4"/>
  <c r="K59" i="4"/>
  <c r="J54" i="4"/>
  <c r="K54" i="4"/>
  <c r="V86" i="2"/>
  <c r="V85" i="2"/>
  <c r="V65" i="2"/>
  <c r="V57" i="2"/>
  <c r="W56" i="2"/>
  <c r="J70" i="9"/>
  <c r="K70" i="9"/>
  <c r="J103" i="4"/>
  <c r="K103" i="4"/>
  <c r="J99" i="4"/>
  <c r="K99" i="4"/>
  <c r="J65" i="4"/>
  <c r="K65" i="4"/>
  <c r="J62" i="4"/>
  <c r="K62" i="4"/>
  <c r="J58" i="4"/>
  <c r="K58" i="4"/>
  <c r="V58" i="2"/>
  <c r="J102" i="4"/>
  <c r="K102" i="4"/>
  <c r="J97" i="4"/>
  <c r="K97" i="4"/>
  <c r="J92" i="4"/>
  <c r="K92" i="4"/>
  <c r="J88" i="4"/>
  <c r="K88" i="4"/>
  <c r="J84" i="4"/>
  <c r="K84" i="4"/>
  <c r="J78" i="4"/>
  <c r="K78" i="4"/>
  <c r="J74" i="4"/>
  <c r="K74" i="4"/>
  <c r="J70" i="4"/>
  <c r="K70" i="4"/>
  <c r="V79" i="2"/>
  <c r="W72" i="2"/>
  <c r="V70" i="2"/>
  <c r="W69" i="2"/>
  <c r="W64" i="2"/>
  <c r="V42" i="2"/>
  <c r="V72" i="2"/>
  <c r="J107" i="15"/>
  <c r="K107" i="15"/>
  <c r="J107" i="17"/>
  <c r="K107" i="17"/>
  <c r="J107" i="8"/>
  <c r="K107" i="8"/>
  <c r="J107" i="9"/>
  <c r="K107" i="9"/>
  <c r="J107" i="14"/>
  <c r="K107" i="14"/>
  <c r="J107" i="10"/>
  <c r="K107" i="10"/>
  <c r="J106" i="8"/>
  <c r="K106" i="8"/>
  <c r="J106" i="16"/>
  <c r="K106" i="16"/>
  <c r="J106" i="15"/>
  <c r="K106" i="15"/>
  <c r="J106" i="17"/>
  <c r="K106" i="17"/>
  <c r="J106" i="13"/>
  <c r="K106" i="13"/>
  <c r="J106" i="14"/>
  <c r="K106" i="14"/>
  <c r="J105" i="15"/>
  <c r="K105" i="15"/>
  <c r="J105" i="17"/>
  <c r="K105" i="17"/>
  <c r="J105" i="16"/>
  <c r="K105" i="16"/>
  <c r="J105" i="10"/>
  <c r="K105" i="10"/>
  <c r="J105" i="14"/>
  <c r="K105" i="14"/>
  <c r="J105" i="8"/>
  <c r="K105" i="8"/>
  <c r="J104" i="10"/>
  <c r="K104" i="10"/>
  <c r="J104" i="15"/>
  <c r="K104" i="15"/>
  <c r="J104" i="17"/>
  <c r="K104" i="17"/>
  <c r="J104" i="16"/>
  <c r="K104" i="16"/>
  <c r="J104" i="8"/>
  <c r="K104" i="8"/>
  <c r="J104" i="14"/>
  <c r="K104" i="14"/>
  <c r="J103" i="10"/>
  <c r="K103" i="10"/>
  <c r="J103" i="17"/>
  <c r="K103" i="17"/>
  <c r="J103" i="15"/>
  <c r="K103" i="15"/>
  <c r="J103" i="8"/>
  <c r="K103" i="8"/>
  <c r="J103" i="16"/>
  <c r="K103" i="16"/>
  <c r="J103" i="14"/>
  <c r="K103" i="14"/>
  <c r="J102" i="10"/>
  <c r="K102" i="10"/>
  <c r="J102" i="17"/>
  <c r="K102" i="17"/>
  <c r="J102" i="15"/>
  <c r="K102" i="15"/>
  <c r="J102" i="11"/>
  <c r="K102" i="11"/>
  <c r="J102" i="14"/>
  <c r="K102" i="14"/>
  <c r="J102" i="8"/>
  <c r="K102" i="8"/>
  <c r="J102" i="16"/>
  <c r="K102" i="16"/>
  <c r="J101" i="10"/>
  <c r="K101" i="10"/>
  <c r="J101" i="8"/>
  <c r="K101" i="8"/>
  <c r="J101" i="16"/>
  <c r="K101" i="16"/>
  <c r="J101" i="15"/>
  <c r="K101" i="15"/>
  <c r="J101" i="14"/>
  <c r="K101" i="14"/>
  <c r="N102" i="2"/>
  <c r="J101" i="17"/>
  <c r="K101" i="17"/>
  <c r="J100" i="10"/>
  <c r="K100" i="10"/>
  <c r="J100" i="8"/>
  <c r="K100" i="8"/>
  <c r="J100" i="15"/>
  <c r="K100" i="15"/>
  <c r="J100" i="14"/>
  <c r="K100" i="14"/>
  <c r="J100" i="16"/>
  <c r="K100" i="16"/>
  <c r="J100" i="17"/>
  <c r="K100" i="17"/>
  <c r="J99" i="10"/>
  <c r="K99" i="10"/>
  <c r="J99" i="8"/>
  <c r="K99" i="8"/>
  <c r="N100" i="2"/>
  <c r="J99" i="14"/>
  <c r="K99" i="14"/>
  <c r="J99" i="17"/>
  <c r="K99" i="17"/>
  <c r="J99" i="15"/>
  <c r="K99" i="15"/>
  <c r="J99" i="16"/>
  <c r="K99" i="16"/>
  <c r="J98" i="10"/>
  <c r="K98" i="10"/>
  <c r="J98" i="14"/>
  <c r="K98" i="14"/>
  <c r="J98" i="8"/>
  <c r="K98" i="8"/>
  <c r="J98" i="15"/>
  <c r="K98" i="15"/>
  <c r="J98" i="17"/>
  <c r="K98" i="17"/>
  <c r="J98" i="16"/>
  <c r="K98" i="16"/>
  <c r="N99" i="2"/>
  <c r="J97" i="10"/>
  <c r="K97" i="10"/>
  <c r="J97" i="8"/>
  <c r="K97" i="8"/>
  <c r="N98" i="2"/>
  <c r="J97" i="15"/>
  <c r="K97" i="15"/>
  <c r="J97" i="17"/>
  <c r="K97" i="17"/>
  <c r="J97" i="16"/>
  <c r="K97" i="16"/>
  <c r="J97" i="14"/>
  <c r="K97" i="14"/>
  <c r="J96" i="10"/>
  <c r="K96" i="10"/>
  <c r="J96" i="15"/>
  <c r="K96" i="15"/>
  <c r="J96" i="16"/>
  <c r="K96" i="16"/>
  <c r="J96" i="8"/>
  <c r="K96" i="8"/>
  <c r="J96" i="17"/>
  <c r="K96" i="17"/>
  <c r="J95" i="10"/>
  <c r="K95" i="10"/>
  <c r="J95" i="16"/>
  <c r="K95" i="16"/>
  <c r="J95" i="17"/>
  <c r="K95" i="17"/>
  <c r="J95" i="14"/>
  <c r="K95" i="14"/>
  <c r="J95" i="8"/>
  <c r="K95" i="8"/>
  <c r="N96" i="2"/>
  <c r="J95" i="15"/>
  <c r="K95" i="15"/>
  <c r="J94" i="10"/>
  <c r="K94" i="10"/>
  <c r="J94" i="17"/>
  <c r="K94" i="17"/>
  <c r="J94" i="14"/>
  <c r="K94" i="14"/>
  <c r="N95" i="2"/>
  <c r="J94" i="16"/>
  <c r="K94" i="16"/>
  <c r="J94" i="15"/>
  <c r="K94" i="15"/>
  <c r="J93" i="10"/>
  <c r="K93" i="10"/>
  <c r="J93" i="15"/>
  <c r="K93" i="15"/>
  <c r="J93" i="14"/>
  <c r="K93" i="14"/>
  <c r="J93" i="16"/>
  <c r="K93" i="16"/>
  <c r="J93" i="8"/>
  <c r="K93" i="8"/>
  <c r="J93" i="17"/>
  <c r="K93" i="17"/>
  <c r="J92" i="10"/>
  <c r="K92" i="10"/>
  <c r="J92" i="16"/>
  <c r="K92" i="16"/>
  <c r="J92" i="15"/>
  <c r="K92" i="15"/>
  <c r="J92" i="17"/>
  <c r="K92" i="17"/>
  <c r="N93" i="2"/>
  <c r="J92" i="14"/>
  <c r="K92" i="14"/>
  <c r="J91" i="10"/>
  <c r="K91" i="10"/>
  <c r="J91" i="14"/>
  <c r="K91" i="14"/>
  <c r="J91" i="16"/>
  <c r="K91" i="16"/>
  <c r="N92" i="2"/>
  <c r="J91" i="15"/>
  <c r="K91" i="15"/>
  <c r="J91" i="17"/>
  <c r="K91" i="17"/>
  <c r="J90" i="10"/>
  <c r="K90" i="10"/>
  <c r="J90" i="17"/>
  <c r="K90" i="17"/>
  <c r="J90" i="16"/>
  <c r="K90" i="16"/>
  <c r="J90" i="14"/>
  <c r="K90" i="14"/>
  <c r="J90" i="12"/>
  <c r="K90" i="12"/>
  <c r="J90" i="15"/>
  <c r="K90" i="15"/>
  <c r="N91" i="2"/>
  <c r="J90" i="11"/>
  <c r="K90" i="11"/>
  <c r="J89" i="10"/>
  <c r="K89" i="10"/>
  <c r="N90" i="2"/>
  <c r="J89" i="16"/>
  <c r="K89" i="16"/>
  <c r="J89" i="15"/>
  <c r="K89" i="15"/>
  <c r="J89" i="17"/>
  <c r="K89" i="17"/>
  <c r="J88" i="10"/>
  <c r="K88" i="10"/>
  <c r="J88" i="16"/>
  <c r="K88" i="16"/>
  <c r="J88" i="15"/>
  <c r="K88" i="15"/>
  <c r="J88" i="17"/>
  <c r="K88" i="17"/>
  <c r="J88" i="14"/>
  <c r="K88" i="14"/>
  <c r="N89" i="2"/>
  <c r="J87" i="10"/>
  <c r="K87" i="10"/>
  <c r="J87" i="17"/>
  <c r="K87" i="17"/>
  <c r="N88" i="2"/>
  <c r="J87" i="16"/>
  <c r="K87" i="16"/>
  <c r="J87" i="14"/>
  <c r="K87" i="14"/>
  <c r="J87" i="15"/>
  <c r="K87" i="15"/>
  <c r="J86" i="10"/>
  <c r="K86" i="10"/>
  <c r="J86" i="9"/>
  <c r="K86" i="9"/>
  <c r="J86" i="14"/>
  <c r="K86" i="14"/>
  <c r="J86" i="8"/>
  <c r="K86" i="8"/>
  <c r="J86" i="13"/>
  <c r="K86" i="13"/>
  <c r="N87" i="2"/>
  <c r="J86" i="15"/>
  <c r="K86" i="15"/>
  <c r="J86" i="17"/>
  <c r="K86" i="17"/>
  <c r="J86" i="16"/>
  <c r="K86" i="16"/>
  <c r="J85" i="10"/>
  <c r="K85" i="10"/>
  <c r="J85" i="13"/>
  <c r="K85" i="13"/>
  <c r="J85" i="8"/>
  <c r="K85" i="8"/>
  <c r="J85" i="17"/>
  <c r="K85" i="17"/>
  <c r="J85" i="16"/>
  <c r="K85" i="16"/>
  <c r="J85" i="15"/>
  <c r="K85" i="15"/>
  <c r="J85" i="14"/>
  <c r="K85" i="14"/>
  <c r="J85" i="9"/>
  <c r="K85" i="9"/>
  <c r="J84" i="8"/>
  <c r="K84" i="8"/>
  <c r="J84" i="13"/>
  <c r="K84" i="13"/>
  <c r="J84" i="16"/>
  <c r="K84" i="16"/>
  <c r="J84" i="10"/>
  <c r="K84" i="10"/>
  <c r="J84" i="17"/>
  <c r="K84" i="17"/>
  <c r="J84" i="9"/>
  <c r="K84" i="9"/>
  <c r="N85" i="2"/>
  <c r="J84" i="15"/>
  <c r="K84" i="15"/>
  <c r="J84" i="14"/>
  <c r="K84" i="14"/>
  <c r="J83" i="13"/>
  <c r="K83" i="13"/>
  <c r="J83" i="9"/>
  <c r="K83" i="9"/>
  <c r="J83" i="10"/>
  <c r="K83" i="10"/>
  <c r="J83" i="17"/>
  <c r="K83" i="17"/>
  <c r="J83" i="8"/>
  <c r="K83" i="8"/>
  <c r="N84" i="2"/>
  <c r="J83" i="15"/>
  <c r="K83" i="15"/>
  <c r="J83" i="16"/>
  <c r="K83" i="16"/>
  <c r="J83" i="14"/>
  <c r="K83" i="14"/>
  <c r="J82" i="8"/>
  <c r="K82" i="8"/>
  <c r="J82" i="15"/>
  <c r="K82" i="15"/>
  <c r="J82" i="9"/>
  <c r="K82" i="9"/>
  <c r="J82" i="16"/>
  <c r="K82" i="16"/>
  <c r="J82" i="10"/>
  <c r="K82" i="10"/>
  <c r="J82" i="14"/>
  <c r="K82" i="14"/>
  <c r="N83" i="2"/>
  <c r="J82" i="17"/>
  <c r="K82" i="17"/>
  <c r="J81" i="15"/>
  <c r="K81" i="15"/>
  <c r="N82" i="2"/>
  <c r="J81" i="14"/>
  <c r="K81" i="14"/>
  <c r="J81" i="13"/>
  <c r="K81" i="13"/>
  <c r="J81" i="17"/>
  <c r="K81" i="17"/>
  <c r="J81" i="16"/>
  <c r="K81" i="16"/>
  <c r="J81" i="10"/>
  <c r="K81" i="10"/>
  <c r="J80" i="15"/>
  <c r="K80" i="15"/>
  <c r="J80" i="9"/>
  <c r="K80" i="9"/>
  <c r="J80" i="10"/>
  <c r="K80" i="10"/>
  <c r="J80" i="14"/>
  <c r="K80" i="14"/>
  <c r="J80" i="17"/>
  <c r="K80" i="17"/>
  <c r="N81" i="2"/>
  <c r="J80" i="16"/>
  <c r="K80" i="16"/>
  <c r="J79" i="13"/>
  <c r="K79" i="13"/>
  <c r="J79" i="14"/>
  <c r="K79" i="14"/>
  <c r="J79" i="17"/>
  <c r="K79" i="17"/>
  <c r="N80" i="2"/>
  <c r="J79" i="15"/>
  <c r="K79" i="15"/>
  <c r="J79" i="16"/>
  <c r="K79" i="16"/>
  <c r="J79" i="8"/>
  <c r="K79" i="8"/>
  <c r="J78" i="10"/>
  <c r="K78" i="10"/>
  <c r="J78" i="15"/>
  <c r="K78" i="15"/>
  <c r="J78" i="13"/>
  <c r="K78" i="13"/>
  <c r="J78" i="14"/>
  <c r="K78" i="14"/>
  <c r="N79" i="2"/>
  <c r="J78" i="17"/>
  <c r="K78" i="17"/>
  <c r="J78" i="9"/>
  <c r="K78" i="9"/>
  <c r="J78" i="16"/>
  <c r="K78" i="16"/>
  <c r="J78" i="8"/>
  <c r="K78" i="8"/>
  <c r="J77" i="17"/>
  <c r="K77" i="17"/>
  <c r="N78" i="2"/>
  <c r="J77" i="8"/>
  <c r="K77" i="8"/>
  <c r="J77" i="13"/>
  <c r="K77" i="13"/>
  <c r="J77" i="14"/>
  <c r="K77" i="14"/>
  <c r="J77" i="9"/>
  <c r="K77" i="9"/>
  <c r="J77" i="16"/>
  <c r="K77" i="16"/>
  <c r="J77" i="15"/>
  <c r="K77" i="15"/>
  <c r="J77" i="10"/>
  <c r="K77" i="10"/>
  <c r="J76" i="10"/>
  <c r="K76" i="10"/>
  <c r="N77" i="2"/>
  <c r="J76" i="16"/>
  <c r="K76" i="16"/>
  <c r="J76" i="15"/>
  <c r="K76" i="15"/>
  <c r="J76" i="8"/>
  <c r="K76" i="8"/>
  <c r="J76" i="17"/>
  <c r="K76" i="17"/>
  <c r="J76" i="9"/>
  <c r="K76" i="9"/>
  <c r="J76" i="13"/>
  <c r="K76" i="13"/>
  <c r="J75" i="8"/>
  <c r="K75" i="8"/>
  <c r="J75" i="15"/>
  <c r="K75" i="15"/>
  <c r="J75" i="16"/>
  <c r="K75" i="16"/>
  <c r="J75" i="13"/>
  <c r="K75" i="13"/>
  <c r="N76" i="2"/>
  <c r="J75" i="10"/>
  <c r="K75" i="10"/>
  <c r="J75" i="17"/>
  <c r="K75" i="17"/>
  <c r="J75" i="9"/>
  <c r="K75" i="9"/>
  <c r="J74" i="9"/>
  <c r="K74" i="9"/>
  <c r="J74" i="15"/>
  <c r="K74" i="15"/>
  <c r="J74" i="17"/>
  <c r="K74" i="17"/>
  <c r="J74" i="10"/>
  <c r="K74" i="10"/>
  <c r="J74" i="13"/>
  <c r="K74" i="13"/>
  <c r="J74" i="16"/>
  <c r="K74" i="16"/>
  <c r="N75" i="2"/>
  <c r="J74" i="8"/>
  <c r="K74" i="8"/>
  <c r="J73" i="14"/>
  <c r="K73" i="14"/>
  <c r="J73" i="16"/>
  <c r="K73" i="16"/>
  <c r="J73" i="10"/>
  <c r="K73" i="10"/>
  <c r="J73" i="15"/>
  <c r="K73" i="15"/>
  <c r="J73" i="17"/>
  <c r="K73" i="17"/>
  <c r="J73" i="8"/>
  <c r="K73" i="8"/>
  <c r="J73" i="9"/>
  <c r="K73" i="9"/>
  <c r="J73" i="13"/>
  <c r="K73" i="13"/>
  <c r="J72" i="16"/>
  <c r="K72" i="16"/>
  <c r="J72" i="15"/>
  <c r="K72" i="15"/>
  <c r="N73" i="2"/>
  <c r="J72" i="17"/>
  <c r="K72" i="17"/>
  <c r="J72" i="13"/>
  <c r="K72" i="13"/>
  <c r="J72" i="10"/>
  <c r="K72" i="10"/>
  <c r="J72" i="8"/>
  <c r="K72" i="8"/>
  <c r="J71" i="17"/>
  <c r="K71" i="17"/>
  <c r="J71" i="10"/>
  <c r="K71" i="10"/>
  <c r="J71" i="13"/>
  <c r="K71" i="13"/>
  <c r="N72" i="2"/>
  <c r="J71" i="8"/>
  <c r="K71" i="8"/>
  <c r="J71" i="16"/>
  <c r="K71" i="16"/>
  <c r="J70" i="10"/>
  <c r="K70" i="10"/>
  <c r="J70" i="16"/>
  <c r="K70" i="16"/>
  <c r="J70" i="13"/>
  <c r="K70" i="13"/>
  <c r="J70" i="14"/>
  <c r="K70" i="14"/>
  <c r="N71" i="2"/>
  <c r="J70" i="17"/>
  <c r="K70" i="17"/>
  <c r="J70" i="8"/>
  <c r="K70" i="8"/>
  <c r="J70" i="15"/>
  <c r="K70" i="15"/>
  <c r="J69" i="9"/>
  <c r="K69" i="9"/>
  <c r="J69" i="10"/>
  <c r="K69" i="10"/>
  <c r="J69" i="8"/>
  <c r="K69" i="8"/>
  <c r="J69" i="15"/>
  <c r="K69" i="15"/>
  <c r="J69" i="11"/>
  <c r="K69" i="11"/>
  <c r="J69" i="13"/>
  <c r="K69" i="13"/>
  <c r="J69" i="17"/>
  <c r="K69" i="17"/>
  <c r="N70" i="2"/>
  <c r="J69" i="16"/>
  <c r="K69" i="16"/>
  <c r="J68" i="9"/>
  <c r="K68" i="9"/>
  <c r="J68" i="16"/>
  <c r="K68" i="16"/>
  <c r="N69" i="2"/>
  <c r="J68" i="8"/>
  <c r="K68" i="8"/>
  <c r="J68" i="13"/>
  <c r="K68" i="13"/>
  <c r="J68" i="17"/>
  <c r="K68" i="17"/>
  <c r="J68" i="14"/>
  <c r="K68" i="14"/>
  <c r="J67" i="9"/>
  <c r="K67" i="9"/>
  <c r="J67" i="17"/>
  <c r="K67" i="17"/>
  <c r="J67" i="8"/>
  <c r="K67" i="8"/>
  <c r="J67" i="15"/>
  <c r="K67" i="15"/>
  <c r="J67" i="16"/>
  <c r="K67" i="16"/>
  <c r="J66" i="9"/>
  <c r="K66" i="9"/>
  <c r="N67" i="2"/>
  <c r="J66" i="16"/>
  <c r="K66" i="16"/>
  <c r="J66" i="8"/>
  <c r="K66" i="8"/>
  <c r="J65" i="8"/>
  <c r="K65" i="8"/>
  <c r="J65" i="9"/>
  <c r="K65" i="9"/>
  <c r="J65" i="17"/>
  <c r="K65" i="17"/>
  <c r="J65" i="10"/>
  <c r="K65" i="10"/>
  <c r="J65" i="15"/>
  <c r="K65" i="15"/>
  <c r="J65" i="16"/>
  <c r="K65" i="16"/>
  <c r="J65" i="13"/>
  <c r="K65" i="13"/>
  <c r="J64" i="16"/>
  <c r="K64" i="16"/>
  <c r="J64" i="15"/>
  <c r="K64" i="15"/>
  <c r="N65" i="2"/>
  <c r="J64" i="13"/>
  <c r="K64" i="13"/>
  <c r="J64" i="17"/>
  <c r="K64" i="17"/>
  <c r="J64" i="10"/>
  <c r="K64" i="10"/>
  <c r="J64" i="9"/>
  <c r="K64" i="9"/>
  <c r="J64" i="8"/>
  <c r="K64" i="8"/>
  <c r="J63" i="16"/>
  <c r="K63" i="16"/>
  <c r="J63" i="15"/>
  <c r="K63" i="15"/>
  <c r="J63" i="8"/>
  <c r="K63" i="8"/>
  <c r="J63" i="9"/>
  <c r="K63" i="9"/>
  <c r="J63" i="17"/>
  <c r="K63" i="17"/>
  <c r="J63" i="13"/>
  <c r="K63" i="13"/>
  <c r="J63" i="10"/>
  <c r="K63" i="10"/>
  <c r="N64" i="2"/>
  <c r="J62" i="16"/>
  <c r="K62" i="16"/>
  <c r="J62" i="15"/>
  <c r="K62" i="15"/>
  <c r="J62" i="10"/>
  <c r="K62" i="10"/>
  <c r="N63" i="2"/>
  <c r="J62" i="17"/>
  <c r="K62" i="17"/>
  <c r="J62" i="13"/>
  <c r="K62" i="13"/>
  <c r="J62" i="8"/>
  <c r="K62" i="8"/>
  <c r="J62" i="9"/>
  <c r="K62" i="9"/>
  <c r="J61" i="17"/>
  <c r="K61" i="17"/>
  <c r="N62" i="2"/>
  <c r="J61" i="9"/>
  <c r="K61" i="9"/>
  <c r="J61" i="14"/>
  <c r="K61" i="14"/>
  <c r="J61" i="8"/>
  <c r="K61" i="8"/>
  <c r="J61" i="15"/>
  <c r="K61" i="15"/>
  <c r="J61" i="13"/>
  <c r="K61" i="13"/>
  <c r="J61" i="10"/>
  <c r="K61" i="10"/>
  <c r="J60" i="15"/>
  <c r="K60" i="15"/>
  <c r="J60" i="13"/>
  <c r="K60" i="13"/>
  <c r="J60" i="8"/>
  <c r="K60" i="8"/>
  <c r="J60" i="9"/>
  <c r="K60" i="9"/>
  <c r="J60" i="14"/>
  <c r="K60" i="14"/>
  <c r="J60" i="17"/>
  <c r="K60" i="17"/>
  <c r="J60" i="16"/>
  <c r="K60" i="16"/>
  <c r="N61" i="2"/>
  <c r="J60" i="10"/>
  <c r="K60" i="10"/>
  <c r="J59" i="8"/>
  <c r="K59" i="8"/>
  <c r="J59" i="15"/>
  <c r="K59" i="15"/>
  <c r="J59" i="13"/>
  <c r="K59" i="13"/>
  <c r="J59" i="9"/>
  <c r="K59" i="9"/>
  <c r="J59" i="17"/>
  <c r="K59" i="17"/>
  <c r="J59" i="10"/>
  <c r="K59" i="10"/>
  <c r="N60" i="2"/>
  <c r="J58" i="13"/>
  <c r="K58" i="13"/>
  <c r="N59" i="2"/>
  <c r="J58" i="8"/>
  <c r="K58" i="8"/>
  <c r="J58" i="15"/>
  <c r="K58" i="15"/>
  <c r="J58" i="10"/>
  <c r="K58" i="10"/>
  <c r="J58" i="17"/>
  <c r="K58" i="17"/>
  <c r="J58" i="16"/>
  <c r="K58" i="16"/>
  <c r="J57" i="11"/>
  <c r="K57" i="11"/>
  <c r="J57" i="16"/>
  <c r="K57" i="16"/>
  <c r="J57" i="17"/>
  <c r="K57" i="17"/>
  <c r="J57" i="14"/>
  <c r="K57" i="14"/>
  <c r="J57" i="10"/>
  <c r="K57" i="10"/>
  <c r="J57" i="13"/>
  <c r="K57" i="13"/>
  <c r="J57" i="9"/>
  <c r="K57" i="9"/>
  <c r="N58" i="2"/>
  <c r="J57" i="15"/>
  <c r="K57" i="15"/>
  <c r="J56" i="10"/>
  <c r="K56" i="10"/>
  <c r="J56" i="16"/>
  <c r="K56" i="16"/>
  <c r="J56" i="15"/>
  <c r="K56" i="15"/>
  <c r="J56" i="8"/>
  <c r="K56" i="8"/>
  <c r="N57" i="2"/>
  <c r="J56" i="9"/>
  <c r="K56" i="9"/>
  <c r="J56" i="13"/>
  <c r="K56" i="13"/>
  <c r="J55" i="15"/>
  <c r="K55" i="15"/>
  <c r="J55" i="10"/>
  <c r="K55" i="10"/>
  <c r="J55" i="8"/>
  <c r="K55" i="8"/>
  <c r="J55" i="16"/>
  <c r="K55" i="16"/>
  <c r="J55" i="9"/>
  <c r="K55" i="9"/>
  <c r="J55" i="14"/>
  <c r="K55" i="14"/>
  <c r="J55" i="13"/>
  <c r="K55" i="13"/>
  <c r="N56" i="2"/>
  <c r="J54" i="8"/>
  <c r="K54" i="8"/>
  <c r="N55" i="2"/>
  <c r="J54" i="13"/>
  <c r="K54" i="13"/>
  <c r="J54" i="10"/>
  <c r="K54" i="10"/>
  <c r="J54" i="15"/>
  <c r="K54" i="15"/>
  <c r="J54" i="16"/>
  <c r="K54" i="16"/>
  <c r="J54" i="9"/>
  <c r="K54" i="9"/>
  <c r="N54" i="2"/>
  <c r="J53" i="8"/>
  <c r="K53" i="8"/>
  <c r="J53" i="13"/>
  <c r="K53" i="13"/>
  <c r="J53" i="15"/>
  <c r="K53" i="15"/>
  <c r="J53" i="10"/>
  <c r="K53" i="10"/>
  <c r="J53" i="9"/>
  <c r="K53" i="9"/>
  <c r="J53" i="16"/>
  <c r="K53" i="16"/>
  <c r="J53" i="17"/>
  <c r="K53" i="17"/>
  <c r="J52" i="10"/>
  <c r="K52" i="10"/>
  <c r="J52" i="9"/>
  <c r="K52" i="9"/>
  <c r="J52" i="8"/>
  <c r="K52" i="8"/>
  <c r="N53" i="2"/>
  <c r="J52" i="13"/>
  <c r="K52" i="13"/>
  <c r="J52" i="14"/>
  <c r="K52" i="14"/>
  <c r="J52" i="16"/>
  <c r="K52" i="16"/>
  <c r="J52" i="15"/>
  <c r="K52" i="15"/>
  <c r="J51" i="14"/>
  <c r="J51" i="13"/>
  <c r="K51" i="13"/>
  <c r="J51" i="10"/>
  <c r="K51" i="10"/>
  <c r="J51" i="17"/>
  <c r="K51" i="17"/>
  <c r="J51" i="16"/>
  <c r="K51" i="16"/>
  <c r="N52" i="2"/>
  <c r="J51" i="15"/>
  <c r="K51" i="15"/>
  <c r="J51" i="9"/>
  <c r="K51" i="9"/>
  <c r="J51" i="8"/>
  <c r="K51" i="8"/>
  <c r="J50" i="17"/>
  <c r="K50" i="17"/>
  <c r="J50" i="10"/>
  <c r="K50" i="10"/>
  <c r="N51" i="2"/>
  <c r="J50" i="14"/>
  <c r="K50" i="14"/>
  <c r="J50" i="8"/>
  <c r="K50" i="8"/>
  <c r="J50" i="15"/>
  <c r="K50" i="15"/>
  <c r="J50" i="9"/>
  <c r="K50" i="9"/>
  <c r="J50" i="13"/>
  <c r="K50" i="13"/>
  <c r="J50" i="16"/>
  <c r="K50" i="16"/>
  <c r="J49" i="8"/>
  <c r="K49" i="8"/>
  <c r="J49" i="16"/>
  <c r="K49" i="16"/>
  <c r="J49" i="10"/>
  <c r="K49" i="10"/>
  <c r="J49" i="15"/>
  <c r="K49" i="15"/>
  <c r="J49" i="9"/>
  <c r="K49" i="9"/>
  <c r="J49" i="14"/>
  <c r="K49" i="14"/>
  <c r="N50" i="2"/>
  <c r="J49" i="13"/>
  <c r="K49" i="13"/>
  <c r="J48" i="13"/>
  <c r="K48" i="13"/>
  <c r="J48" i="16"/>
  <c r="K48" i="16"/>
  <c r="J48" i="15"/>
  <c r="K48" i="15"/>
  <c r="J48" i="9"/>
  <c r="K48" i="9"/>
  <c r="N49" i="2"/>
  <c r="J48" i="8"/>
  <c r="K48" i="8"/>
  <c r="J48" i="17"/>
  <c r="K48" i="17"/>
  <c r="J48" i="10"/>
  <c r="K48" i="10"/>
  <c r="J48" i="14"/>
  <c r="K48" i="14"/>
  <c r="J47" i="15"/>
  <c r="K47" i="15"/>
  <c r="J47" i="9"/>
  <c r="K47" i="9"/>
  <c r="J47" i="13"/>
  <c r="K47" i="13"/>
  <c r="J47" i="16"/>
  <c r="K47" i="16"/>
  <c r="J47" i="8"/>
  <c r="K47" i="8"/>
  <c r="N48" i="2"/>
  <c r="J47" i="14"/>
  <c r="K47" i="14"/>
  <c r="J47" i="11"/>
  <c r="K47" i="11"/>
  <c r="J47" i="10"/>
  <c r="K47" i="10"/>
  <c r="J47" i="17"/>
  <c r="K47" i="17"/>
  <c r="J46" i="16"/>
  <c r="K46" i="16"/>
  <c r="J46" i="8"/>
  <c r="K46" i="8"/>
  <c r="J46" i="10"/>
  <c r="K46" i="10"/>
  <c r="N47" i="2"/>
  <c r="J46" i="14"/>
  <c r="K46" i="14"/>
  <c r="J46" i="13"/>
  <c r="K46" i="13"/>
  <c r="J46" i="17"/>
  <c r="K46" i="17"/>
  <c r="J46" i="15"/>
  <c r="K46" i="15"/>
  <c r="N46" i="2"/>
  <c r="J45" i="15"/>
  <c r="K45" i="15"/>
  <c r="J45" i="14"/>
  <c r="K45" i="14"/>
  <c r="J45" i="10"/>
  <c r="K45" i="10"/>
  <c r="J45" i="16"/>
  <c r="K45" i="16"/>
  <c r="J45" i="17"/>
  <c r="K45" i="17"/>
  <c r="J45" i="12"/>
  <c r="K45" i="12"/>
  <c r="J45" i="13"/>
  <c r="K45" i="13"/>
  <c r="J44" i="8"/>
  <c r="K44" i="8"/>
  <c r="J44" i="16"/>
  <c r="K44" i="16"/>
  <c r="J44" i="13"/>
  <c r="K44" i="13"/>
  <c r="J44" i="10"/>
  <c r="K44" i="10"/>
  <c r="J44" i="17"/>
  <c r="K44" i="17"/>
  <c r="J44" i="12"/>
  <c r="K44" i="12"/>
  <c r="N45" i="2"/>
  <c r="J44" i="9"/>
  <c r="K44" i="9"/>
  <c r="J44" i="15"/>
  <c r="K44" i="15"/>
  <c r="J44" i="14"/>
  <c r="K44" i="14"/>
  <c r="J43" i="8"/>
  <c r="K43" i="8"/>
  <c r="J43" i="17"/>
  <c r="K43" i="17"/>
  <c r="J43" i="16"/>
  <c r="K43" i="16"/>
  <c r="N44" i="2"/>
  <c r="J43" i="14"/>
  <c r="K43" i="14"/>
  <c r="J43" i="10"/>
  <c r="K43" i="10"/>
  <c r="J43" i="12"/>
  <c r="K43" i="12"/>
  <c r="J43" i="9"/>
  <c r="K43" i="9"/>
  <c r="J43" i="13"/>
  <c r="K43" i="13"/>
  <c r="J42" i="10"/>
  <c r="K42" i="10"/>
  <c r="J42" i="17"/>
  <c r="K42" i="17"/>
  <c r="J42" i="14"/>
  <c r="K42" i="14"/>
  <c r="J42" i="9"/>
  <c r="K42" i="9"/>
  <c r="N43" i="2"/>
  <c r="J42" i="16"/>
  <c r="K42" i="16"/>
  <c r="J42" i="8"/>
  <c r="K42" i="8"/>
  <c r="J42" i="13"/>
  <c r="K42" i="13"/>
  <c r="J41" i="15"/>
  <c r="K41" i="15"/>
  <c r="N42" i="2"/>
  <c r="J41" i="12"/>
  <c r="K41" i="12"/>
  <c r="J41" i="9"/>
  <c r="K41" i="9"/>
  <c r="J41" i="16"/>
  <c r="K41" i="16"/>
  <c r="J41" i="13"/>
  <c r="K41" i="13"/>
  <c r="J41" i="8"/>
  <c r="K41" i="8"/>
  <c r="J41" i="10"/>
  <c r="K41" i="10"/>
  <c r="J41" i="14"/>
  <c r="K41" i="14"/>
  <c r="J41" i="17"/>
  <c r="K41" i="17"/>
  <c r="J40" i="9"/>
  <c r="K40" i="9"/>
  <c r="J40" i="10"/>
  <c r="K40" i="10"/>
  <c r="J40" i="8"/>
  <c r="K40" i="8"/>
  <c r="J40" i="13"/>
  <c r="K40" i="13"/>
  <c r="J40" i="17"/>
  <c r="K40" i="17"/>
  <c r="J40" i="12"/>
  <c r="K40" i="12"/>
  <c r="J40" i="16"/>
  <c r="K40" i="16"/>
  <c r="J40" i="14"/>
  <c r="K40" i="14"/>
  <c r="N41" i="2"/>
  <c r="J39" i="13"/>
  <c r="K39" i="13"/>
  <c r="J39" i="17"/>
  <c r="K39" i="17"/>
  <c r="J39" i="8"/>
  <c r="K39" i="8"/>
  <c r="J39" i="15"/>
  <c r="K39" i="15"/>
  <c r="N40" i="2"/>
  <c r="J39" i="10"/>
  <c r="K39" i="10"/>
  <c r="J39" i="16"/>
  <c r="K39" i="16"/>
  <c r="J39" i="14"/>
  <c r="K39" i="14"/>
  <c r="J39" i="12"/>
  <c r="K39" i="12"/>
  <c r="J39" i="9"/>
  <c r="K39" i="9"/>
  <c r="J38" i="17"/>
  <c r="K38" i="17"/>
  <c r="J38" i="8"/>
  <c r="K38" i="8"/>
  <c r="J38" i="12"/>
  <c r="K38" i="12"/>
  <c r="N39" i="2"/>
  <c r="J38" i="16"/>
  <c r="K38" i="16"/>
  <c r="J38" i="10"/>
  <c r="K38" i="10"/>
  <c r="J38" i="14"/>
  <c r="K38" i="14"/>
  <c r="J38" i="9"/>
  <c r="K38" i="9"/>
  <c r="J38" i="13"/>
  <c r="K38" i="13"/>
  <c r="J37" i="13"/>
  <c r="K37" i="13"/>
  <c r="J37" i="10"/>
  <c r="K37" i="10"/>
  <c r="J37" i="14"/>
  <c r="K37" i="14"/>
  <c r="N38" i="2"/>
  <c r="J37" i="17"/>
  <c r="K37" i="17"/>
  <c r="J37" i="16"/>
  <c r="K37" i="16"/>
  <c r="J37" i="8"/>
  <c r="K37" i="8"/>
  <c r="J37" i="12"/>
  <c r="K37" i="12"/>
  <c r="J37" i="9"/>
  <c r="K37" i="9"/>
  <c r="J36" i="16"/>
  <c r="K36" i="16"/>
  <c r="J36" i="8"/>
  <c r="K36" i="8"/>
  <c r="N37" i="2"/>
  <c r="J36" i="12"/>
  <c r="K36" i="12"/>
  <c r="J36" i="10"/>
  <c r="K36" i="10"/>
  <c r="J36" i="15"/>
  <c r="K36" i="15"/>
  <c r="J36" i="17"/>
  <c r="K36" i="17"/>
  <c r="J36" i="14"/>
  <c r="K36" i="14"/>
  <c r="J36" i="13"/>
  <c r="K36" i="13"/>
  <c r="J36" i="9"/>
  <c r="K36" i="9"/>
  <c r="J35" i="9"/>
  <c r="K35" i="9"/>
  <c r="J35" i="13"/>
  <c r="K35" i="13"/>
  <c r="N36" i="2"/>
  <c r="J35" i="10"/>
  <c r="K35" i="10"/>
  <c r="J35" i="16"/>
  <c r="K35" i="16"/>
  <c r="J35" i="8"/>
  <c r="K35" i="8"/>
  <c r="J35" i="14"/>
  <c r="K35" i="14"/>
  <c r="J35" i="15"/>
  <c r="K35" i="15"/>
  <c r="J35" i="12"/>
  <c r="K35" i="12"/>
  <c r="J35" i="17"/>
  <c r="K35" i="17"/>
  <c r="J34" i="16"/>
  <c r="K34" i="16"/>
  <c r="J34" i="9"/>
  <c r="K34" i="9"/>
  <c r="J34" i="8"/>
  <c r="K34" i="8"/>
  <c r="J34" i="13"/>
  <c r="K34" i="13"/>
  <c r="J34" i="15"/>
  <c r="K34" i="15"/>
  <c r="J34" i="10"/>
  <c r="K34" i="10"/>
  <c r="J34" i="17"/>
  <c r="K34" i="17"/>
  <c r="J33" i="11"/>
  <c r="K33" i="11"/>
  <c r="J33" i="13"/>
  <c r="K33" i="13"/>
  <c r="J33" i="15"/>
  <c r="K33" i="15"/>
  <c r="J33" i="12"/>
  <c r="K33" i="12"/>
  <c r="J33" i="16"/>
  <c r="K33" i="16"/>
  <c r="J33" i="10"/>
  <c r="K33" i="10"/>
  <c r="J33" i="17"/>
  <c r="K33" i="17"/>
  <c r="J33" i="8"/>
  <c r="K33" i="8"/>
  <c r="J32" i="13"/>
  <c r="K32" i="13"/>
  <c r="N33" i="2"/>
  <c r="J32" i="14"/>
  <c r="K32" i="14"/>
  <c r="J32" i="17"/>
  <c r="K32" i="17"/>
  <c r="J32" i="16"/>
  <c r="K32" i="16"/>
  <c r="J32" i="15"/>
  <c r="K32" i="15"/>
  <c r="J32" i="8"/>
  <c r="K32" i="8"/>
  <c r="N32" i="2"/>
  <c r="J31" i="8"/>
  <c r="K31" i="8"/>
  <c r="J31" i="13"/>
  <c r="K31" i="13"/>
  <c r="J31" i="16"/>
  <c r="K31" i="16"/>
  <c r="J31" i="15"/>
  <c r="K31" i="15"/>
  <c r="J30" i="10"/>
  <c r="K30" i="10"/>
  <c r="J30" i="15"/>
  <c r="K30" i="15"/>
  <c r="J30" i="8"/>
  <c r="K30" i="8"/>
  <c r="J30" i="17"/>
  <c r="K30" i="17"/>
  <c r="J30" i="14"/>
  <c r="K30" i="14"/>
  <c r="J30" i="13"/>
  <c r="K30" i="13"/>
  <c r="J30" i="16"/>
  <c r="K30" i="16"/>
  <c r="J30" i="11"/>
  <c r="K30" i="11"/>
  <c r="J29" i="10"/>
  <c r="K29" i="10"/>
  <c r="J29" i="9"/>
  <c r="K29" i="9"/>
  <c r="J29" i="15"/>
  <c r="K29" i="15"/>
  <c r="N30" i="2"/>
  <c r="J29" i="13"/>
  <c r="K29" i="13"/>
  <c r="J29" i="8"/>
  <c r="K29" i="8"/>
  <c r="J29" i="17"/>
  <c r="K29" i="17"/>
  <c r="J29" i="16"/>
  <c r="K29" i="16"/>
  <c r="J28" i="8"/>
  <c r="K28" i="8"/>
  <c r="N29" i="2"/>
  <c r="J28" i="13"/>
  <c r="K28" i="13"/>
  <c r="J28" i="9"/>
  <c r="K28" i="9"/>
  <c r="J28" i="15"/>
  <c r="K28" i="15"/>
  <c r="J28" i="16"/>
  <c r="K28" i="16"/>
  <c r="J28" i="17"/>
  <c r="K28" i="17"/>
  <c r="J28" i="11"/>
  <c r="K28" i="11"/>
  <c r="J28" i="10"/>
  <c r="K28" i="10"/>
  <c r="J28" i="14"/>
  <c r="K28" i="14"/>
  <c r="N28" i="2"/>
  <c r="J27" i="16"/>
  <c r="K27" i="16"/>
  <c r="J27" i="10"/>
  <c r="K27" i="10"/>
  <c r="J27" i="17"/>
  <c r="K27" i="17"/>
  <c r="J27" i="9"/>
  <c r="K27" i="9"/>
  <c r="J27" i="8"/>
  <c r="K27" i="8"/>
  <c r="J27" i="14"/>
  <c r="K27" i="14"/>
  <c r="J27" i="13"/>
  <c r="K27" i="13"/>
  <c r="N27" i="2"/>
  <c r="J26" i="8"/>
  <c r="K26" i="8"/>
  <c r="J26" i="10"/>
  <c r="K26" i="10"/>
  <c r="J26" i="16"/>
  <c r="K26" i="16"/>
  <c r="J26" i="17"/>
  <c r="K26" i="17"/>
  <c r="J26" i="9"/>
  <c r="K26" i="9"/>
  <c r="J26" i="14"/>
  <c r="K26" i="14"/>
  <c r="J25" i="10"/>
  <c r="K25" i="10"/>
  <c r="J25" i="8"/>
  <c r="K25" i="8"/>
  <c r="J25" i="9"/>
  <c r="K25" i="9"/>
  <c r="J25" i="17"/>
  <c r="K25" i="17"/>
  <c r="N26" i="2"/>
  <c r="J25" i="14"/>
  <c r="K25" i="14"/>
  <c r="J25" i="16"/>
  <c r="K25" i="16"/>
  <c r="J24" i="10"/>
  <c r="K24" i="10"/>
  <c r="J24" i="14"/>
  <c r="K24" i="14"/>
  <c r="N25" i="2"/>
  <c r="J24" i="9"/>
  <c r="K24" i="9"/>
  <c r="J24" i="17"/>
  <c r="K24" i="17"/>
  <c r="J24" i="8"/>
  <c r="K24" i="8"/>
  <c r="J24" i="15"/>
  <c r="K24" i="15"/>
  <c r="J24" i="16"/>
  <c r="K24" i="16"/>
  <c r="J23" i="17"/>
  <c r="K23" i="17"/>
  <c r="J23" i="8"/>
  <c r="K23" i="8"/>
  <c r="J23" i="14"/>
  <c r="K23" i="14"/>
  <c r="J23" i="13"/>
  <c r="K23" i="13"/>
  <c r="J23" i="9"/>
  <c r="K23" i="9"/>
  <c r="N24" i="2"/>
  <c r="J23" i="10"/>
  <c r="K23" i="10"/>
  <c r="J23" i="16"/>
  <c r="K23" i="16"/>
  <c r="J23" i="15"/>
  <c r="K23" i="15"/>
  <c r="J22" i="13"/>
  <c r="K22" i="13"/>
  <c r="J22" i="17"/>
  <c r="K22" i="17"/>
  <c r="J22" i="9"/>
  <c r="K22" i="9"/>
  <c r="N23" i="2"/>
  <c r="J22" i="10"/>
  <c r="K22" i="10"/>
  <c r="J22" i="15"/>
  <c r="K22" i="15"/>
  <c r="J22" i="16"/>
  <c r="K22" i="16"/>
  <c r="J22" i="8"/>
  <c r="K22" i="8"/>
  <c r="J22" i="14"/>
  <c r="K22" i="14"/>
  <c r="J21" i="11"/>
  <c r="K21" i="11"/>
  <c r="J21" i="10"/>
  <c r="K21" i="10"/>
  <c r="J21" i="13"/>
  <c r="K21" i="13"/>
  <c r="J21" i="14"/>
  <c r="K21" i="14"/>
  <c r="J21" i="16"/>
  <c r="K21" i="16"/>
  <c r="J21" i="9"/>
  <c r="K21" i="9"/>
  <c r="N22" i="2"/>
  <c r="J21" i="17"/>
  <c r="K21" i="17"/>
  <c r="J21" i="8"/>
  <c r="K21" i="8"/>
  <c r="J20" i="8"/>
  <c r="K20" i="8"/>
  <c r="N21" i="2"/>
  <c r="J20" i="13"/>
  <c r="K20" i="13"/>
  <c r="J20" i="14"/>
  <c r="K20" i="14"/>
  <c r="J20" i="16"/>
  <c r="K20" i="16"/>
  <c r="J20" i="10"/>
  <c r="K20" i="10"/>
  <c r="J20" i="9"/>
  <c r="K20" i="9"/>
  <c r="J20" i="15"/>
  <c r="K20" i="15"/>
  <c r="J20" i="17"/>
  <c r="K20" i="17"/>
  <c r="J19" i="13"/>
  <c r="K19" i="13"/>
  <c r="J19" i="10"/>
  <c r="K19" i="10"/>
  <c r="J19" i="12"/>
  <c r="K19" i="12"/>
  <c r="J19" i="14"/>
  <c r="K19" i="14"/>
  <c r="J19" i="8"/>
  <c r="K19" i="8"/>
  <c r="J19" i="17"/>
  <c r="K19" i="17"/>
  <c r="N20" i="2"/>
  <c r="J19" i="9"/>
  <c r="K19" i="9"/>
  <c r="J19" i="16"/>
  <c r="K19" i="16"/>
  <c r="J18" i="16"/>
  <c r="K18" i="16"/>
  <c r="J18" i="13"/>
  <c r="K18" i="13"/>
  <c r="J18" i="12"/>
  <c r="K18" i="12"/>
  <c r="J18" i="8"/>
  <c r="K18" i="8"/>
  <c r="J18" i="9"/>
  <c r="K18" i="9"/>
  <c r="J18" i="14"/>
  <c r="K18" i="14"/>
  <c r="N19" i="2"/>
  <c r="J18" i="10"/>
  <c r="K18" i="10"/>
  <c r="J18" i="17"/>
  <c r="K18" i="17"/>
  <c r="J17" i="12"/>
  <c r="K17" i="12"/>
  <c r="J17" i="16"/>
  <c r="K17" i="16"/>
  <c r="J17" i="9"/>
  <c r="K17" i="9"/>
  <c r="J17" i="13"/>
  <c r="K17" i="13"/>
  <c r="N18" i="2"/>
  <c r="J17" i="17"/>
  <c r="K17" i="17"/>
  <c r="J17" i="8"/>
  <c r="K17" i="8"/>
  <c r="J17" i="14"/>
  <c r="K17" i="14"/>
  <c r="J17" i="10"/>
  <c r="K17" i="10"/>
  <c r="J16" i="13"/>
  <c r="K16" i="13"/>
  <c r="J16" i="15"/>
  <c r="K16" i="15"/>
  <c r="J16" i="12"/>
  <c r="K16" i="12"/>
  <c r="J16" i="10"/>
  <c r="K16" i="10"/>
  <c r="J16" i="9"/>
  <c r="K16" i="9"/>
  <c r="J16" i="14"/>
  <c r="K16" i="14"/>
  <c r="J16" i="8"/>
  <c r="K16" i="8"/>
  <c r="J16" i="17"/>
  <c r="K16" i="17"/>
  <c r="J16" i="16"/>
  <c r="K16" i="16"/>
  <c r="N17" i="2"/>
  <c r="J15" i="17"/>
  <c r="K15" i="17"/>
  <c r="N16" i="2"/>
  <c r="J15" i="14"/>
  <c r="K15" i="14"/>
  <c r="J15" i="10"/>
  <c r="K15" i="10"/>
  <c r="J15" i="16"/>
  <c r="K15" i="16"/>
  <c r="J15" i="13"/>
  <c r="K15" i="13"/>
  <c r="J15" i="12"/>
  <c r="K15" i="12"/>
  <c r="J15" i="8"/>
  <c r="K15" i="8"/>
  <c r="J15" i="9"/>
  <c r="K15" i="9"/>
  <c r="J14" i="11"/>
  <c r="K14" i="11"/>
  <c r="J14" i="12"/>
  <c r="K14" i="12"/>
  <c r="J14" i="8"/>
  <c r="K14" i="8"/>
  <c r="J14" i="14"/>
  <c r="K14" i="14"/>
  <c r="J14" i="15"/>
  <c r="K14" i="15"/>
  <c r="J14" i="10"/>
  <c r="K14" i="10"/>
  <c r="J14" i="16"/>
  <c r="K14" i="16"/>
  <c r="J14" i="9"/>
  <c r="K14" i="9"/>
  <c r="J14" i="13"/>
  <c r="K14" i="13"/>
  <c r="J14" i="17"/>
  <c r="K14" i="17"/>
  <c r="N15" i="2"/>
  <c r="J13" i="10"/>
  <c r="K13" i="10"/>
  <c r="J13" i="16"/>
  <c r="K13" i="16"/>
  <c r="J13" i="13"/>
  <c r="K13" i="13"/>
  <c r="J13" i="8"/>
  <c r="K13" i="8"/>
  <c r="J13" i="12"/>
  <c r="K13" i="12"/>
  <c r="J13" i="15"/>
  <c r="K13" i="15"/>
  <c r="J13" i="14"/>
  <c r="K13" i="14"/>
  <c r="N14" i="2"/>
  <c r="J13" i="17"/>
  <c r="K13" i="17"/>
  <c r="J13" i="11"/>
  <c r="K13" i="11"/>
  <c r="J12" i="12"/>
  <c r="K12" i="12"/>
  <c r="J12" i="15"/>
  <c r="K12" i="15"/>
  <c r="J12" i="17"/>
  <c r="K12" i="17"/>
  <c r="J12" i="11"/>
  <c r="K12" i="11"/>
  <c r="J12" i="10"/>
  <c r="K12" i="10"/>
  <c r="J12" i="8"/>
  <c r="K12" i="8"/>
  <c r="J12" i="14"/>
  <c r="K12" i="14"/>
  <c r="J12" i="16"/>
  <c r="K12" i="16"/>
  <c r="J12" i="13"/>
  <c r="K12" i="13"/>
  <c r="N13" i="2"/>
  <c r="J11" i="13"/>
  <c r="K11" i="13"/>
  <c r="N12" i="2"/>
  <c r="J11" i="14"/>
  <c r="K11" i="14"/>
  <c r="J11" i="10"/>
  <c r="K11" i="10"/>
  <c r="J11" i="12"/>
  <c r="K11" i="12"/>
  <c r="J11" i="8"/>
  <c r="K11" i="8"/>
  <c r="J11" i="11"/>
  <c r="K11" i="11"/>
  <c r="J11" i="16"/>
  <c r="K11" i="16"/>
  <c r="J11" i="15"/>
  <c r="K11" i="15"/>
  <c r="N11" i="2"/>
  <c r="J10" i="16"/>
  <c r="K10" i="16"/>
  <c r="J10" i="10"/>
  <c r="K10" i="10"/>
  <c r="J10" i="14"/>
  <c r="K10" i="14"/>
  <c r="J10" i="8"/>
  <c r="K10" i="8"/>
  <c r="J10" i="12"/>
  <c r="K10" i="12"/>
  <c r="J10" i="13"/>
  <c r="K10" i="13"/>
  <c r="J10" i="17"/>
  <c r="K10" i="17"/>
  <c r="J10" i="15"/>
  <c r="K10" i="15"/>
  <c r="J9" i="16"/>
  <c r="K9" i="16"/>
  <c r="J9" i="13"/>
  <c r="K9" i="13"/>
  <c r="J9" i="17"/>
  <c r="K9" i="17"/>
  <c r="J9" i="12"/>
  <c r="K9" i="12"/>
  <c r="J9" i="15"/>
  <c r="K9" i="15"/>
  <c r="J9" i="14"/>
  <c r="K9" i="14"/>
  <c r="J9" i="10"/>
  <c r="K9" i="10"/>
  <c r="N10" i="2"/>
  <c r="J8" i="10"/>
  <c r="K8" i="10"/>
  <c r="J8" i="11"/>
  <c r="K8" i="11"/>
  <c r="J8" i="9"/>
  <c r="K8" i="9"/>
  <c r="J8" i="13"/>
  <c r="K8" i="13"/>
  <c r="J8" i="8"/>
  <c r="K8" i="8"/>
  <c r="J8" i="12"/>
  <c r="K8" i="12"/>
  <c r="J8" i="15"/>
  <c r="K8" i="15"/>
  <c r="J8" i="16"/>
  <c r="K8" i="16"/>
  <c r="J8" i="14"/>
  <c r="K8" i="14"/>
  <c r="J8" i="17"/>
  <c r="K8" i="17"/>
  <c r="J7" i="10"/>
  <c r="K7" i="10"/>
  <c r="J7" i="12"/>
  <c r="K7" i="12"/>
  <c r="J7" i="11"/>
  <c r="K7" i="11"/>
  <c r="J7" i="14"/>
  <c r="K7" i="14"/>
  <c r="N8" i="2"/>
  <c r="J7" i="16"/>
  <c r="K7" i="16"/>
  <c r="J7" i="15"/>
  <c r="K7" i="15"/>
  <c r="J7" i="17"/>
  <c r="K7" i="17"/>
  <c r="J7" i="13"/>
  <c r="K7" i="13"/>
  <c r="J6" i="14"/>
  <c r="K6" i="14"/>
  <c r="J6" i="16"/>
  <c r="K6" i="16"/>
  <c r="J6" i="10"/>
  <c r="K6" i="10"/>
  <c r="J6" i="11"/>
  <c r="K6" i="11"/>
  <c r="J6" i="9"/>
  <c r="K6" i="9"/>
  <c r="J6" i="15"/>
  <c r="K6" i="15"/>
  <c r="J6" i="13"/>
  <c r="K6" i="13"/>
  <c r="J6" i="17"/>
  <c r="K6" i="17"/>
  <c r="J6" i="8"/>
  <c r="K6" i="8"/>
  <c r="J6" i="12"/>
  <c r="K6" i="12"/>
  <c r="J5" i="15"/>
  <c r="K5" i="15"/>
  <c r="J5" i="14"/>
  <c r="K5" i="14"/>
  <c r="J5" i="9"/>
  <c r="K5" i="9"/>
  <c r="J5" i="8"/>
  <c r="K5" i="8"/>
  <c r="J5" i="13"/>
  <c r="K5" i="13"/>
  <c r="J5" i="11"/>
  <c r="K5" i="11"/>
  <c r="J5" i="16"/>
  <c r="K5" i="16"/>
  <c r="J5" i="17"/>
  <c r="K5" i="17"/>
  <c r="J5" i="12"/>
  <c r="K5" i="12"/>
  <c r="J5" i="10"/>
  <c r="K5" i="10"/>
  <c r="N6" i="2"/>
  <c r="S56" i="12"/>
  <c r="R55" i="12"/>
  <c r="R51" i="12"/>
  <c r="R21" i="12"/>
  <c r="S16" i="12"/>
  <c r="S9" i="12"/>
  <c r="R8" i="12"/>
  <c r="S6" i="12"/>
  <c r="R48" i="11"/>
  <c r="R8" i="9"/>
  <c r="R56" i="12"/>
  <c r="R50" i="12"/>
  <c r="S49" i="12"/>
  <c r="S20" i="12"/>
  <c r="R20" i="12"/>
  <c r="S14" i="12"/>
  <c r="R14" i="12"/>
  <c r="R9" i="12"/>
  <c r="R7" i="12"/>
  <c r="R6" i="12"/>
  <c r="R49" i="12"/>
  <c r="S48" i="12"/>
  <c r="R48" i="12"/>
  <c r="S44" i="12"/>
  <c r="R44" i="12"/>
  <c r="S43" i="12"/>
  <c r="R43" i="12"/>
  <c r="S42" i="12"/>
  <c r="R42" i="12"/>
  <c r="S41" i="12"/>
  <c r="R41" i="12"/>
  <c r="S37" i="12"/>
  <c r="R37" i="12"/>
  <c r="S36" i="12"/>
  <c r="R36" i="12"/>
  <c r="S35" i="12"/>
  <c r="R35" i="12"/>
  <c r="S34" i="12"/>
  <c r="R34" i="12"/>
  <c r="S30" i="12"/>
  <c r="R30" i="12"/>
  <c r="S29" i="12"/>
  <c r="R29" i="12"/>
  <c r="S28" i="12"/>
  <c r="R28" i="12"/>
  <c r="S27" i="12"/>
  <c r="R27" i="12"/>
  <c r="R23" i="12"/>
  <c r="S22" i="12"/>
  <c r="R49" i="11"/>
  <c r="S50" i="11"/>
  <c r="R50" i="11"/>
  <c r="S51" i="11"/>
  <c r="R51" i="11"/>
  <c r="S27" i="11"/>
  <c r="R27" i="11"/>
  <c r="S28" i="11"/>
  <c r="R28" i="11"/>
  <c r="S29" i="11"/>
  <c r="R29" i="11"/>
  <c r="S30" i="11"/>
  <c r="R30" i="11"/>
  <c r="R6" i="11"/>
  <c r="S7" i="11"/>
  <c r="R7" i="11"/>
  <c r="S8" i="11"/>
  <c r="R8" i="11"/>
  <c r="S9" i="11"/>
  <c r="R9" i="11"/>
  <c r="S13" i="11"/>
  <c r="R13" i="11"/>
  <c r="S14" i="11"/>
  <c r="R14" i="11"/>
  <c r="S15" i="11"/>
  <c r="R15" i="11"/>
  <c r="S16" i="11"/>
  <c r="R16" i="11"/>
  <c r="S20" i="11"/>
  <c r="R20" i="11"/>
  <c r="S21" i="11"/>
  <c r="R21" i="11"/>
  <c r="S22" i="11"/>
  <c r="R22" i="11"/>
  <c r="S23" i="11"/>
  <c r="R23" i="11"/>
  <c r="S34" i="11"/>
  <c r="R34" i="11"/>
  <c r="S35" i="11"/>
  <c r="R35" i="11"/>
  <c r="S36" i="11"/>
  <c r="R36" i="11"/>
  <c r="S37" i="11"/>
  <c r="R37" i="11"/>
  <c r="S41" i="11"/>
  <c r="R41" i="11"/>
  <c r="S42" i="11"/>
  <c r="R42" i="11"/>
  <c r="S43" i="11"/>
  <c r="R43" i="11"/>
  <c r="S44" i="11"/>
  <c r="R44" i="11"/>
  <c r="S55" i="11"/>
  <c r="S86" i="11"/>
  <c r="R86" i="11"/>
  <c r="R6" i="9"/>
  <c r="S51" i="12"/>
  <c r="R15" i="12"/>
  <c r="R13" i="12"/>
  <c r="J107" i="18"/>
  <c r="K107" i="18"/>
  <c r="J106" i="18"/>
  <c r="K106" i="18"/>
  <c r="J105" i="18"/>
  <c r="K105" i="18"/>
  <c r="J104" i="18"/>
  <c r="K104" i="18"/>
  <c r="J103" i="18"/>
  <c r="K103" i="18"/>
  <c r="J102" i="18"/>
  <c r="K102" i="18"/>
  <c r="J101" i="18"/>
  <c r="K101" i="18"/>
  <c r="J100" i="18"/>
  <c r="K100" i="18"/>
  <c r="J99" i="18"/>
  <c r="K99" i="18"/>
  <c r="J98" i="18"/>
  <c r="K98" i="18"/>
  <c r="J97" i="18"/>
  <c r="K97" i="18"/>
  <c r="J96" i="18"/>
  <c r="K96" i="18"/>
  <c r="J95" i="18"/>
  <c r="K95" i="18"/>
  <c r="J94" i="18"/>
  <c r="K94" i="18"/>
  <c r="J93" i="18"/>
  <c r="K93" i="18"/>
  <c r="J92" i="18"/>
  <c r="K92" i="18"/>
  <c r="J91" i="18"/>
  <c r="K91" i="18"/>
  <c r="J90" i="18"/>
  <c r="K90" i="18"/>
  <c r="J89" i="18"/>
  <c r="K89" i="18"/>
  <c r="J88" i="18"/>
  <c r="K88" i="18"/>
  <c r="J87" i="18"/>
  <c r="K87" i="18"/>
  <c r="J4" i="18"/>
  <c r="K4" i="18"/>
  <c r="J4" i="14"/>
  <c r="K4" i="14"/>
  <c r="J4" i="17"/>
  <c r="K4" i="17"/>
  <c r="J4" i="4"/>
  <c r="K4" i="4"/>
  <c r="J4" i="12"/>
  <c r="K4" i="12"/>
  <c r="J4" i="10"/>
  <c r="K4" i="10"/>
  <c r="J4" i="16"/>
  <c r="K4" i="16"/>
  <c r="J4" i="13"/>
  <c r="K4" i="13"/>
  <c r="N5" i="2"/>
  <c r="E77" i="4" a="1"/>
  <c r="R41" i="2"/>
  <c r="Q41" i="2"/>
  <c r="S37" i="2"/>
  <c r="Q37" i="2"/>
  <c r="U37" i="2"/>
  <c r="T37" i="2"/>
  <c r="R37" i="2"/>
  <c r="Q36" i="2"/>
  <c r="R36" i="2"/>
  <c r="U36" i="2"/>
  <c r="T36" i="2"/>
  <c r="S36" i="2"/>
  <c r="R35" i="2"/>
  <c r="S35" i="2"/>
  <c r="T35" i="2"/>
  <c r="U35" i="2"/>
  <c r="Q35" i="2"/>
  <c r="T34" i="2"/>
  <c r="U34" i="2"/>
  <c r="S34" i="2"/>
  <c r="R34" i="2"/>
  <c r="Q34" i="2"/>
  <c r="T30" i="2"/>
  <c r="S30" i="2"/>
  <c r="R30" i="2"/>
  <c r="Q30" i="2"/>
  <c r="U30" i="2"/>
  <c r="U29" i="2"/>
  <c r="Q29" i="2"/>
  <c r="T29" i="2"/>
  <c r="S29" i="2"/>
  <c r="R29" i="2"/>
  <c r="R28" i="2"/>
  <c r="U28" i="2"/>
  <c r="T28" i="2"/>
  <c r="S28" i="2"/>
  <c r="Q28" i="2"/>
  <c r="U27" i="2"/>
  <c r="R27" i="2"/>
  <c r="Q27" i="2"/>
  <c r="S27" i="2"/>
  <c r="T27" i="2"/>
  <c r="T23" i="2"/>
  <c r="S23" i="2"/>
  <c r="R23" i="2"/>
  <c r="U23" i="2"/>
  <c r="Q23" i="2"/>
  <c r="T22" i="2"/>
  <c r="U22" i="2"/>
  <c r="S22" i="2"/>
  <c r="R22" i="2"/>
  <c r="Q22" i="2"/>
  <c r="R20" i="2"/>
  <c r="Q20" i="2"/>
  <c r="U20" i="2"/>
  <c r="T20" i="2"/>
  <c r="S20" i="2"/>
  <c r="U16" i="2"/>
  <c r="S16" i="2"/>
  <c r="R16" i="2"/>
  <c r="Q16" i="2"/>
  <c r="T16" i="2"/>
  <c r="U15" i="2"/>
  <c r="Q15" i="2"/>
  <c r="R15" i="2"/>
  <c r="S15" i="2"/>
  <c r="T15" i="2"/>
  <c r="Q14" i="2"/>
  <c r="S14" i="2"/>
  <c r="T14" i="2"/>
  <c r="U14" i="2"/>
  <c r="R14" i="2"/>
  <c r="R13" i="2"/>
  <c r="S13" i="2"/>
  <c r="T13" i="2"/>
  <c r="U13" i="2"/>
  <c r="Q13" i="2"/>
  <c r="Q9" i="2"/>
  <c r="U9" i="2"/>
  <c r="T9" i="2"/>
  <c r="S9" i="2"/>
  <c r="R9" i="2"/>
  <c r="S8" i="2"/>
  <c r="Q8" i="2"/>
  <c r="R8" i="2"/>
  <c r="U8" i="2"/>
  <c r="T8" i="2"/>
  <c r="U7" i="2"/>
  <c r="T7" i="2"/>
  <c r="R7" i="2"/>
  <c r="S7" i="2"/>
  <c r="Q7" i="2"/>
  <c r="U6" i="2"/>
  <c r="Q6" i="2"/>
  <c r="R6" i="2"/>
  <c r="S6" i="2"/>
  <c r="T6" i="2"/>
  <c r="K66" i="17"/>
  <c r="K54" i="17"/>
  <c r="K59" i="16"/>
  <c r="K37" i="15"/>
  <c r="K56" i="17"/>
  <c r="K55" i="17"/>
  <c r="K52" i="17"/>
  <c r="K49" i="17"/>
  <c r="K71" i="15"/>
  <c r="K66" i="15"/>
  <c r="K43" i="15"/>
  <c r="K68" i="15"/>
  <c r="K40" i="15"/>
  <c r="K38" i="15"/>
  <c r="K76" i="14"/>
  <c r="K75" i="14"/>
  <c r="K74" i="14"/>
  <c r="K72" i="14"/>
  <c r="K71" i="14"/>
  <c r="K69" i="14"/>
  <c r="K67" i="14"/>
  <c r="K66" i="14"/>
  <c r="K65" i="14"/>
  <c r="K64" i="14"/>
  <c r="K63" i="14"/>
  <c r="K62" i="14"/>
  <c r="K59" i="14"/>
  <c r="K58" i="14"/>
  <c r="K56" i="14"/>
  <c r="K54" i="14"/>
  <c r="K53" i="14"/>
  <c r="K51" i="14"/>
  <c r="K42" i="15"/>
  <c r="K71" i="9"/>
  <c r="K27" i="15"/>
  <c r="K25" i="15"/>
  <c r="K19" i="15"/>
  <c r="K18" i="15"/>
  <c r="K17" i="15"/>
  <c r="K15" i="15"/>
  <c r="K4" i="15"/>
  <c r="K107" i="13"/>
  <c r="K105" i="13"/>
  <c r="K104" i="13"/>
  <c r="K103" i="13"/>
  <c r="K102" i="13"/>
  <c r="K101" i="13"/>
  <c r="K100" i="13"/>
  <c r="K99" i="13"/>
  <c r="K98" i="13"/>
  <c r="K97" i="13"/>
  <c r="K96" i="13"/>
  <c r="K95" i="13"/>
  <c r="K94" i="13"/>
  <c r="K93" i="13"/>
  <c r="K92" i="13"/>
  <c r="K91" i="13"/>
  <c r="K90" i="13"/>
  <c r="K89" i="13"/>
  <c r="K88" i="13"/>
  <c r="K87" i="13"/>
  <c r="K82" i="13"/>
  <c r="K80" i="13"/>
  <c r="S86" i="12"/>
  <c r="R86" i="12"/>
  <c r="S84" i="12"/>
  <c r="R79" i="12"/>
  <c r="T79" i="12"/>
  <c r="S78" i="12"/>
  <c r="R78" i="12"/>
  <c r="S77" i="12"/>
  <c r="R77" i="12"/>
  <c r="S76" i="12"/>
  <c r="R76" i="12"/>
  <c r="S72" i="12"/>
  <c r="R72" i="12"/>
  <c r="S71" i="12"/>
  <c r="R71" i="12"/>
  <c r="S69" i="12"/>
  <c r="R64" i="12"/>
  <c r="T64" i="12"/>
  <c r="S63" i="12"/>
  <c r="R63" i="12"/>
  <c r="S62" i="12"/>
  <c r="R62" i="12"/>
  <c r="S58" i="12"/>
  <c r="R58" i="12"/>
  <c r="K80" i="8"/>
  <c r="K79" i="9"/>
  <c r="S56" i="11"/>
  <c r="T56" i="11"/>
  <c r="R57" i="11"/>
  <c r="R63" i="11"/>
  <c r="S65" i="11"/>
  <c r="R65" i="11"/>
  <c r="S70" i="11"/>
  <c r="R70" i="11"/>
  <c r="S72" i="11"/>
  <c r="R72" i="11"/>
  <c r="S77" i="11"/>
  <c r="R77" i="11"/>
  <c r="S79" i="11"/>
  <c r="R79" i="11"/>
  <c r="S83" i="11"/>
  <c r="R84" i="11"/>
  <c r="T43" i="17"/>
  <c r="T37" i="17"/>
  <c r="T77" i="17"/>
  <c r="T84" i="11"/>
  <c r="T79" i="17"/>
  <c r="T72" i="17"/>
  <c r="T70" i="17"/>
  <c r="T65" i="17"/>
  <c r="T64" i="17"/>
  <c r="T69" i="12"/>
  <c r="T63" i="11"/>
  <c r="T84" i="12"/>
  <c r="T62" i="11"/>
  <c r="AA14" i="17" a="1"/>
  <c r="X14" i="17" a="1"/>
  <c r="Z14" i="17" a="1"/>
  <c r="Y14" i="17" a="1"/>
  <c r="AA10" i="17" a="1"/>
  <c r="X10" i="17" a="1"/>
  <c r="Y10" i="17" a="1"/>
  <c r="Z10" i="17" a="1"/>
  <c r="T14" i="17"/>
  <c r="T23" i="15"/>
  <c r="T62" i="17"/>
  <c r="T86" i="17"/>
  <c r="T34" i="17"/>
  <c r="T30" i="17"/>
  <c r="T23" i="17"/>
  <c r="T36" i="15"/>
  <c r="T6" i="17"/>
  <c r="T42" i="17"/>
  <c r="T7" i="17"/>
  <c r="T15" i="17"/>
  <c r="W13" i="2"/>
  <c r="T13" i="17"/>
  <c r="T9" i="17"/>
  <c r="T84" i="10"/>
  <c r="T58" i="10"/>
  <c r="T8" i="15"/>
  <c r="T35" i="17"/>
  <c r="T9" i="15"/>
  <c r="V16" i="2"/>
  <c r="T76" i="15"/>
  <c r="T85" i="15"/>
  <c r="T28" i="17"/>
  <c r="T42" i="15"/>
  <c r="T27" i="17"/>
  <c r="T69" i="11"/>
  <c r="T85" i="12"/>
  <c r="T77" i="15"/>
  <c r="T30" i="9"/>
  <c r="T6" i="4"/>
  <c r="T29" i="17"/>
  <c r="T85" i="10"/>
  <c r="V27" i="2"/>
  <c r="T63" i="17"/>
  <c r="T83" i="15"/>
  <c r="T69" i="17"/>
  <c r="T79" i="10"/>
  <c r="W28" i="2"/>
  <c r="T64" i="15"/>
  <c r="T48" i="15"/>
  <c r="T78" i="10"/>
  <c r="T16" i="9"/>
  <c r="T16" i="17"/>
  <c r="T70" i="10"/>
  <c r="T23" i="9"/>
  <c r="T56" i="9"/>
  <c r="T15" i="15"/>
  <c r="V6" i="2"/>
  <c r="T22" i="17"/>
  <c r="T83" i="9"/>
  <c r="T57" i="15"/>
  <c r="T6" i="10"/>
  <c r="T13" i="4"/>
  <c r="T76" i="10"/>
  <c r="T34" i="9"/>
  <c r="T28" i="15"/>
  <c r="T71" i="10"/>
  <c r="T36" i="4"/>
  <c r="T29" i="4"/>
  <c r="T7" i="15"/>
  <c r="T13" i="15"/>
  <c r="T86" i="9"/>
  <c r="T41" i="15"/>
  <c r="T84" i="4"/>
  <c r="T70" i="15"/>
  <c r="T23" i="4"/>
  <c r="T20" i="4"/>
  <c r="T57" i="17"/>
  <c r="T84" i="15"/>
  <c r="T21" i="10"/>
  <c r="T77" i="4"/>
  <c r="T58" i="9"/>
  <c r="T28" i="9"/>
  <c r="T34" i="15"/>
  <c r="T79" i="4"/>
  <c r="T13" i="10"/>
  <c r="T43" i="10"/>
  <c r="T78" i="15"/>
  <c r="T72" i="15"/>
  <c r="T49" i="15"/>
  <c r="T44" i="10"/>
  <c r="T8" i="17"/>
  <c r="T65" i="15"/>
  <c r="T43" i="15"/>
  <c r="T72" i="10"/>
  <c r="T64" i="10"/>
  <c r="T69" i="4"/>
  <c r="T34" i="4"/>
  <c r="T51" i="10"/>
  <c r="T22" i="15"/>
  <c r="T29" i="10"/>
  <c r="T7" i="9"/>
  <c r="T83" i="4"/>
  <c r="T62" i="4"/>
  <c r="T64" i="4"/>
  <c r="T37" i="10"/>
  <c r="T6" i="9"/>
  <c r="W30" i="2"/>
  <c r="T86" i="4"/>
  <c r="T36" i="17"/>
  <c r="T30" i="15"/>
  <c r="T7" i="10"/>
  <c r="T65" i="4"/>
  <c r="T35" i="10"/>
  <c r="T48" i="4"/>
  <c r="T8" i="4"/>
  <c r="T34" i="10"/>
  <c r="T44" i="9"/>
  <c r="T41" i="4"/>
  <c r="T27" i="15"/>
  <c r="T69" i="15"/>
  <c r="T63" i="15"/>
  <c r="T14" i="15"/>
  <c r="W41" i="2"/>
  <c r="W16" i="2"/>
  <c r="T79" i="15"/>
  <c r="T86" i="15"/>
  <c r="T56" i="15"/>
  <c r="T55" i="15"/>
  <c r="T63" i="10"/>
  <c r="T51" i="9"/>
  <c r="T64" i="9"/>
  <c r="T62" i="9"/>
  <c r="T86" i="10"/>
  <c r="T77" i="10"/>
  <c r="T36" i="10"/>
  <c r="T13" i="9"/>
  <c r="T56" i="17"/>
  <c r="T50" i="9"/>
  <c r="T15" i="9"/>
  <c r="T35" i="15"/>
  <c r="T23" i="12"/>
  <c r="V36" i="2"/>
  <c r="T51" i="15"/>
  <c r="T29" i="15"/>
  <c r="T78" i="11"/>
  <c r="T72" i="4"/>
  <c r="T49" i="10"/>
  <c r="T65" i="9"/>
  <c r="T9" i="10"/>
  <c r="T79" i="9"/>
  <c r="T71" i="15"/>
  <c r="T50" i="15"/>
  <c r="T56" i="4"/>
  <c r="T83" i="10"/>
  <c r="T23" i="10"/>
  <c r="T20" i="10"/>
  <c r="T70" i="9"/>
  <c r="T55" i="10"/>
  <c r="T42" i="10"/>
  <c r="T15" i="10"/>
  <c r="T57" i="4"/>
  <c r="T41" i="10"/>
  <c r="T41" i="9"/>
  <c r="T58" i="15"/>
  <c r="T69" i="9"/>
  <c r="T71" i="4"/>
  <c r="T83" i="12"/>
  <c r="T22" i="4"/>
  <c r="T27" i="10"/>
  <c r="T42" i="9"/>
  <c r="T14" i="4"/>
  <c r="T20" i="15"/>
  <c r="T62" i="10"/>
  <c r="T57" i="9"/>
  <c r="T55" i="4"/>
  <c r="T76" i="4"/>
  <c r="T21" i="9"/>
  <c r="T30" i="10"/>
  <c r="T42" i="4"/>
  <c r="T21" i="15"/>
  <c r="T44" i="15"/>
  <c r="T6" i="15"/>
  <c r="T85" i="4"/>
  <c r="T43" i="4"/>
  <c r="T65" i="12"/>
  <c r="T37" i="9"/>
  <c r="T16" i="15"/>
  <c r="T9" i="4"/>
  <c r="T36" i="9"/>
  <c r="T78" i="9"/>
  <c r="W27" i="2"/>
  <c r="W6" i="2"/>
  <c r="T49" i="4"/>
  <c r="T44" i="4"/>
  <c r="T43" i="9"/>
  <c r="T14" i="9"/>
  <c r="T71" i="9"/>
  <c r="T8" i="12"/>
  <c r="T50" i="10"/>
  <c r="T22" i="10"/>
  <c r="T57" i="10"/>
  <c r="W15" i="2"/>
  <c r="T78" i="4"/>
  <c r="T48" i="11"/>
  <c r="W36" i="2"/>
  <c r="T84" i="9"/>
  <c r="T72" i="9"/>
  <c r="T37" i="4"/>
  <c r="T55" i="9"/>
  <c r="T27" i="9"/>
  <c r="T62" i="15"/>
  <c r="T77" i="9"/>
  <c r="T9" i="9"/>
  <c r="T21" i="4"/>
  <c r="T28" i="10"/>
  <c r="T27" i="4"/>
  <c r="T15" i="4"/>
  <c r="T63" i="9"/>
  <c r="T49" i="9"/>
  <c r="T48" i="10"/>
  <c r="T35" i="9"/>
  <c r="T16" i="10"/>
  <c r="T58" i="4"/>
  <c r="T65" i="10"/>
  <c r="T56" i="10"/>
  <c r="T57" i="12"/>
  <c r="T69" i="10"/>
  <c r="T76" i="11"/>
  <c r="T70" i="12"/>
  <c r="T71" i="11"/>
  <c r="W34" i="2"/>
  <c r="T22" i="9"/>
  <c r="T63" i="4"/>
  <c r="W7" i="2"/>
  <c r="T55" i="12"/>
  <c r="T21" i="12"/>
  <c r="W35" i="2"/>
  <c r="T7" i="12"/>
  <c r="T22" i="12"/>
  <c r="T35" i="4"/>
  <c r="T48" i="9"/>
  <c r="T20" i="9"/>
  <c r="T14" i="10"/>
  <c r="T8" i="10"/>
  <c r="T30" i="4"/>
  <c r="T28" i="4"/>
  <c r="T29" i="9"/>
  <c r="V28" i="2"/>
  <c r="T62" i="12"/>
  <c r="T57" i="11"/>
  <c r="T51" i="4"/>
  <c r="T64" i="11"/>
  <c r="T85" i="9"/>
  <c r="T83" i="11"/>
  <c r="T37" i="15"/>
  <c r="W22" i="2"/>
  <c r="T8" i="9"/>
  <c r="T49" i="11"/>
  <c r="T6" i="11"/>
  <c r="W23" i="2"/>
  <c r="T42" i="11"/>
  <c r="T51" i="12"/>
  <c r="T15" i="12"/>
  <c r="T58" i="11"/>
  <c r="T7" i="4"/>
  <c r="T16" i="4"/>
  <c r="T76" i="9"/>
  <c r="T85" i="11"/>
  <c r="V20" i="2"/>
  <c r="W8" i="2"/>
  <c r="T16" i="12"/>
  <c r="T51" i="11"/>
  <c r="T27" i="11"/>
  <c r="T28" i="11"/>
  <c r="T29" i="11"/>
  <c r="T30" i="11"/>
  <c r="T9" i="11"/>
  <c r="T13" i="11"/>
  <c r="T16" i="11"/>
  <c r="T22" i="11"/>
  <c r="T34" i="11"/>
  <c r="T35" i="11"/>
  <c r="T37" i="11"/>
  <c r="T41" i="11"/>
  <c r="T13" i="12"/>
  <c r="T50" i="12"/>
  <c r="T43" i="12"/>
  <c r="T37" i="12"/>
  <c r="T35" i="12"/>
  <c r="T30" i="12"/>
  <c r="T28" i="12"/>
  <c r="T55" i="11"/>
  <c r="W20" i="2"/>
  <c r="W9" i="2"/>
  <c r="V7" i="2"/>
  <c r="W37" i="2"/>
  <c r="B112" i="11"/>
  <c r="B116" i="11"/>
  <c r="D11" i="5"/>
  <c r="T56" i="12"/>
  <c r="T9" i="12"/>
  <c r="T6" i="12"/>
  <c r="T20" i="12"/>
  <c r="T48" i="12"/>
  <c r="T44" i="12"/>
  <c r="T42" i="12"/>
  <c r="T41" i="12"/>
  <c r="T34" i="12"/>
  <c r="T50" i="11"/>
  <c r="T7" i="11"/>
  <c r="T8" i="11"/>
  <c r="T20" i="11"/>
  <c r="T21" i="11"/>
  <c r="T43" i="11"/>
  <c r="T44" i="11"/>
  <c r="T86" i="11"/>
  <c r="B112" i="13"/>
  <c r="B116" i="13"/>
  <c r="D8" i="5"/>
  <c r="T49" i="12"/>
  <c r="T14" i="12"/>
  <c r="T36" i="12"/>
  <c r="T29" i="12"/>
  <c r="T27" i="12"/>
  <c r="T14" i="11"/>
  <c r="T15" i="11"/>
  <c r="T23" i="11"/>
  <c r="T36" i="11"/>
  <c r="B112" i="12"/>
  <c r="B116" i="12"/>
  <c r="D14" i="5"/>
  <c r="B112" i="16"/>
  <c r="B116" i="16"/>
  <c r="D12" i="5"/>
  <c r="V8" i="2"/>
  <c r="B112" i="9"/>
  <c r="B116" i="9"/>
  <c r="D7" i="5"/>
  <c r="B112" i="15"/>
  <c r="B116" i="15"/>
  <c r="D15" i="5"/>
  <c r="B112" i="14"/>
  <c r="B116" i="14"/>
  <c r="D5" i="5"/>
  <c r="B112" i="4"/>
  <c r="B116" i="4"/>
  <c r="B112" i="10"/>
  <c r="B116" i="10"/>
  <c r="D10" i="5"/>
  <c r="B112" i="8"/>
  <c r="B116" i="8"/>
  <c r="D13" i="5"/>
  <c r="V13" i="2"/>
  <c r="B112" i="17"/>
  <c r="B116" i="17"/>
  <c r="D16" i="5"/>
  <c r="V34" i="2"/>
  <c r="V22" i="2"/>
  <c r="V23" i="2"/>
  <c r="V35" i="2"/>
  <c r="W29" i="2"/>
  <c r="V29" i="2"/>
  <c r="V15" i="2"/>
  <c r="W14" i="2"/>
  <c r="V14" i="2"/>
  <c r="V9" i="2"/>
  <c r="T86" i="12"/>
  <c r="T78" i="12"/>
  <c r="T77" i="12"/>
  <c r="T76" i="12"/>
  <c r="T72" i="12"/>
  <c r="T71" i="12"/>
  <c r="T63" i="12"/>
  <c r="T58" i="12"/>
  <c r="T65" i="11"/>
  <c r="T70" i="11"/>
  <c r="T72" i="11"/>
  <c r="T77" i="11"/>
  <c r="T79" i="11"/>
  <c r="V30" i="2"/>
  <c r="V37" i="2"/>
  <c r="E80" i="4" a="1"/>
  <c r="E82" i="4" a="1"/>
  <c r="B112" i="18"/>
  <c r="B116" i="18"/>
  <c r="D4" i="5"/>
  <c r="AA15" i="15" a="1"/>
  <c r="Z15" i="15" a="1"/>
  <c r="X15" i="15" a="1"/>
  <c r="Y15" i="15" a="1"/>
  <c r="Z14" i="15" a="1"/>
  <c r="X14" i="15" a="1"/>
  <c r="AA14" i="15" a="1"/>
  <c r="Y14" i="15" a="1"/>
  <c r="AA13" i="15" a="1"/>
  <c r="Y13" i="15" a="1"/>
  <c r="Z13" i="15" a="1"/>
  <c r="X13" i="15" a="1"/>
  <c r="Z12" i="15" a="1"/>
  <c r="X12" i="15" a="1"/>
  <c r="AA12" i="15" a="1"/>
  <c r="Y12" i="15" a="1"/>
  <c r="AA11" i="15" a="1"/>
  <c r="Y11" i="15" a="1"/>
  <c r="Z11" i="15" a="1"/>
  <c r="X11" i="15" a="1"/>
  <c r="Y10" i="15" a="1"/>
  <c r="X10" i="15" a="1"/>
  <c r="Z10" i="15" a="1"/>
  <c r="AA10" i="15" a="1"/>
  <c r="Y9" i="15" a="1"/>
  <c r="AA9" i="15" a="1"/>
  <c r="Z9" i="15" a="1"/>
  <c r="X9" i="15" a="1"/>
  <c r="AA8" i="15" a="1"/>
  <c r="Z8" i="15" a="1"/>
  <c r="Y8" i="15" a="1"/>
  <c r="X8" i="15" a="1"/>
  <c r="Y7" i="15" a="1"/>
  <c r="AA7" i="15" a="1"/>
  <c r="Z7" i="15" a="1"/>
  <c r="X7" i="15" a="1"/>
  <c r="Z6" i="15" a="1"/>
  <c r="Y6" i="15" a="1"/>
  <c r="AA6" i="15" a="1"/>
  <c r="X6" i="15" a="1"/>
  <c r="AA5" i="15" a="1"/>
  <c r="Y5" i="15" a="1"/>
  <c r="Z5" i="15" a="1"/>
  <c r="X5" i="15" a="1"/>
  <c r="AA4" i="15"/>
  <c r="Z4" i="15" a="1"/>
  <c r="Y4" i="15" a="1"/>
  <c r="X4" i="15" a="1"/>
  <c r="Z11" i="17" a="1"/>
  <c r="Y11" i="17" a="1"/>
  <c r="AA11" i="17" a="1"/>
  <c r="X11" i="17" a="1"/>
  <c r="Z6" i="17" a="1"/>
  <c r="Y9" i="17" a="1"/>
  <c r="AA6" i="17" a="1"/>
  <c r="AA9" i="17" a="1"/>
  <c r="X9" i="17" a="1"/>
  <c r="Y6" i="17" a="1"/>
  <c r="Z9" i="17" a="1"/>
  <c r="X6" i="17" a="1"/>
  <c r="AA15" i="17" a="1"/>
  <c r="Y15" i="17" a="1"/>
  <c r="Z15" i="17" a="1"/>
  <c r="X15" i="17" a="1"/>
  <c r="AA12" i="17" a="1"/>
  <c r="Y12" i="17" a="1"/>
  <c r="Z12" i="17" a="1"/>
  <c r="X12" i="17" a="1"/>
  <c r="AA8" i="17" a="1"/>
  <c r="Y8" i="17" a="1"/>
  <c r="X8" i="17" a="1"/>
  <c r="Z8" i="17" a="1"/>
  <c r="AA4" i="17"/>
  <c r="Y4" i="17" a="1"/>
  <c r="Z4" i="17" a="1"/>
  <c r="X4" i="17" a="1"/>
  <c r="AA5" i="17" a="1"/>
  <c r="Z5" i="17" a="1"/>
  <c r="Y5" i="17" a="1"/>
  <c r="X5" i="17" a="1"/>
  <c r="X7" i="17" a="1"/>
  <c r="AA7" i="17" a="1"/>
  <c r="Z7" i="17" a="1"/>
  <c r="Y7" i="17" a="1"/>
  <c r="Z13" i="17" a="1"/>
  <c r="X13" i="17" a="1"/>
  <c r="Y13" i="17" a="1"/>
  <c r="AA13" i="17" a="1"/>
  <c r="Z15" i="12" a="1"/>
  <c r="Y15" i="12" a="1"/>
  <c r="X15" i="12" a="1"/>
  <c r="AA15" i="12" a="1"/>
  <c r="Y13" i="12" a="1"/>
  <c r="X14" i="12" a="1"/>
  <c r="AA14" i="12" a="1"/>
  <c r="Z14" i="12" a="1"/>
  <c r="Y14" i="12" a="1"/>
  <c r="AA13" i="12" a="1"/>
  <c r="Z13" i="12" a="1"/>
  <c r="X13" i="12" a="1"/>
  <c r="Y12" i="12" a="1"/>
  <c r="Z12" i="12" a="1"/>
  <c r="AA12" i="12" a="1"/>
  <c r="X12" i="12" a="1"/>
  <c r="AA11" i="12" a="1"/>
  <c r="X11" i="12" a="1"/>
  <c r="Z11" i="12" a="1"/>
  <c r="Y11" i="12" a="1"/>
  <c r="Y10" i="12" a="1"/>
  <c r="Z10" i="12" a="1"/>
  <c r="X10" i="12" a="1"/>
  <c r="AA10" i="12" a="1"/>
  <c r="AA9" i="12" a="1"/>
  <c r="X9" i="12" a="1"/>
  <c r="Z9" i="12" a="1"/>
  <c r="Y9" i="12" a="1"/>
  <c r="AA8" i="12" a="1"/>
  <c r="Z8" i="12" a="1"/>
  <c r="X8" i="12" a="1"/>
  <c r="Y8" i="12" a="1"/>
  <c r="Z7" i="12" a="1"/>
  <c r="X7" i="12" a="1"/>
  <c r="Y7" i="12" a="1"/>
  <c r="AA7" i="12" a="1"/>
  <c r="X6" i="12" a="1"/>
  <c r="AA6" i="12" a="1"/>
  <c r="Z6" i="12" a="1"/>
  <c r="Y6" i="12" a="1"/>
  <c r="AA5" i="12" a="1"/>
  <c r="Z5" i="12" a="1"/>
  <c r="X5" i="12" a="1"/>
  <c r="Y5" i="12" a="1"/>
  <c r="AA4" i="12"/>
  <c r="Z4" i="12" a="1"/>
  <c r="Y4" i="12" a="1"/>
  <c r="X4" i="12" a="1"/>
  <c r="Y7" i="9" a="1"/>
  <c r="AA5" i="9" a="1"/>
  <c r="Y8" i="9" a="1"/>
  <c r="AA14" i="10" a="1"/>
  <c r="Z14" i="10" a="1"/>
  <c r="Y14" i="10" a="1"/>
  <c r="X14" i="10" a="1"/>
  <c r="AA15" i="10" a="1"/>
  <c r="Y15" i="10" a="1"/>
  <c r="AA6" i="10" a="1"/>
  <c r="X15" i="10" a="1"/>
  <c r="Z15" i="10" a="1"/>
  <c r="AA8" i="10" a="1"/>
  <c r="Y8" i="10" a="1"/>
  <c r="X8" i="10" a="1"/>
  <c r="Z8" i="10" a="1"/>
  <c r="X7" i="9" a="1"/>
  <c r="X13" i="10" a="1"/>
  <c r="X9" i="10" a="1"/>
  <c r="Z9" i="10" a="1"/>
  <c r="Y13" i="10" a="1"/>
  <c r="AA13" i="10" a="1"/>
  <c r="Z13" i="10" a="1"/>
  <c r="Y9" i="10" a="1"/>
  <c r="AA9" i="10" a="1"/>
  <c r="AA7" i="11" a="1"/>
  <c r="AA7" i="9" a="1"/>
  <c r="Z7" i="10" a="1"/>
  <c r="X7" i="10" a="1"/>
  <c r="Y7" i="10" a="1"/>
  <c r="X8" i="9" a="1"/>
  <c r="AA8" i="9" a="1"/>
  <c r="AA7" i="10" a="1"/>
  <c r="Z8" i="9" a="1"/>
  <c r="Z9" i="9" a="1"/>
  <c r="Y9" i="9" a="1"/>
  <c r="AA9" i="9" a="1"/>
  <c r="X9" i="9" a="1"/>
  <c r="X5" i="9" a="1"/>
  <c r="Y5" i="9" a="1"/>
  <c r="Z5" i="9" a="1"/>
  <c r="X13" i="9" a="1"/>
  <c r="AA13" i="9" a="1"/>
  <c r="X11" i="10" a="1"/>
  <c r="AA11" i="10" a="1"/>
  <c r="Z6" i="10" a="1"/>
  <c r="Y6" i="10" a="1"/>
  <c r="X6" i="10" a="1"/>
  <c r="X11" i="9" a="1"/>
  <c r="Y11" i="9" a="1"/>
  <c r="AA11" i="9" a="1"/>
  <c r="Z11" i="9" a="1"/>
  <c r="AA10" i="10" a="1"/>
  <c r="Y10" i="10" a="1"/>
  <c r="Z10" i="10" a="1"/>
  <c r="X10" i="10" a="1"/>
  <c r="AA12" i="10" a="1"/>
  <c r="Z12" i="10" a="1"/>
  <c r="Y12" i="10" a="1"/>
  <c r="X12" i="10" a="1"/>
  <c r="Z7" i="9" a="1"/>
  <c r="Z9" i="11" a="1"/>
  <c r="AA5" i="11" a="1"/>
  <c r="Z13" i="9" a="1"/>
  <c r="Y13" i="9" a="1"/>
  <c r="X5" i="11" a="1"/>
  <c r="Z8" i="11" a="1"/>
  <c r="X12" i="9" a="1"/>
  <c r="Y12" i="9" a="1"/>
  <c r="AA12" i="9" a="1"/>
  <c r="Z12" i="9" a="1"/>
  <c r="Z11" i="10" a="1"/>
  <c r="Y11" i="10" a="1"/>
  <c r="Z4" i="9" a="1"/>
  <c r="X4" i="9" a="1"/>
  <c r="AA4" i="9"/>
  <c r="Y4" i="9" a="1"/>
  <c r="X7" i="11" a="1"/>
  <c r="Z7" i="11" a="1"/>
  <c r="Y7" i="11" a="1"/>
  <c r="AA8" i="11" a="1"/>
  <c r="Y8" i="11" a="1"/>
  <c r="X8" i="11" a="1"/>
  <c r="Y5" i="11" a="1"/>
  <c r="AA13" i="11" a="1"/>
  <c r="Z15" i="9" a="1"/>
  <c r="Y15" i="9" a="1"/>
  <c r="X15" i="9" a="1"/>
  <c r="AA15" i="9" a="1"/>
  <c r="X15" i="11" a="1"/>
  <c r="Y15" i="11" a="1"/>
  <c r="X10" i="9" a="1"/>
  <c r="Z10" i="9" a="1"/>
  <c r="AA10" i="9" a="1"/>
  <c r="Y10" i="9" a="1"/>
  <c r="Y6" i="9" a="1"/>
  <c r="AA6" i="9" a="1"/>
  <c r="Z6" i="9" a="1"/>
  <c r="X6" i="9" a="1"/>
  <c r="Y5" i="10" a="1"/>
  <c r="Z5" i="10" a="1"/>
  <c r="AA5" i="10" a="1"/>
  <c r="X5" i="10" a="1"/>
  <c r="X4" i="10" a="1"/>
  <c r="AA4" i="10"/>
  <c r="Y4" i="10" a="1"/>
  <c r="Z4" i="10" a="1"/>
  <c r="Z5" i="11" a="1"/>
  <c r="X11" i="11" a="1"/>
  <c r="Z11" i="11" a="1"/>
  <c r="AA11" i="11" a="1"/>
  <c r="Y11" i="11" a="1"/>
  <c r="AA12" i="11" a="1"/>
  <c r="X12" i="11" a="1"/>
  <c r="Y12" i="11" a="1"/>
  <c r="Z12" i="11" a="1"/>
  <c r="Z14" i="9" a="1"/>
  <c r="X14" i="9" a="1"/>
  <c r="AA14" i="9" a="1"/>
  <c r="Y14" i="9" a="1"/>
  <c r="Y10" i="11" a="1"/>
  <c r="Z10" i="11" a="1"/>
  <c r="X10" i="11" a="1"/>
  <c r="AA10" i="11" a="1"/>
  <c r="Y9" i="11" a="1"/>
  <c r="AA9" i="11" a="1"/>
  <c r="X9" i="11" a="1"/>
  <c r="AA15" i="11" a="1"/>
  <c r="Z15" i="11" a="1"/>
  <c r="AA4" i="11"/>
  <c r="Z4" i="11" a="1"/>
  <c r="Y4" i="11" a="1"/>
  <c r="X4" i="11" a="1"/>
  <c r="AA6" i="11" a="1"/>
  <c r="Y6" i="11" a="1"/>
  <c r="Z6" i="11" a="1"/>
  <c r="X6" i="11" a="1"/>
  <c r="Z13" i="11" a="1"/>
  <c r="Y13" i="11" a="1"/>
  <c r="X13" i="11" a="1"/>
  <c r="AA14" i="11" a="1"/>
  <c r="Z14" i="11" a="1"/>
  <c r="Y14" i="11" a="1"/>
  <c r="X14" i="11" a="1"/>
  <c r="E83" i="4" a="1"/>
  <c r="AB15" i="15"/>
  <c r="AB14" i="15"/>
  <c r="AB13" i="15"/>
  <c r="AB12" i="15"/>
  <c r="AB11" i="15"/>
  <c r="AB10" i="15"/>
  <c r="AB4" i="15"/>
  <c r="AB9" i="15"/>
  <c r="AB8" i="15"/>
  <c r="AB7" i="15"/>
  <c r="AB6" i="15"/>
  <c r="AB5" i="15"/>
  <c r="AB5" i="17"/>
  <c r="AB11" i="17"/>
  <c r="AB9" i="17"/>
  <c r="AB10" i="17"/>
  <c r="AB6" i="17"/>
  <c r="AB14" i="17"/>
  <c r="AB4" i="17"/>
  <c r="AB15" i="17"/>
  <c r="AB12" i="17"/>
  <c r="AB8" i="17"/>
  <c r="AB7" i="17"/>
  <c r="AB13" i="17"/>
  <c r="AB15" i="12"/>
  <c r="AB14" i="12"/>
  <c r="AB13" i="12"/>
  <c r="AB12" i="12"/>
  <c r="AB11" i="12"/>
  <c r="AB10" i="12"/>
  <c r="AB9" i="12"/>
  <c r="AB4" i="12"/>
  <c r="AB8" i="12"/>
  <c r="AB7" i="12"/>
  <c r="AB6" i="12"/>
  <c r="AB5" i="12"/>
  <c r="AB8" i="10"/>
  <c r="AB10" i="9"/>
  <c r="AB14" i="11"/>
  <c r="AB7" i="10"/>
  <c r="AB10" i="10"/>
  <c r="AB6" i="10"/>
  <c r="AB14" i="10"/>
  <c r="AB13" i="10"/>
  <c r="AB15" i="10"/>
  <c r="AB11" i="10"/>
  <c r="AB12" i="10"/>
  <c r="AB9" i="10"/>
  <c r="AB4" i="10"/>
  <c r="AB5" i="10"/>
  <c r="AB10" i="11"/>
  <c r="AB13" i="9"/>
  <c r="AB12" i="9"/>
  <c r="AB11" i="9"/>
  <c r="AB9" i="9"/>
  <c r="AB7" i="9"/>
  <c r="AB5" i="9"/>
  <c r="AB8" i="9"/>
  <c r="AB6" i="9"/>
  <c r="AB4" i="9"/>
  <c r="AB15" i="9"/>
  <c r="AB14" i="9"/>
  <c r="AB15" i="11"/>
  <c r="AB7" i="11"/>
  <c r="AB9" i="11"/>
  <c r="AB8" i="11"/>
  <c r="AB6" i="11"/>
  <c r="AB5" i="11"/>
  <c r="AB4" i="11"/>
  <c r="AB13" i="11"/>
  <c r="AB11" i="11"/>
  <c r="AB12" i="11"/>
  <c r="E84" i="4" a="1"/>
  <c r="E85" i="4" a="1"/>
  <c r="E88" i="4" a="1"/>
  <c r="E90" i="4" a="1"/>
  <c r="R86" i="14"/>
  <c r="S86" i="14"/>
  <c r="T86" i="14"/>
  <c r="R85" i="14"/>
  <c r="S85" i="14"/>
  <c r="T85" i="14"/>
  <c r="R84" i="14"/>
  <c r="S84" i="14"/>
  <c r="T84" i="14"/>
  <c r="R83" i="14"/>
  <c r="S83" i="14"/>
  <c r="T83" i="14"/>
  <c r="R79" i="14"/>
  <c r="S79" i="14"/>
  <c r="T79" i="14"/>
  <c r="R78" i="14"/>
  <c r="S78" i="14"/>
  <c r="T78" i="14"/>
  <c r="R77" i="14"/>
  <c r="S77" i="14"/>
  <c r="T77" i="14"/>
  <c r="R76" i="14"/>
  <c r="S76" i="14"/>
  <c r="T76" i="14"/>
  <c r="R72" i="14"/>
  <c r="S72" i="14"/>
  <c r="T72" i="14"/>
  <c r="R71" i="14"/>
  <c r="S71" i="14"/>
  <c r="T71" i="14"/>
  <c r="R70" i="14"/>
  <c r="S70" i="14"/>
  <c r="T70" i="14"/>
  <c r="R69" i="14"/>
  <c r="S69" i="14"/>
  <c r="T69" i="14"/>
  <c r="R65" i="14"/>
  <c r="S65" i="14"/>
  <c r="T65" i="14"/>
  <c r="R64" i="14"/>
  <c r="S64" i="14"/>
  <c r="T64" i="14"/>
  <c r="R63" i="14"/>
  <c r="S63" i="14"/>
  <c r="T63" i="14"/>
  <c r="R62" i="14"/>
  <c r="S62" i="14"/>
  <c r="T62" i="14"/>
  <c r="R58" i="14"/>
  <c r="S58" i="14"/>
  <c r="T58" i="14"/>
  <c r="R57" i="14"/>
  <c r="S57" i="14"/>
  <c r="T57" i="14"/>
  <c r="R56" i="14"/>
  <c r="S56" i="14"/>
  <c r="T56" i="14"/>
  <c r="R55" i="14"/>
  <c r="S55" i="14"/>
  <c r="T55" i="14"/>
  <c r="R51" i="14"/>
  <c r="S51" i="14"/>
  <c r="T51" i="14"/>
  <c r="R50" i="14"/>
  <c r="S50" i="14"/>
  <c r="T50" i="14"/>
  <c r="R49" i="14"/>
  <c r="S49" i="14"/>
  <c r="T49" i="14"/>
  <c r="R48" i="14"/>
  <c r="S48" i="14"/>
  <c r="T48" i="14"/>
  <c r="R44" i="14"/>
  <c r="S44" i="14"/>
  <c r="T44" i="14"/>
  <c r="R43" i="14"/>
  <c r="S43" i="14"/>
  <c r="T43" i="14"/>
  <c r="R42" i="14"/>
  <c r="S42" i="14"/>
  <c r="T42" i="14"/>
  <c r="R41" i="14"/>
  <c r="S41" i="14"/>
  <c r="T41" i="14"/>
  <c r="R37" i="14"/>
  <c r="S37" i="14"/>
  <c r="T37" i="14"/>
  <c r="R36" i="14"/>
  <c r="S36" i="14"/>
  <c r="T36" i="14"/>
  <c r="R35" i="14"/>
  <c r="S35" i="14"/>
  <c r="T35" i="14"/>
  <c r="R34" i="14"/>
  <c r="S34" i="14"/>
  <c r="T34" i="14"/>
  <c r="R30" i="14"/>
  <c r="S30" i="14"/>
  <c r="T30" i="14"/>
  <c r="R29" i="14"/>
  <c r="S29" i="14"/>
  <c r="T29" i="14"/>
  <c r="R28" i="14"/>
  <c r="S28" i="14"/>
  <c r="T28" i="14"/>
  <c r="R27" i="14"/>
  <c r="S27" i="14"/>
  <c r="T27" i="14"/>
  <c r="R23" i="14"/>
  <c r="S23" i="14"/>
  <c r="T23" i="14"/>
  <c r="R22" i="14"/>
  <c r="S22" i="14"/>
  <c r="T22" i="14"/>
  <c r="R21" i="14"/>
  <c r="S21" i="14"/>
  <c r="T21" i="14"/>
  <c r="R20" i="14"/>
  <c r="S20" i="14"/>
  <c r="T20" i="14"/>
  <c r="R16" i="14"/>
  <c r="S16" i="14"/>
  <c r="T16" i="14"/>
  <c r="R15" i="14"/>
  <c r="S15" i="14"/>
  <c r="T15" i="14"/>
  <c r="R14" i="14"/>
  <c r="S14" i="14"/>
  <c r="T14" i="14"/>
  <c r="R13" i="14"/>
  <c r="S13" i="14"/>
  <c r="T13" i="14"/>
  <c r="R9" i="14"/>
  <c r="S9" i="14"/>
  <c r="T9" i="14"/>
  <c r="R8" i="14"/>
  <c r="S8" i="14"/>
  <c r="T8" i="14"/>
  <c r="R7" i="14"/>
  <c r="S7" i="14"/>
  <c r="T7" i="14"/>
  <c r="R6" i="14"/>
  <c r="S6" i="14"/>
  <c r="T6" i="14"/>
  <c r="R86" i="13"/>
  <c r="S86" i="13"/>
  <c r="T86" i="13"/>
  <c r="R85" i="13"/>
  <c r="S85" i="13"/>
  <c r="T85" i="13"/>
  <c r="R84" i="13"/>
  <c r="S84" i="13"/>
  <c r="T84" i="13"/>
  <c r="R83" i="13"/>
  <c r="S83" i="13"/>
  <c r="T83" i="13"/>
  <c r="R79" i="13"/>
  <c r="S79" i="13"/>
  <c r="T79" i="13"/>
  <c r="R78" i="13"/>
  <c r="S78" i="13"/>
  <c r="T78" i="13"/>
  <c r="R77" i="13"/>
  <c r="S77" i="13"/>
  <c r="T77" i="13"/>
  <c r="R76" i="13"/>
  <c r="S76" i="13"/>
  <c r="T76" i="13"/>
  <c r="R72" i="13"/>
  <c r="S72" i="13"/>
  <c r="T72" i="13"/>
  <c r="R71" i="13"/>
  <c r="S71" i="13"/>
  <c r="T71" i="13"/>
  <c r="R70" i="13"/>
  <c r="S70" i="13"/>
  <c r="T70" i="13"/>
  <c r="R69" i="13"/>
  <c r="S69" i="13"/>
  <c r="T69" i="13"/>
  <c r="R65" i="13"/>
  <c r="S65" i="13"/>
  <c r="T65" i="13"/>
  <c r="R64" i="13"/>
  <c r="S64" i="13"/>
  <c r="T64" i="13"/>
  <c r="R63" i="13"/>
  <c r="S63" i="13"/>
  <c r="T63" i="13"/>
  <c r="R62" i="13"/>
  <c r="S62" i="13"/>
  <c r="T62" i="13"/>
  <c r="R58" i="13"/>
  <c r="S58" i="13"/>
  <c r="T58" i="13"/>
  <c r="R57" i="13"/>
  <c r="S57" i="13"/>
  <c r="T57" i="13"/>
  <c r="R56" i="13"/>
  <c r="S56" i="13"/>
  <c r="T56" i="13"/>
  <c r="R55" i="13"/>
  <c r="S55" i="13"/>
  <c r="T55" i="13"/>
  <c r="R51" i="13"/>
  <c r="S51" i="13"/>
  <c r="T51" i="13"/>
  <c r="R50" i="13"/>
  <c r="S50" i="13"/>
  <c r="T50" i="13"/>
  <c r="R49" i="13"/>
  <c r="S49" i="13"/>
  <c r="T49" i="13"/>
  <c r="R48" i="13"/>
  <c r="S48" i="13"/>
  <c r="T48" i="13"/>
  <c r="R44" i="13"/>
  <c r="S44" i="13"/>
  <c r="T44" i="13"/>
  <c r="R43" i="13"/>
  <c r="S43" i="13"/>
  <c r="T43" i="13"/>
  <c r="R42" i="13"/>
  <c r="S42" i="13"/>
  <c r="T42" i="13"/>
  <c r="R41" i="13"/>
  <c r="S41" i="13"/>
  <c r="T41" i="13"/>
  <c r="R37" i="13"/>
  <c r="S37" i="13"/>
  <c r="T37" i="13"/>
  <c r="R36" i="13"/>
  <c r="S36" i="13"/>
  <c r="T36" i="13"/>
  <c r="R35" i="13"/>
  <c r="S35" i="13"/>
  <c r="T35" i="13"/>
  <c r="R34" i="13"/>
  <c r="S34" i="13"/>
  <c r="T34" i="13"/>
  <c r="R30" i="13"/>
  <c r="S30" i="13"/>
  <c r="T30" i="13"/>
  <c r="R29" i="13"/>
  <c r="S29" i="13"/>
  <c r="T29" i="13"/>
  <c r="R28" i="13"/>
  <c r="S28" i="13"/>
  <c r="T28" i="13"/>
  <c r="R27" i="13"/>
  <c r="S27" i="13"/>
  <c r="T27" i="13"/>
  <c r="R23" i="13"/>
  <c r="S23" i="13"/>
  <c r="T23" i="13"/>
  <c r="R22" i="13"/>
  <c r="S22" i="13"/>
  <c r="T22" i="13"/>
  <c r="R21" i="13"/>
  <c r="S21" i="13"/>
  <c r="T21" i="13"/>
  <c r="R20" i="13"/>
  <c r="S20" i="13"/>
  <c r="T20" i="13"/>
  <c r="R16" i="13"/>
  <c r="S16" i="13"/>
  <c r="T16" i="13"/>
  <c r="R15" i="13"/>
  <c r="S15" i="13"/>
  <c r="T15" i="13"/>
  <c r="R14" i="13"/>
  <c r="S14" i="13"/>
  <c r="T14" i="13"/>
  <c r="R13" i="13"/>
  <c r="S13" i="13"/>
  <c r="T13" i="13"/>
  <c r="R9" i="13"/>
  <c r="S9" i="13"/>
  <c r="T9" i="13"/>
  <c r="R8" i="13"/>
  <c r="S8" i="13"/>
  <c r="T8" i="13"/>
  <c r="R7" i="13"/>
  <c r="S7" i="13"/>
  <c r="T7" i="13"/>
  <c r="R6" i="13"/>
  <c r="S6" i="13"/>
  <c r="T6" i="13"/>
  <c r="R86" i="8"/>
  <c r="S86" i="8"/>
  <c r="T86" i="8"/>
  <c r="R85" i="8"/>
  <c r="S85" i="8"/>
  <c r="T85" i="8"/>
  <c r="R84" i="8"/>
  <c r="S84" i="8"/>
  <c r="T84" i="8"/>
  <c r="R83" i="8"/>
  <c r="S83" i="8"/>
  <c r="T83" i="8"/>
  <c r="R79" i="8"/>
  <c r="S79" i="8"/>
  <c r="T79" i="8"/>
  <c r="R78" i="8"/>
  <c r="S78" i="8"/>
  <c r="T78" i="8"/>
  <c r="R77" i="8"/>
  <c r="S77" i="8"/>
  <c r="T77" i="8"/>
  <c r="R76" i="8"/>
  <c r="S76" i="8"/>
  <c r="T76" i="8"/>
  <c r="R72" i="8"/>
  <c r="S72" i="8"/>
  <c r="T72" i="8"/>
  <c r="R71" i="8"/>
  <c r="S71" i="8"/>
  <c r="T71" i="8"/>
  <c r="R70" i="8"/>
  <c r="S70" i="8"/>
  <c r="T70" i="8"/>
  <c r="R69" i="8"/>
  <c r="S69" i="8"/>
  <c r="T69" i="8"/>
  <c r="R65" i="8"/>
  <c r="S65" i="8"/>
  <c r="T65" i="8"/>
  <c r="R64" i="8"/>
  <c r="S64" i="8"/>
  <c r="T64" i="8"/>
  <c r="R63" i="8"/>
  <c r="S63" i="8"/>
  <c r="T63" i="8"/>
  <c r="R62" i="8"/>
  <c r="S62" i="8"/>
  <c r="T62" i="8"/>
  <c r="R58" i="8"/>
  <c r="S58" i="8"/>
  <c r="T58" i="8"/>
  <c r="R57" i="8"/>
  <c r="S57" i="8"/>
  <c r="T57" i="8"/>
  <c r="R56" i="8"/>
  <c r="S56" i="8"/>
  <c r="T56" i="8"/>
  <c r="R55" i="8"/>
  <c r="S55" i="8"/>
  <c r="T55" i="8"/>
  <c r="R51" i="8"/>
  <c r="S51" i="8"/>
  <c r="T51" i="8"/>
  <c r="R50" i="8"/>
  <c r="S50" i="8"/>
  <c r="T50" i="8"/>
  <c r="R49" i="8"/>
  <c r="S49" i="8"/>
  <c r="T49" i="8"/>
  <c r="R48" i="8"/>
  <c r="S48" i="8"/>
  <c r="T48" i="8"/>
  <c r="R44" i="8"/>
  <c r="S44" i="8"/>
  <c r="T44" i="8"/>
  <c r="R43" i="8"/>
  <c r="S43" i="8"/>
  <c r="T43" i="8"/>
  <c r="R42" i="8"/>
  <c r="S42" i="8"/>
  <c r="T42" i="8"/>
  <c r="R41" i="8"/>
  <c r="S41" i="8"/>
  <c r="T41" i="8"/>
  <c r="R37" i="8"/>
  <c r="S37" i="8"/>
  <c r="T37" i="8"/>
  <c r="R36" i="8"/>
  <c r="S36" i="8"/>
  <c r="T36" i="8"/>
  <c r="R35" i="8"/>
  <c r="S35" i="8"/>
  <c r="T35" i="8"/>
  <c r="R34" i="8"/>
  <c r="S34" i="8"/>
  <c r="T34" i="8"/>
  <c r="R30" i="8"/>
  <c r="S30" i="8"/>
  <c r="T30" i="8"/>
  <c r="R29" i="8"/>
  <c r="S29" i="8"/>
  <c r="T29" i="8"/>
  <c r="R28" i="8"/>
  <c r="S28" i="8"/>
  <c r="T28" i="8"/>
  <c r="R27" i="8"/>
  <c r="S27" i="8"/>
  <c r="T27" i="8"/>
  <c r="R23" i="8"/>
  <c r="S23" i="8"/>
  <c r="T23" i="8"/>
  <c r="R22" i="8"/>
  <c r="S22" i="8"/>
  <c r="T22" i="8"/>
  <c r="R21" i="8"/>
  <c r="S21" i="8"/>
  <c r="T21" i="8"/>
  <c r="R20" i="8"/>
  <c r="S20" i="8"/>
  <c r="T20" i="8"/>
  <c r="R16" i="8"/>
  <c r="S16" i="8"/>
  <c r="T16" i="8"/>
  <c r="R15" i="8"/>
  <c r="S15" i="8"/>
  <c r="T15" i="8"/>
  <c r="R14" i="8"/>
  <c r="S14" i="8"/>
  <c r="T14" i="8"/>
  <c r="R13" i="8"/>
  <c r="S13" i="8"/>
  <c r="T13" i="8"/>
  <c r="R9" i="8"/>
  <c r="S9" i="8"/>
  <c r="T9" i="8"/>
  <c r="R8" i="8"/>
  <c r="S8" i="8"/>
  <c r="T8" i="8"/>
  <c r="R7" i="8"/>
  <c r="S7" i="8"/>
  <c r="T7" i="8"/>
  <c r="R6" i="8"/>
  <c r="S6" i="8"/>
  <c r="T6" i="8"/>
  <c r="R86" i="16"/>
  <c r="S86" i="16"/>
  <c r="T86" i="16"/>
  <c r="R85" i="16"/>
  <c r="S85" i="16"/>
  <c r="T85" i="16"/>
  <c r="R84" i="16"/>
  <c r="S84" i="16"/>
  <c r="T84" i="16"/>
  <c r="R83" i="16"/>
  <c r="S83" i="16"/>
  <c r="T83" i="16"/>
  <c r="R79" i="16"/>
  <c r="S79" i="16"/>
  <c r="T79" i="16"/>
  <c r="R78" i="16"/>
  <c r="S78" i="16"/>
  <c r="T78" i="16"/>
  <c r="R77" i="16"/>
  <c r="S77" i="16"/>
  <c r="R76" i="16"/>
  <c r="S76" i="16"/>
  <c r="T76" i="16"/>
  <c r="R72" i="16"/>
  <c r="S72" i="16"/>
  <c r="T72" i="16"/>
  <c r="R71" i="16"/>
  <c r="S71" i="16"/>
  <c r="R70" i="16"/>
  <c r="S70" i="16"/>
  <c r="T70" i="16"/>
  <c r="R69" i="16"/>
  <c r="S69" i="16"/>
  <c r="T69" i="16"/>
  <c r="R65" i="16"/>
  <c r="S65" i="16"/>
  <c r="T65" i="16"/>
  <c r="R64" i="16"/>
  <c r="S64" i="16"/>
  <c r="T64" i="16"/>
  <c r="R63" i="16"/>
  <c r="S63" i="16"/>
  <c r="T63" i="16"/>
  <c r="R62" i="16"/>
  <c r="S62" i="16"/>
  <c r="R58" i="16"/>
  <c r="S58" i="16"/>
  <c r="T58" i="16"/>
  <c r="R57" i="16"/>
  <c r="S57" i="16"/>
  <c r="T57" i="16"/>
  <c r="R56" i="16"/>
  <c r="S56" i="16"/>
  <c r="T56" i="16"/>
  <c r="R55" i="16"/>
  <c r="S55" i="16"/>
  <c r="T55" i="16"/>
  <c r="R51" i="16"/>
  <c r="S51" i="16"/>
  <c r="T51" i="16"/>
  <c r="R50" i="16"/>
  <c r="S50" i="16"/>
  <c r="T50" i="16"/>
  <c r="R49" i="16"/>
  <c r="S49" i="16"/>
  <c r="T49" i="16"/>
  <c r="R48" i="16"/>
  <c r="S48" i="16"/>
  <c r="T48" i="16"/>
  <c r="R44" i="16"/>
  <c r="S44" i="16"/>
  <c r="T44" i="16"/>
  <c r="R43" i="16"/>
  <c r="S43" i="16"/>
  <c r="T43" i="16"/>
  <c r="R42" i="16"/>
  <c r="S42" i="16"/>
  <c r="T42" i="16"/>
  <c r="R41" i="16"/>
  <c r="S41" i="16"/>
  <c r="T41" i="16"/>
  <c r="R37" i="16"/>
  <c r="S37" i="16"/>
  <c r="T37" i="16"/>
  <c r="R36" i="16"/>
  <c r="S36" i="16"/>
  <c r="T36" i="16"/>
  <c r="R35" i="16"/>
  <c r="S35" i="16"/>
  <c r="T35" i="16"/>
  <c r="R34" i="16"/>
  <c r="S34" i="16"/>
  <c r="T34" i="16"/>
  <c r="R30" i="16"/>
  <c r="S30" i="16"/>
  <c r="T30" i="16"/>
  <c r="R29" i="16"/>
  <c r="S29" i="16"/>
  <c r="T29" i="16"/>
  <c r="R28" i="16"/>
  <c r="S28" i="16"/>
  <c r="T28" i="16"/>
  <c r="R27" i="16"/>
  <c r="S27" i="16"/>
  <c r="T27" i="16"/>
  <c r="R23" i="16"/>
  <c r="S23" i="16"/>
  <c r="T23" i="16"/>
  <c r="R22" i="16"/>
  <c r="S22" i="16"/>
  <c r="T22" i="16"/>
  <c r="R21" i="16"/>
  <c r="S21" i="16"/>
  <c r="T21" i="16"/>
  <c r="R20" i="16"/>
  <c r="S20" i="16"/>
  <c r="T20" i="16"/>
  <c r="R16" i="16"/>
  <c r="S16" i="16"/>
  <c r="T16" i="16"/>
  <c r="R15" i="16"/>
  <c r="S15" i="16"/>
  <c r="T15" i="16"/>
  <c r="R14" i="16"/>
  <c r="S14" i="16"/>
  <c r="T14" i="16"/>
  <c r="R13" i="16"/>
  <c r="S13" i="16"/>
  <c r="T13" i="16"/>
  <c r="R9" i="16"/>
  <c r="S9" i="16"/>
  <c r="T9" i="16"/>
  <c r="R8" i="16"/>
  <c r="S8" i="16"/>
  <c r="T8" i="16"/>
  <c r="R7" i="16"/>
  <c r="S7" i="16"/>
  <c r="T7" i="16"/>
  <c r="R6" i="16"/>
  <c r="S6" i="16"/>
  <c r="T6" i="16"/>
  <c r="Y4" i="16" a="1"/>
  <c r="AA4" i="16"/>
  <c r="Z4" i="16" a="1"/>
  <c r="X4" i="16" a="1"/>
  <c r="AA5" i="16" a="1"/>
  <c r="Z5" i="16" a="1"/>
  <c r="Y5" i="16" a="1"/>
  <c r="X5" i="16" a="1"/>
  <c r="X6" i="16" a="1"/>
  <c r="Y6" i="16" a="1"/>
  <c r="Z6" i="16" a="1"/>
  <c r="AA6" i="16" a="1"/>
  <c r="Z7" i="16" a="1"/>
  <c r="Y7" i="16" a="1"/>
  <c r="X7" i="16" a="1"/>
  <c r="AA7" i="16" a="1"/>
  <c r="Y8" i="16" a="1"/>
  <c r="Z8" i="16" a="1"/>
  <c r="AA8" i="16" a="1"/>
  <c r="X8" i="16" a="1"/>
  <c r="Y9" i="16" a="1"/>
  <c r="X9" i="16" a="1"/>
  <c r="AA9" i="16" a="1"/>
  <c r="Z9" i="16" a="1"/>
  <c r="AA10" i="16" a="1"/>
  <c r="Z10" i="16" a="1"/>
  <c r="X10" i="16" a="1"/>
  <c r="Y10" i="16" a="1"/>
  <c r="AA11" i="16" a="1"/>
  <c r="Z11" i="16" a="1"/>
  <c r="Y11" i="16" a="1"/>
  <c r="X11" i="16" a="1"/>
  <c r="T62" i="16"/>
  <c r="T71" i="16"/>
  <c r="T77" i="16"/>
  <c r="X15" i="16" a="1"/>
  <c r="AA15" i="16" a="1"/>
  <c r="Z15" i="16" a="1"/>
  <c r="Y15" i="16" a="1"/>
  <c r="AA15" i="13" a="1"/>
  <c r="Z15" i="13" a="1"/>
  <c r="Y15" i="13" a="1"/>
  <c r="X15" i="13" a="1"/>
  <c r="AA14" i="13" a="1"/>
  <c r="Z14" i="13" a="1"/>
  <c r="Y14" i="13" a="1"/>
  <c r="X14" i="13" a="1"/>
  <c r="AA13" i="13" a="1"/>
  <c r="Z13" i="13" a="1"/>
  <c r="Y13" i="13" a="1"/>
  <c r="X13" i="13" a="1"/>
  <c r="AA12" i="13" a="1"/>
  <c r="Z12" i="13" a="1"/>
  <c r="Y12" i="13" a="1"/>
  <c r="X12" i="13" a="1"/>
  <c r="AA11" i="13" a="1"/>
  <c r="Z11" i="13" a="1"/>
  <c r="Y11" i="13" a="1"/>
  <c r="X11" i="13" a="1"/>
  <c r="AA10" i="13" a="1"/>
  <c r="Z10" i="13" a="1"/>
  <c r="Y10" i="13" a="1"/>
  <c r="X10" i="13" a="1"/>
  <c r="AA9" i="13" a="1"/>
  <c r="Z9" i="13" a="1"/>
  <c r="Y9" i="13" a="1"/>
  <c r="X9" i="13" a="1"/>
  <c r="AA8" i="13" a="1"/>
  <c r="Z8" i="13" a="1"/>
  <c r="Y8" i="13" a="1"/>
  <c r="X8" i="13" a="1"/>
  <c r="AA7" i="13" a="1"/>
  <c r="Z7" i="13" a="1"/>
  <c r="Y7" i="13" a="1"/>
  <c r="X7" i="13" a="1"/>
  <c r="AA6" i="13" a="1"/>
  <c r="Z6" i="13" a="1"/>
  <c r="Y6" i="13" a="1"/>
  <c r="X6" i="13" a="1"/>
  <c r="AA5" i="13" a="1"/>
  <c r="Z5" i="13" a="1"/>
  <c r="Y5" i="13" a="1"/>
  <c r="X5" i="13" a="1"/>
  <c r="AA4" i="13"/>
  <c r="AB4" i="13"/>
  <c r="Z4" i="13" a="1"/>
  <c r="Y4" i="13" a="1"/>
  <c r="X4" i="13" a="1"/>
  <c r="AA4" i="8"/>
  <c r="Y4" i="8" a="1"/>
  <c r="Z4" i="8" a="1"/>
  <c r="X4" i="8" a="1"/>
  <c r="Y5" i="8" a="1"/>
  <c r="X5" i="8" a="1"/>
  <c r="Z5" i="8" a="1"/>
  <c r="AA5" i="8" a="1"/>
  <c r="AA6" i="8" a="1"/>
  <c r="X6" i="8" a="1"/>
  <c r="Y6" i="8" a="1"/>
  <c r="Z6" i="8" a="1"/>
  <c r="Y7" i="8" a="1"/>
  <c r="Z7" i="8" a="1"/>
  <c r="X7" i="8" a="1"/>
  <c r="AA7" i="8" a="1"/>
  <c r="X8" i="8" a="1"/>
  <c r="Z8" i="8" a="1"/>
  <c r="AA8" i="8" a="1"/>
  <c r="Y8" i="8" a="1"/>
  <c r="Y9" i="8" a="1"/>
  <c r="X9" i="8" a="1"/>
  <c r="AA9" i="8" a="1"/>
  <c r="Z9" i="8" a="1"/>
  <c r="Y10" i="8" a="1"/>
  <c r="X10" i="8" a="1"/>
  <c r="AA10" i="8" a="1"/>
  <c r="Z10" i="8" a="1"/>
  <c r="AA11" i="8" a="1"/>
  <c r="Z11" i="8" a="1"/>
  <c r="Y11" i="8" a="1"/>
  <c r="X11" i="8" a="1"/>
  <c r="AA12" i="8" a="1"/>
  <c r="Y12" i="8" a="1"/>
  <c r="X12" i="8" a="1"/>
  <c r="Z12" i="8" a="1"/>
  <c r="Z13" i="8" a="1"/>
  <c r="Y13" i="8" a="1"/>
  <c r="AA13" i="8" a="1"/>
  <c r="X13" i="8" a="1"/>
  <c r="X14" i="8" a="1"/>
  <c r="Y14" i="8" a="1"/>
  <c r="Z14" i="8" a="1"/>
  <c r="AA14" i="8" a="1"/>
  <c r="Y15" i="8" a="1"/>
  <c r="X15" i="8" a="1"/>
  <c r="Z15" i="8" a="1"/>
  <c r="AA15" i="8" a="1"/>
  <c r="AB15" i="8"/>
  <c r="AA4" i="14"/>
  <c r="Z4" i="14" a="1"/>
  <c r="Y4" i="14" a="1"/>
  <c r="X4" i="14" a="1"/>
  <c r="AA5" i="14" a="1"/>
  <c r="Z5" i="14" a="1"/>
  <c r="Y5" i="14" a="1"/>
  <c r="X5" i="14" a="1"/>
  <c r="AA6" i="14" a="1"/>
  <c r="Z6" i="14" a="1"/>
  <c r="Y6" i="14" a="1"/>
  <c r="X6" i="14" a="1"/>
  <c r="AA7" i="14" a="1"/>
  <c r="Z7" i="14" a="1"/>
  <c r="Y7" i="14" a="1"/>
  <c r="X7" i="14" a="1"/>
  <c r="AA8" i="14" a="1"/>
  <c r="Z8" i="14" a="1"/>
  <c r="Y8" i="14" a="1"/>
  <c r="X8" i="14" a="1"/>
  <c r="AA9" i="14" a="1"/>
  <c r="Z9" i="14" a="1"/>
  <c r="Y9" i="14" a="1"/>
  <c r="X9" i="14" a="1"/>
  <c r="AA10" i="14" a="1"/>
  <c r="Z10" i="14" a="1"/>
  <c r="Y10" i="14" a="1"/>
  <c r="X10" i="14" a="1"/>
  <c r="AA11" i="14" a="1"/>
  <c r="Z11" i="14" a="1"/>
  <c r="Y11" i="14" a="1"/>
  <c r="X11" i="14" a="1"/>
  <c r="AA12" i="14" a="1"/>
  <c r="Z12" i="14" a="1"/>
  <c r="Y12" i="14" a="1"/>
  <c r="X12" i="14" a="1"/>
  <c r="AA13" i="14" a="1"/>
  <c r="Z13" i="14" a="1"/>
  <c r="Y13" i="14" a="1"/>
  <c r="X13" i="14" a="1"/>
  <c r="AA14" i="14" a="1"/>
  <c r="Z14" i="14" a="1"/>
  <c r="Y14" i="14" a="1"/>
  <c r="X14" i="14" a="1"/>
  <c r="AA15" i="14" a="1"/>
  <c r="Z15" i="14" a="1"/>
  <c r="Y15" i="14" a="1"/>
  <c r="X15" i="14" a="1"/>
  <c r="Z14" i="16" a="1"/>
  <c r="Y14" i="16" a="1"/>
  <c r="X14" i="16" a="1"/>
  <c r="AA14" i="16" a="1"/>
  <c r="AA13" i="16" a="1"/>
  <c r="Y13" i="16" a="1"/>
  <c r="Z13" i="16" a="1"/>
  <c r="X13" i="16" a="1"/>
  <c r="Z12" i="16" a="1"/>
  <c r="Y12" i="16" a="1"/>
  <c r="AA12" i="16" a="1"/>
  <c r="X12" i="16" a="1"/>
  <c r="AB11" i="16"/>
  <c r="AB10" i="16"/>
  <c r="AB9" i="16"/>
  <c r="AB8" i="16"/>
  <c r="AB7" i="16"/>
  <c r="AB6" i="16"/>
  <c r="AB5" i="16"/>
  <c r="AB4" i="16"/>
  <c r="AB15" i="13"/>
  <c r="AB14" i="13"/>
  <c r="AB13" i="13"/>
  <c r="AB12" i="13"/>
  <c r="AB11" i="13"/>
  <c r="AB10" i="13"/>
  <c r="AB9" i="13"/>
  <c r="AB8" i="13"/>
  <c r="AB7" i="13"/>
  <c r="AB6" i="13"/>
  <c r="AB5" i="13"/>
  <c r="AB14" i="8"/>
  <c r="AB13" i="8"/>
  <c r="AB12" i="8"/>
  <c r="AB11" i="8"/>
  <c r="AB10" i="8"/>
  <c r="AB9" i="8"/>
  <c r="AB8" i="8"/>
  <c r="AB7" i="8"/>
  <c r="AB6" i="8"/>
  <c r="AB5" i="8"/>
  <c r="AB4" i="8"/>
  <c r="AB5" i="14"/>
  <c r="AB4" i="14"/>
  <c r="AB12" i="16"/>
  <c r="AB15" i="16"/>
  <c r="AB13" i="16"/>
  <c r="AB14" i="16"/>
  <c r="AB6" i="14"/>
  <c r="AB7" i="14"/>
  <c r="AB8" i="14"/>
  <c r="AB9" i="14"/>
  <c r="AB10" i="14"/>
  <c r="AB11" i="14"/>
  <c r="AB12" i="14"/>
  <c r="AB13" i="14"/>
  <c r="AB14" i="14"/>
  <c r="AB15" i="14"/>
  <c r="AB15" i="20"/>
  <c r="AB14" i="20"/>
  <c r="AB13" i="20"/>
  <c r="AB12" i="20"/>
  <c r="AB11" i="20"/>
  <c r="AB10" i="20"/>
  <c r="AB9" i="20"/>
  <c r="AB8" i="20"/>
  <c r="AB7" i="20"/>
  <c r="AB6" i="20"/>
  <c r="AB5" i="20"/>
  <c r="AB15" i="21"/>
  <c r="AB14" i="21"/>
  <c r="AB13" i="21"/>
  <c r="AB12" i="21"/>
  <c r="AB11" i="21"/>
  <c r="AB10" i="21"/>
  <c r="AB9" i="21"/>
  <c r="AB8" i="21"/>
  <c r="AB7" i="21"/>
  <c r="AB6" i="21"/>
  <c r="AB5" i="21"/>
  <c r="Q86" i="21"/>
  <c r="P86" i="21"/>
  <c r="O86" i="21"/>
  <c r="N86" i="21"/>
  <c r="M86" i="21"/>
  <c r="Q85" i="21"/>
  <c r="P85" i="21"/>
  <c r="O85" i="21"/>
  <c r="N85" i="21"/>
  <c r="M85" i="21"/>
  <c r="Q84" i="21"/>
  <c r="P84" i="21"/>
  <c r="O84" i="21"/>
  <c r="N84" i="21"/>
  <c r="M84" i="21"/>
  <c r="Q83" i="21"/>
  <c r="P83" i="21"/>
  <c r="O83" i="21"/>
  <c r="N83" i="21"/>
  <c r="M83" i="21"/>
  <c r="Q79" i="21"/>
  <c r="P79" i="21"/>
  <c r="O79" i="21"/>
  <c r="N79" i="21"/>
  <c r="M79" i="21"/>
  <c r="Q78" i="21"/>
  <c r="P78" i="21"/>
  <c r="O78" i="21"/>
  <c r="N78" i="21"/>
  <c r="M78" i="21"/>
  <c r="Q77" i="21"/>
  <c r="P77" i="21"/>
  <c r="O77" i="21"/>
  <c r="N77" i="21"/>
  <c r="M77" i="21"/>
  <c r="Q76" i="21"/>
  <c r="P76" i="21"/>
  <c r="O76" i="21"/>
  <c r="N76" i="21"/>
  <c r="M76" i="21"/>
  <c r="Q72" i="21"/>
  <c r="P72" i="21"/>
  <c r="O72" i="21"/>
  <c r="N72" i="21"/>
  <c r="M72" i="21"/>
  <c r="Q71" i="21"/>
  <c r="P71" i="21"/>
  <c r="O71" i="21"/>
  <c r="N71" i="21"/>
  <c r="M71" i="21"/>
  <c r="Q70" i="21"/>
  <c r="P70" i="21"/>
  <c r="O70" i="21"/>
  <c r="N70" i="21"/>
  <c r="M70" i="21"/>
  <c r="Q69" i="21"/>
  <c r="P69" i="21"/>
  <c r="O69" i="21"/>
  <c r="N69" i="21"/>
  <c r="M69" i="21"/>
  <c r="Q65" i="21"/>
  <c r="P65" i="21"/>
  <c r="O65" i="21"/>
  <c r="N65" i="21"/>
  <c r="M65" i="21"/>
  <c r="Q64" i="21"/>
  <c r="P64" i="21"/>
  <c r="O64" i="21"/>
  <c r="N64" i="21"/>
  <c r="M64" i="21"/>
  <c r="Q63" i="21"/>
  <c r="P63" i="21"/>
  <c r="O63" i="21"/>
  <c r="N63" i="21"/>
  <c r="M63" i="21"/>
  <c r="Q62" i="21"/>
  <c r="P62" i="21"/>
  <c r="O62" i="21"/>
  <c r="N62" i="21"/>
  <c r="M62" i="21"/>
  <c r="Q58" i="21"/>
  <c r="P58" i="21"/>
  <c r="O58" i="21"/>
  <c r="N58" i="21"/>
  <c r="M58" i="21"/>
  <c r="Q57" i="21"/>
  <c r="P57" i="21"/>
  <c r="O57" i="21"/>
  <c r="N57" i="21"/>
  <c r="M57" i="21"/>
  <c r="Q56" i="21"/>
  <c r="P56" i="21"/>
  <c r="O56" i="21"/>
  <c r="N56" i="21"/>
  <c r="M56" i="21"/>
  <c r="Q55" i="21"/>
  <c r="P55" i="21"/>
  <c r="O55" i="21"/>
  <c r="N55" i="21"/>
  <c r="M55" i="21"/>
  <c r="Q51" i="21"/>
  <c r="P51" i="21"/>
  <c r="O51" i="21"/>
  <c r="N51" i="21"/>
  <c r="M51" i="21"/>
  <c r="Q50" i="21"/>
  <c r="P50" i="21"/>
  <c r="O50" i="21"/>
  <c r="N50" i="21"/>
  <c r="M50" i="21"/>
  <c r="Q49" i="21"/>
  <c r="P49" i="21"/>
  <c r="O49" i="21"/>
  <c r="N49" i="21"/>
  <c r="M49" i="21"/>
  <c r="Q48" i="21"/>
  <c r="P48" i="21"/>
  <c r="O48" i="21"/>
  <c r="N48" i="21"/>
  <c r="M48" i="21"/>
  <c r="Q44" i="21"/>
  <c r="P44" i="21"/>
  <c r="O44" i="21"/>
  <c r="N44" i="21"/>
  <c r="M44" i="21"/>
  <c r="Q43" i="21"/>
  <c r="P43" i="21"/>
  <c r="O43" i="21"/>
  <c r="N43" i="21"/>
  <c r="M43" i="21"/>
  <c r="Q42" i="21"/>
  <c r="P42" i="21"/>
  <c r="O42" i="21"/>
  <c r="N42" i="21"/>
  <c r="M42" i="21"/>
  <c r="Q41" i="21"/>
  <c r="P41" i="21"/>
  <c r="O41" i="21"/>
  <c r="N41" i="21"/>
  <c r="M41" i="21"/>
  <c r="Q37" i="21"/>
  <c r="P37" i="21"/>
  <c r="O37" i="21"/>
  <c r="N37" i="21"/>
  <c r="M37" i="21"/>
  <c r="Q36" i="21"/>
  <c r="P36" i="21"/>
  <c r="O36" i="21"/>
  <c r="N36" i="21"/>
  <c r="M36" i="21"/>
  <c r="Q35" i="21"/>
  <c r="P35" i="21"/>
  <c r="O35" i="21"/>
  <c r="N35" i="21"/>
  <c r="M35" i="21"/>
  <c r="Q34" i="21"/>
  <c r="P34" i="21"/>
  <c r="O34" i="21"/>
  <c r="N34" i="21"/>
  <c r="M34" i="21"/>
  <c r="Q30" i="21"/>
  <c r="P30" i="21"/>
  <c r="O30" i="21"/>
  <c r="N30" i="21"/>
  <c r="M30" i="21"/>
  <c r="Q29" i="21"/>
  <c r="P29" i="21"/>
  <c r="O29" i="21"/>
  <c r="N29" i="21"/>
  <c r="M29" i="21"/>
  <c r="Q28" i="21"/>
  <c r="P28" i="21"/>
  <c r="O28" i="21"/>
  <c r="N28" i="21"/>
  <c r="M28" i="21"/>
  <c r="Q27" i="21"/>
  <c r="P27" i="21"/>
  <c r="O27" i="21"/>
  <c r="N27" i="21"/>
  <c r="M27" i="21"/>
  <c r="Q23" i="21"/>
  <c r="P23" i="21"/>
  <c r="O23" i="21"/>
  <c r="N23" i="21"/>
  <c r="M23" i="21"/>
  <c r="Q22" i="21"/>
  <c r="P22" i="21"/>
  <c r="O22" i="21"/>
  <c r="N22" i="21"/>
  <c r="M22" i="21"/>
  <c r="Q21" i="21"/>
  <c r="P21" i="21"/>
  <c r="O21" i="21"/>
  <c r="N21" i="21"/>
  <c r="M21" i="21"/>
  <c r="Q20" i="21"/>
  <c r="P20" i="21"/>
  <c r="O20" i="21"/>
  <c r="N20" i="21"/>
  <c r="M20" i="21"/>
  <c r="Q16" i="21"/>
  <c r="P16" i="21"/>
  <c r="O16" i="21"/>
  <c r="N16" i="21"/>
  <c r="M16" i="21"/>
  <c r="AA15" i="21"/>
  <c r="Z15" i="21"/>
  <c r="Y15" i="21"/>
  <c r="X15" i="21"/>
  <c r="Q15" i="21"/>
  <c r="P15" i="21"/>
  <c r="O15" i="21"/>
  <c r="N15" i="21"/>
  <c r="M15" i="21"/>
  <c r="AA14" i="21"/>
  <c r="Z14" i="21"/>
  <c r="Y14" i="21"/>
  <c r="X14" i="21"/>
  <c r="Q14" i="21"/>
  <c r="P14" i="21"/>
  <c r="O14" i="21"/>
  <c r="N14" i="21"/>
  <c r="M14" i="21"/>
  <c r="AA13" i="21"/>
  <c r="Z13" i="21"/>
  <c r="Y13" i="21"/>
  <c r="X13" i="21"/>
  <c r="Q13" i="21"/>
  <c r="P13" i="21"/>
  <c r="O13" i="21"/>
  <c r="N13" i="21"/>
  <c r="M13" i="21"/>
  <c r="AA12" i="21"/>
  <c r="Z12" i="21"/>
  <c r="Y12" i="21"/>
  <c r="X12" i="21"/>
  <c r="AA11" i="21"/>
  <c r="Z11" i="21"/>
  <c r="Y11" i="21"/>
  <c r="X11" i="21"/>
  <c r="AA10" i="21"/>
  <c r="Z10" i="21"/>
  <c r="Y10" i="21"/>
  <c r="X10" i="21"/>
  <c r="AA9" i="21"/>
  <c r="Z9" i="21"/>
  <c r="Y9" i="21"/>
  <c r="X9" i="21"/>
  <c r="Q9" i="21"/>
  <c r="P9" i="21"/>
  <c r="O9" i="21"/>
  <c r="N9" i="21"/>
  <c r="M9" i="21"/>
  <c r="AA8" i="21"/>
  <c r="Z8" i="21"/>
  <c r="Y8" i="21"/>
  <c r="X8" i="21"/>
  <c r="Q8" i="21"/>
  <c r="P8" i="21"/>
  <c r="O8" i="21"/>
  <c r="N8" i="21"/>
  <c r="M8" i="21"/>
  <c r="AA7" i="21"/>
  <c r="Z7" i="21"/>
  <c r="Y7" i="21"/>
  <c r="X7" i="21"/>
  <c r="Q7" i="21"/>
  <c r="P7" i="21"/>
  <c r="O7" i="21"/>
  <c r="N7" i="21"/>
  <c r="M7" i="21"/>
  <c r="AA6" i="21"/>
  <c r="Z6" i="21"/>
  <c r="Y6" i="21"/>
  <c r="X6" i="21"/>
  <c r="Q6" i="21"/>
  <c r="P6" i="21"/>
  <c r="O6" i="21"/>
  <c r="N6" i="21"/>
  <c r="M6" i="21"/>
  <c r="AA5" i="21"/>
  <c r="Z5" i="21"/>
  <c r="Y5" i="21"/>
  <c r="X5" i="21"/>
  <c r="Z4" i="21"/>
  <c r="Y4" i="21"/>
  <c r="X4" i="21"/>
  <c r="Q86" i="15"/>
  <c r="P86" i="15"/>
  <c r="O86" i="15"/>
  <c r="N86" i="15"/>
  <c r="M86" i="15"/>
  <c r="Q85" i="15"/>
  <c r="P85" i="15"/>
  <c r="O85" i="15"/>
  <c r="N85" i="15"/>
  <c r="M85" i="15"/>
  <c r="Q84" i="15"/>
  <c r="P84" i="15"/>
  <c r="O84" i="15"/>
  <c r="N84" i="15"/>
  <c r="M84" i="15"/>
  <c r="Q83" i="15"/>
  <c r="P83" i="15"/>
  <c r="O83" i="15"/>
  <c r="N83" i="15"/>
  <c r="M83" i="15"/>
  <c r="Q79" i="15"/>
  <c r="P79" i="15"/>
  <c r="O79" i="15"/>
  <c r="N79" i="15"/>
  <c r="M79" i="15"/>
  <c r="Q78" i="15"/>
  <c r="P78" i="15"/>
  <c r="O78" i="15"/>
  <c r="N78" i="15"/>
  <c r="M78" i="15"/>
  <c r="Q77" i="15"/>
  <c r="P77" i="15"/>
  <c r="O77" i="15"/>
  <c r="N77" i="15"/>
  <c r="M77" i="15"/>
  <c r="Q76" i="15"/>
  <c r="P76" i="15"/>
  <c r="O76" i="15"/>
  <c r="N76" i="15"/>
  <c r="M76" i="15"/>
  <c r="Q72" i="15"/>
  <c r="P72" i="15"/>
  <c r="O72" i="15"/>
  <c r="N72" i="15"/>
  <c r="M72" i="15"/>
  <c r="Q71" i="15"/>
  <c r="P71" i="15"/>
  <c r="O71" i="15"/>
  <c r="N71" i="15"/>
  <c r="M71" i="15"/>
  <c r="Q70" i="15"/>
  <c r="P70" i="15"/>
  <c r="O70" i="15"/>
  <c r="N70" i="15"/>
  <c r="M70" i="15"/>
  <c r="Q69" i="15"/>
  <c r="P69" i="15"/>
  <c r="O69" i="15"/>
  <c r="N69" i="15"/>
  <c r="M69" i="15"/>
  <c r="Q65" i="15"/>
  <c r="P65" i="15"/>
  <c r="O65" i="15"/>
  <c r="N65" i="15"/>
  <c r="M65" i="15"/>
  <c r="Q64" i="15"/>
  <c r="P64" i="15"/>
  <c r="O64" i="15"/>
  <c r="N64" i="15"/>
  <c r="M64" i="15"/>
  <c r="Q63" i="15"/>
  <c r="P63" i="15"/>
  <c r="O63" i="15"/>
  <c r="N63" i="15"/>
  <c r="M63" i="15"/>
  <c r="Q62" i="15"/>
  <c r="P62" i="15"/>
  <c r="O62" i="15"/>
  <c r="N62" i="15"/>
  <c r="M62" i="15"/>
  <c r="Q58" i="15"/>
  <c r="P58" i="15"/>
  <c r="O58" i="15"/>
  <c r="N58" i="15"/>
  <c r="M58" i="15"/>
  <c r="Q57" i="15"/>
  <c r="P57" i="15"/>
  <c r="O57" i="15"/>
  <c r="N57" i="15"/>
  <c r="M57" i="15"/>
  <c r="Q56" i="15"/>
  <c r="P56" i="15"/>
  <c r="O56" i="15"/>
  <c r="N56" i="15"/>
  <c r="M56" i="15"/>
  <c r="Q55" i="15"/>
  <c r="P55" i="15"/>
  <c r="O55" i="15"/>
  <c r="N55" i="15"/>
  <c r="M55" i="15"/>
  <c r="Q51" i="15"/>
  <c r="P51" i="15"/>
  <c r="O51" i="15"/>
  <c r="N51" i="15"/>
  <c r="M51" i="15"/>
  <c r="Q50" i="15"/>
  <c r="P50" i="15"/>
  <c r="O50" i="15"/>
  <c r="N50" i="15"/>
  <c r="M50" i="15"/>
  <c r="Q49" i="15"/>
  <c r="P49" i="15"/>
  <c r="O49" i="15"/>
  <c r="N49" i="15"/>
  <c r="M49" i="15"/>
  <c r="Q48" i="15"/>
  <c r="P48" i="15"/>
  <c r="O48" i="15"/>
  <c r="N48" i="15"/>
  <c r="M48" i="15"/>
  <c r="Q44" i="15"/>
  <c r="P44" i="15"/>
  <c r="O44" i="15"/>
  <c r="N44" i="15"/>
  <c r="M44" i="15"/>
  <c r="Q43" i="15"/>
  <c r="P43" i="15"/>
  <c r="O43" i="15"/>
  <c r="N43" i="15"/>
  <c r="M43" i="15"/>
  <c r="Q42" i="15"/>
  <c r="P42" i="15"/>
  <c r="O42" i="15"/>
  <c r="N42" i="15"/>
  <c r="M42" i="15"/>
  <c r="Q41" i="15"/>
  <c r="P41" i="15"/>
  <c r="O41" i="15"/>
  <c r="N41" i="15"/>
  <c r="M41" i="15"/>
  <c r="Q37" i="15"/>
  <c r="P37" i="15"/>
  <c r="O37" i="15"/>
  <c r="N37" i="15"/>
  <c r="M37" i="15"/>
  <c r="Q36" i="15"/>
  <c r="P36" i="15"/>
  <c r="O36" i="15"/>
  <c r="N36" i="15"/>
  <c r="M36" i="15"/>
  <c r="Q35" i="15"/>
  <c r="P35" i="15"/>
  <c r="O35" i="15"/>
  <c r="N35" i="15"/>
  <c r="M35" i="15"/>
  <c r="Q34" i="15"/>
  <c r="P34" i="15"/>
  <c r="O34" i="15"/>
  <c r="N34" i="15"/>
  <c r="M34" i="15"/>
  <c r="Q30" i="15"/>
  <c r="P30" i="15"/>
  <c r="O30" i="15"/>
  <c r="N30" i="15"/>
  <c r="M30" i="15"/>
  <c r="Q29" i="15"/>
  <c r="P29" i="15"/>
  <c r="O29" i="15"/>
  <c r="N29" i="15"/>
  <c r="M29" i="15"/>
  <c r="Q28" i="15"/>
  <c r="P28" i="15"/>
  <c r="O28" i="15"/>
  <c r="N28" i="15"/>
  <c r="M28" i="15"/>
  <c r="Q27" i="15"/>
  <c r="P27" i="15"/>
  <c r="O27" i="15"/>
  <c r="N27" i="15"/>
  <c r="M27" i="15"/>
  <c r="Q23" i="15"/>
  <c r="P23" i="15"/>
  <c r="O23" i="15"/>
  <c r="N23" i="15"/>
  <c r="M23" i="15"/>
  <c r="Q22" i="15"/>
  <c r="P22" i="15"/>
  <c r="O22" i="15"/>
  <c r="N22" i="15"/>
  <c r="M22" i="15"/>
  <c r="Q21" i="15"/>
  <c r="P21" i="15"/>
  <c r="O21" i="15"/>
  <c r="N21" i="15"/>
  <c r="M21" i="15"/>
  <c r="Q20" i="15"/>
  <c r="P20" i="15"/>
  <c r="O20" i="15"/>
  <c r="N20" i="15"/>
  <c r="M20" i="15"/>
  <c r="Q16" i="15"/>
  <c r="P16" i="15"/>
  <c r="O16" i="15"/>
  <c r="N16" i="15"/>
  <c r="M16" i="15"/>
  <c r="AA15" i="15"/>
  <c r="Z15" i="15"/>
  <c r="Y15" i="15"/>
  <c r="X15" i="15"/>
  <c r="Q15" i="15"/>
  <c r="P15" i="15"/>
  <c r="O15" i="15"/>
  <c r="N15" i="15"/>
  <c r="M15" i="15"/>
  <c r="AA14" i="15"/>
  <c r="Z14" i="15"/>
  <c r="Y14" i="15"/>
  <c r="X14" i="15"/>
  <c r="Q14" i="15"/>
  <c r="P14" i="15"/>
  <c r="O14" i="15"/>
  <c r="N14" i="15"/>
  <c r="M14" i="15"/>
  <c r="AA13" i="15"/>
  <c r="Z13" i="15"/>
  <c r="Y13" i="15"/>
  <c r="X13" i="15"/>
  <c r="Q13" i="15"/>
  <c r="P13" i="15"/>
  <c r="O13" i="15"/>
  <c r="N13" i="15"/>
  <c r="M13" i="15"/>
  <c r="AA12" i="15"/>
  <c r="Z12" i="15"/>
  <c r="Y12" i="15"/>
  <c r="X12" i="15"/>
  <c r="AA11" i="15"/>
  <c r="Z11" i="15"/>
  <c r="Y11" i="15"/>
  <c r="X11" i="15"/>
  <c r="AA10" i="15"/>
  <c r="Z10" i="15"/>
  <c r="Y10" i="15"/>
  <c r="X10" i="15"/>
  <c r="AA9" i="15"/>
  <c r="Z9" i="15"/>
  <c r="Y9" i="15"/>
  <c r="X9" i="15"/>
  <c r="Q9" i="15"/>
  <c r="P9" i="15"/>
  <c r="O9" i="15"/>
  <c r="N9" i="15"/>
  <c r="M9" i="15"/>
  <c r="AA8" i="15"/>
  <c r="Z8" i="15"/>
  <c r="Y8" i="15"/>
  <c r="X8" i="15"/>
  <c r="Q8" i="15"/>
  <c r="P8" i="15"/>
  <c r="O8" i="15"/>
  <c r="N8" i="15"/>
  <c r="M8" i="15"/>
  <c r="AA7" i="15"/>
  <c r="Z7" i="15"/>
  <c r="Y7" i="15"/>
  <c r="X7" i="15"/>
  <c r="Q7" i="15"/>
  <c r="P7" i="15"/>
  <c r="O7" i="15"/>
  <c r="N7" i="15"/>
  <c r="M7" i="15"/>
  <c r="AA6" i="15"/>
  <c r="Z6" i="15"/>
  <c r="Y6" i="15"/>
  <c r="X6" i="15"/>
  <c r="Q6" i="15"/>
  <c r="P6" i="15"/>
  <c r="O6" i="15"/>
  <c r="N6" i="15"/>
  <c r="M6" i="15"/>
  <c r="AA5" i="15"/>
  <c r="Z5" i="15"/>
  <c r="Y5" i="15"/>
  <c r="X5" i="15"/>
  <c r="Z4" i="15"/>
  <c r="Y4" i="15"/>
  <c r="X4" i="15"/>
  <c r="Q86" i="18"/>
  <c r="P86" i="18"/>
  <c r="O86" i="18"/>
  <c r="N86" i="18"/>
  <c r="M86" i="18"/>
  <c r="Q85" i="18"/>
  <c r="P85" i="18"/>
  <c r="O85" i="18"/>
  <c r="N85" i="18"/>
  <c r="M85" i="18"/>
  <c r="Q84" i="18"/>
  <c r="P84" i="18"/>
  <c r="O84" i="18"/>
  <c r="N84" i="18"/>
  <c r="M84" i="18"/>
  <c r="Q83" i="18"/>
  <c r="P83" i="18"/>
  <c r="O83" i="18"/>
  <c r="N83" i="18"/>
  <c r="M83" i="18"/>
  <c r="Q79" i="18"/>
  <c r="P79" i="18"/>
  <c r="O79" i="18"/>
  <c r="N79" i="18"/>
  <c r="M79" i="18"/>
  <c r="Q78" i="18"/>
  <c r="P78" i="18"/>
  <c r="O78" i="18"/>
  <c r="N78" i="18"/>
  <c r="M78" i="18"/>
  <c r="Q77" i="18"/>
  <c r="P77" i="18"/>
  <c r="O77" i="18"/>
  <c r="N77" i="18"/>
  <c r="M77" i="18"/>
  <c r="Q76" i="18"/>
  <c r="P76" i="18"/>
  <c r="O76" i="18"/>
  <c r="N76" i="18"/>
  <c r="M76" i="18"/>
  <c r="Q72" i="18"/>
  <c r="P72" i="18"/>
  <c r="O72" i="18"/>
  <c r="N72" i="18"/>
  <c r="M72" i="18"/>
  <c r="Q71" i="18"/>
  <c r="P71" i="18"/>
  <c r="O71" i="18"/>
  <c r="N71" i="18"/>
  <c r="M71" i="18"/>
  <c r="Q70" i="18"/>
  <c r="P70" i="18"/>
  <c r="O70" i="18"/>
  <c r="N70" i="18"/>
  <c r="M70" i="18"/>
  <c r="Q69" i="18"/>
  <c r="P69" i="18"/>
  <c r="O69" i="18"/>
  <c r="N69" i="18"/>
  <c r="M69" i="18"/>
  <c r="Q65" i="18"/>
  <c r="P65" i="18"/>
  <c r="O65" i="18"/>
  <c r="N65" i="18"/>
  <c r="M65" i="18"/>
  <c r="Q64" i="18"/>
  <c r="P64" i="18"/>
  <c r="O64" i="18"/>
  <c r="N64" i="18"/>
  <c r="M64" i="18"/>
  <c r="Q63" i="18"/>
  <c r="P63" i="18"/>
  <c r="O63" i="18"/>
  <c r="N63" i="18"/>
  <c r="M63" i="18"/>
  <c r="Q62" i="18"/>
  <c r="P62" i="18"/>
  <c r="O62" i="18"/>
  <c r="N62" i="18"/>
  <c r="M62" i="18"/>
  <c r="Q58" i="18"/>
  <c r="P58" i="18"/>
  <c r="O58" i="18"/>
  <c r="N58" i="18"/>
  <c r="M58" i="18"/>
  <c r="Q57" i="18"/>
  <c r="P57" i="18"/>
  <c r="O57" i="18"/>
  <c r="N57" i="18"/>
  <c r="M57" i="18"/>
  <c r="Q56" i="18"/>
  <c r="P56" i="18"/>
  <c r="O56" i="18"/>
  <c r="N56" i="18"/>
  <c r="M56" i="18"/>
  <c r="Q55" i="18"/>
  <c r="P55" i="18"/>
  <c r="O55" i="18"/>
  <c r="N55" i="18"/>
  <c r="M55" i="18"/>
  <c r="Q51" i="18"/>
  <c r="P51" i="18"/>
  <c r="O51" i="18"/>
  <c r="N51" i="18"/>
  <c r="M51" i="18"/>
  <c r="Q50" i="18"/>
  <c r="P50" i="18"/>
  <c r="O50" i="18"/>
  <c r="N50" i="18"/>
  <c r="M50" i="18"/>
  <c r="Q49" i="18"/>
  <c r="P49" i="18"/>
  <c r="O49" i="18"/>
  <c r="N49" i="18"/>
  <c r="M49" i="18"/>
  <c r="Q48" i="18"/>
  <c r="P48" i="18"/>
  <c r="O48" i="18"/>
  <c r="N48" i="18"/>
  <c r="M48" i="18"/>
  <c r="Q44" i="18"/>
  <c r="P44" i="18"/>
  <c r="O44" i="18"/>
  <c r="N44" i="18"/>
  <c r="M44" i="18"/>
  <c r="Q43" i="18"/>
  <c r="P43" i="18"/>
  <c r="O43" i="18"/>
  <c r="N43" i="18"/>
  <c r="M43" i="18"/>
  <c r="Q42" i="18"/>
  <c r="P42" i="18"/>
  <c r="O42" i="18"/>
  <c r="N42" i="18"/>
  <c r="M42" i="18"/>
  <c r="Q41" i="18"/>
  <c r="P41" i="18"/>
  <c r="O41" i="18"/>
  <c r="N41" i="18"/>
  <c r="M41" i="18"/>
  <c r="Q37" i="18"/>
  <c r="P37" i="18"/>
  <c r="O37" i="18"/>
  <c r="N37" i="18"/>
  <c r="M37" i="18"/>
  <c r="Q36" i="18"/>
  <c r="P36" i="18"/>
  <c r="O36" i="18"/>
  <c r="N36" i="18"/>
  <c r="M36" i="18"/>
  <c r="Q35" i="18"/>
  <c r="P35" i="18"/>
  <c r="O35" i="18"/>
  <c r="N35" i="18"/>
  <c r="M35" i="18"/>
  <c r="Q34" i="18"/>
  <c r="P34" i="18"/>
  <c r="O34" i="18"/>
  <c r="N34" i="18"/>
  <c r="M34" i="18"/>
  <c r="Q30" i="18"/>
  <c r="P30" i="18"/>
  <c r="O30" i="18"/>
  <c r="N30" i="18"/>
  <c r="M30" i="18"/>
  <c r="Q29" i="18"/>
  <c r="P29" i="18"/>
  <c r="O29" i="18"/>
  <c r="N29" i="18"/>
  <c r="M29" i="18"/>
  <c r="Q28" i="18"/>
  <c r="P28" i="18"/>
  <c r="O28" i="18"/>
  <c r="N28" i="18"/>
  <c r="M28" i="18"/>
  <c r="Q27" i="18"/>
  <c r="P27" i="18"/>
  <c r="O27" i="18"/>
  <c r="N27" i="18"/>
  <c r="M27" i="18"/>
  <c r="Q23" i="18"/>
  <c r="P23" i="18"/>
  <c r="O23" i="18"/>
  <c r="N23" i="18"/>
  <c r="M23" i="18"/>
  <c r="Q22" i="18"/>
  <c r="P22" i="18"/>
  <c r="O22" i="18"/>
  <c r="N22" i="18"/>
  <c r="M22" i="18"/>
  <c r="Q21" i="18"/>
  <c r="P21" i="18"/>
  <c r="O21" i="18"/>
  <c r="N21" i="18"/>
  <c r="M21" i="18"/>
  <c r="Q20" i="18"/>
  <c r="P20" i="18"/>
  <c r="O20" i="18"/>
  <c r="N20" i="18"/>
  <c r="M20" i="18"/>
  <c r="Q16" i="18"/>
  <c r="P16" i="18"/>
  <c r="O16" i="18"/>
  <c r="N16" i="18"/>
  <c r="M16" i="18"/>
  <c r="AA15" i="18"/>
  <c r="Z15" i="18"/>
  <c r="Y15" i="18"/>
  <c r="X15" i="18"/>
  <c r="Q15" i="18"/>
  <c r="P15" i="18"/>
  <c r="O15" i="18"/>
  <c r="N15" i="18"/>
  <c r="M15" i="18"/>
  <c r="AA14" i="18"/>
  <c r="Z14" i="18"/>
  <c r="Y14" i="18"/>
  <c r="X14" i="18"/>
  <c r="Q14" i="18"/>
  <c r="P14" i="18"/>
  <c r="O14" i="18"/>
  <c r="N14" i="18"/>
  <c r="M14" i="18"/>
  <c r="AA13" i="18"/>
  <c r="Z13" i="18"/>
  <c r="Y13" i="18"/>
  <c r="X13" i="18"/>
  <c r="Q13" i="18"/>
  <c r="P13" i="18"/>
  <c r="O13" i="18"/>
  <c r="N13" i="18"/>
  <c r="M13" i="18"/>
  <c r="AA12" i="18"/>
  <c r="Z12" i="18"/>
  <c r="Y12" i="18"/>
  <c r="X12" i="18"/>
  <c r="AA11" i="18"/>
  <c r="Z11" i="18"/>
  <c r="Y11" i="18"/>
  <c r="X11" i="18"/>
  <c r="AA10" i="18"/>
  <c r="Z10" i="18"/>
  <c r="Y10" i="18"/>
  <c r="X10" i="18"/>
  <c r="AA9" i="18"/>
  <c r="Z9" i="18"/>
  <c r="Y9" i="18"/>
  <c r="X9" i="18"/>
  <c r="Q9" i="18"/>
  <c r="P9" i="18"/>
  <c r="O9" i="18"/>
  <c r="N9" i="18"/>
  <c r="M9" i="18"/>
  <c r="AA8" i="18"/>
  <c r="Z8" i="18"/>
  <c r="Y8" i="18"/>
  <c r="X8" i="18"/>
  <c r="Q8" i="18"/>
  <c r="P8" i="18"/>
  <c r="O8" i="18"/>
  <c r="N8" i="18"/>
  <c r="M8" i="18"/>
  <c r="AA7" i="18"/>
  <c r="Z7" i="18"/>
  <c r="Y7" i="18"/>
  <c r="X7" i="18"/>
  <c r="Q7" i="18"/>
  <c r="P7" i="18"/>
  <c r="O7" i="18"/>
  <c r="N7" i="18"/>
  <c r="M7" i="18"/>
  <c r="AA6" i="18"/>
  <c r="Z6" i="18"/>
  <c r="Y6" i="18"/>
  <c r="X6" i="18"/>
  <c r="Q6" i="18"/>
  <c r="P6" i="18"/>
  <c r="O6" i="18"/>
  <c r="N6" i="18"/>
  <c r="M6" i="18"/>
  <c r="AA5" i="18"/>
  <c r="Z5" i="18"/>
  <c r="Y5" i="18"/>
  <c r="X5" i="18"/>
  <c r="Z4" i="18"/>
  <c r="Y4" i="18"/>
  <c r="X4" i="18"/>
  <c r="Q86" i="11"/>
  <c r="P86" i="11"/>
  <c r="O86" i="11"/>
  <c r="N86" i="11"/>
  <c r="M86" i="11"/>
  <c r="Q85" i="11"/>
  <c r="P85" i="11"/>
  <c r="O85" i="11"/>
  <c r="N85" i="11"/>
  <c r="M85" i="11"/>
  <c r="Q84" i="11"/>
  <c r="P84" i="11"/>
  <c r="O84" i="11"/>
  <c r="N84" i="11"/>
  <c r="M84" i="11"/>
  <c r="Q83" i="11"/>
  <c r="P83" i="11"/>
  <c r="O83" i="11"/>
  <c r="N83" i="11"/>
  <c r="M83" i="11"/>
  <c r="Q79" i="11"/>
  <c r="P79" i="11"/>
  <c r="O79" i="11"/>
  <c r="N79" i="11"/>
  <c r="M79" i="11"/>
  <c r="Q78" i="11"/>
  <c r="P78" i="11"/>
  <c r="O78" i="11"/>
  <c r="N78" i="11"/>
  <c r="M78" i="11"/>
  <c r="Q77" i="11"/>
  <c r="P77" i="11"/>
  <c r="O77" i="11"/>
  <c r="N77" i="11"/>
  <c r="M77" i="11"/>
  <c r="Q76" i="11"/>
  <c r="P76" i="11"/>
  <c r="O76" i="11"/>
  <c r="N76" i="11"/>
  <c r="M76" i="11"/>
  <c r="Q72" i="11"/>
  <c r="P72" i="11"/>
  <c r="O72" i="11"/>
  <c r="N72" i="11"/>
  <c r="M72" i="11"/>
  <c r="Q71" i="11"/>
  <c r="P71" i="11"/>
  <c r="O71" i="11"/>
  <c r="N71" i="11"/>
  <c r="M71" i="11"/>
  <c r="Q70" i="11"/>
  <c r="P70" i="11"/>
  <c r="O70" i="11"/>
  <c r="N70" i="11"/>
  <c r="M70" i="11"/>
  <c r="Q69" i="11"/>
  <c r="P69" i="11"/>
  <c r="O69" i="11"/>
  <c r="N69" i="11"/>
  <c r="M69" i="11"/>
  <c r="Q65" i="11"/>
  <c r="P65" i="11"/>
  <c r="O65" i="11"/>
  <c r="N65" i="11"/>
  <c r="M65" i="11"/>
  <c r="Q64" i="11"/>
  <c r="P64" i="11"/>
  <c r="O64" i="11"/>
  <c r="N64" i="11"/>
  <c r="M64" i="11"/>
  <c r="Q63" i="11"/>
  <c r="P63" i="11"/>
  <c r="O63" i="11"/>
  <c r="N63" i="11"/>
  <c r="M63" i="11"/>
  <c r="Q62" i="11"/>
  <c r="P62" i="11"/>
  <c r="O62" i="11"/>
  <c r="N62" i="11"/>
  <c r="M62" i="11"/>
  <c r="Q58" i="11"/>
  <c r="P58" i="11"/>
  <c r="O58" i="11"/>
  <c r="N58" i="11"/>
  <c r="M58" i="11"/>
  <c r="Q57" i="11"/>
  <c r="P57" i="11"/>
  <c r="O57" i="11"/>
  <c r="N57" i="11"/>
  <c r="M57" i="11"/>
  <c r="Q56" i="11"/>
  <c r="P56" i="11"/>
  <c r="O56" i="11"/>
  <c r="N56" i="11"/>
  <c r="M56" i="11"/>
  <c r="Q55" i="11"/>
  <c r="P55" i="11"/>
  <c r="O55" i="11"/>
  <c r="N55" i="11"/>
  <c r="M55" i="11"/>
  <c r="Q51" i="11"/>
  <c r="P51" i="11"/>
  <c r="O51" i="11"/>
  <c r="N51" i="11"/>
  <c r="M51" i="11"/>
  <c r="Q50" i="11"/>
  <c r="P50" i="11"/>
  <c r="O50" i="11"/>
  <c r="N50" i="11"/>
  <c r="M50" i="11"/>
  <c r="Q49" i="11"/>
  <c r="P49" i="11"/>
  <c r="O49" i="11"/>
  <c r="N49" i="11"/>
  <c r="M49" i="11"/>
  <c r="Q48" i="11"/>
  <c r="P48" i="11"/>
  <c r="O48" i="11"/>
  <c r="N48" i="11"/>
  <c r="M48" i="11"/>
  <c r="Q44" i="11"/>
  <c r="P44" i="11"/>
  <c r="O44" i="11"/>
  <c r="N44" i="11"/>
  <c r="M44" i="11"/>
  <c r="Q43" i="11"/>
  <c r="P43" i="11"/>
  <c r="O43" i="11"/>
  <c r="N43" i="11"/>
  <c r="M43" i="11"/>
  <c r="Q42" i="11"/>
  <c r="P42" i="11"/>
  <c r="O42" i="11"/>
  <c r="N42" i="11"/>
  <c r="M42" i="11"/>
  <c r="Q41" i="11"/>
  <c r="P41" i="11"/>
  <c r="O41" i="11"/>
  <c r="N41" i="11"/>
  <c r="M41" i="11"/>
  <c r="Q37" i="11"/>
  <c r="P37" i="11"/>
  <c r="O37" i="11"/>
  <c r="N37" i="11"/>
  <c r="M37" i="11"/>
  <c r="Q36" i="11"/>
  <c r="P36" i="11"/>
  <c r="O36" i="11"/>
  <c r="N36" i="11"/>
  <c r="M36" i="11"/>
  <c r="Q35" i="11"/>
  <c r="P35" i="11"/>
  <c r="O35" i="11"/>
  <c r="N35" i="11"/>
  <c r="M35" i="11"/>
  <c r="Q34" i="11"/>
  <c r="P34" i="11"/>
  <c r="O34" i="11"/>
  <c r="N34" i="11"/>
  <c r="M34" i="11"/>
  <c r="Q30" i="11"/>
  <c r="P30" i="11"/>
  <c r="O30" i="11"/>
  <c r="N30" i="11"/>
  <c r="M30" i="11"/>
  <c r="Q29" i="11"/>
  <c r="P29" i="11"/>
  <c r="O29" i="11"/>
  <c r="N29" i="11"/>
  <c r="M29" i="11"/>
  <c r="Q28" i="11"/>
  <c r="P28" i="11"/>
  <c r="O28" i="11"/>
  <c r="N28" i="11"/>
  <c r="M28" i="11"/>
  <c r="Q27" i="11"/>
  <c r="P27" i="11"/>
  <c r="O27" i="11"/>
  <c r="N27" i="11"/>
  <c r="M27" i="11"/>
  <c r="Q23" i="11"/>
  <c r="P23" i="11"/>
  <c r="O23" i="11"/>
  <c r="N23" i="11"/>
  <c r="M23" i="11"/>
  <c r="Q22" i="11"/>
  <c r="P22" i="11"/>
  <c r="O22" i="11"/>
  <c r="N22" i="11"/>
  <c r="M22" i="11"/>
  <c r="Q21" i="11"/>
  <c r="P21" i="11"/>
  <c r="O21" i="11"/>
  <c r="N21" i="11"/>
  <c r="M21" i="11"/>
  <c r="Q20" i="11"/>
  <c r="P20" i="11"/>
  <c r="O20" i="11"/>
  <c r="N20" i="11"/>
  <c r="M20" i="11"/>
  <c r="Q16" i="11"/>
  <c r="P16" i="11"/>
  <c r="O16" i="11"/>
  <c r="N16" i="11"/>
  <c r="M16" i="11"/>
  <c r="AA15" i="11"/>
  <c r="Z15" i="11"/>
  <c r="Y15" i="11"/>
  <c r="X15" i="11"/>
  <c r="Q15" i="11"/>
  <c r="P15" i="11"/>
  <c r="O15" i="11"/>
  <c r="N15" i="11"/>
  <c r="M15" i="11"/>
  <c r="AA14" i="11"/>
  <c r="Z14" i="11"/>
  <c r="Y14" i="11"/>
  <c r="X14" i="11"/>
  <c r="Q14" i="11"/>
  <c r="P14" i="11"/>
  <c r="O14" i="11"/>
  <c r="N14" i="11"/>
  <c r="M14" i="11"/>
  <c r="AA13" i="11"/>
  <c r="Z13" i="11"/>
  <c r="Y13" i="11"/>
  <c r="X13" i="11"/>
  <c r="Q13" i="11"/>
  <c r="P13" i="11"/>
  <c r="O13" i="11"/>
  <c r="N13" i="11"/>
  <c r="M13" i="11"/>
  <c r="AA12" i="11"/>
  <c r="Z12" i="11"/>
  <c r="Y12" i="11"/>
  <c r="X12" i="11"/>
  <c r="AA11" i="11"/>
  <c r="Z11" i="11"/>
  <c r="Y11" i="11"/>
  <c r="X11" i="11"/>
  <c r="AA10" i="11"/>
  <c r="Z10" i="11"/>
  <c r="Y10" i="11"/>
  <c r="X10" i="11"/>
  <c r="AA9" i="11"/>
  <c r="Z9" i="11"/>
  <c r="Y9" i="11"/>
  <c r="X9" i="11"/>
  <c r="Q9" i="11"/>
  <c r="P9" i="11"/>
  <c r="O9" i="11"/>
  <c r="N9" i="11"/>
  <c r="M9" i="11"/>
  <c r="AA8" i="11"/>
  <c r="Z8" i="11"/>
  <c r="Y8" i="11"/>
  <c r="X8" i="11"/>
  <c r="Q8" i="11"/>
  <c r="P8" i="11"/>
  <c r="O8" i="11"/>
  <c r="N8" i="11"/>
  <c r="M8" i="11"/>
  <c r="AA7" i="11"/>
  <c r="Z7" i="11"/>
  <c r="Y7" i="11"/>
  <c r="X7" i="11"/>
  <c r="Q7" i="11"/>
  <c r="P7" i="11"/>
  <c r="O7" i="11"/>
  <c r="N7" i="11"/>
  <c r="M7" i="11"/>
  <c r="AA6" i="11"/>
  <c r="Z6" i="11"/>
  <c r="Y6" i="11"/>
  <c r="X6" i="11"/>
  <c r="Q6" i="11"/>
  <c r="P6" i="11"/>
  <c r="O6" i="11"/>
  <c r="N6" i="11"/>
  <c r="M6" i="11"/>
  <c r="AA5" i="11"/>
  <c r="Z5" i="11"/>
  <c r="Y5" i="11"/>
  <c r="X5" i="11"/>
  <c r="Z4" i="11"/>
  <c r="Y4" i="11"/>
  <c r="X4" i="11"/>
  <c r="Q86" i="20"/>
  <c r="P86" i="20"/>
  <c r="O86" i="20"/>
  <c r="N86" i="20"/>
  <c r="M86" i="20"/>
  <c r="Q85" i="20"/>
  <c r="P85" i="20"/>
  <c r="O85" i="20"/>
  <c r="N85" i="20"/>
  <c r="M85" i="20"/>
  <c r="Q84" i="20"/>
  <c r="P84" i="20"/>
  <c r="O84" i="20"/>
  <c r="N84" i="20"/>
  <c r="M84" i="20"/>
  <c r="Q83" i="20"/>
  <c r="P83" i="20"/>
  <c r="O83" i="20"/>
  <c r="N83" i="20"/>
  <c r="M83" i="20"/>
  <c r="Q79" i="20"/>
  <c r="P79" i="20"/>
  <c r="O79" i="20"/>
  <c r="N79" i="20"/>
  <c r="M79" i="20"/>
  <c r="Q78" i="20"/>
  <c r="P78" i="20"/>
  <c r="O78" i="20"/>
  <c r="N78" i="20"/>
  <c r="M78" i="20"/>
  <c r="Q77" i="20"/>
  <c r="P77" i="20"/>
  <c r="O77" i="20"/>
  <c r="N77" i="20"/>
  <c r="M77" i="20"/>
  <c r="Q76" i="20"/>
  <c r="P76" i="20"/>
  <c r="O76" i="20"/>
  <c r="N76" i="20"/>
  <c r="M76" i="20"/>
  <c r="Q72" i="20"/>
  <c r="P72" i="20"/>
  <c r="O72" i="20"/>
  <c r="N72" i="20"/>
  <c r="M72" i="20"/>
  <c r="Q71" i="20"/>
  <c r="P71" i="20"/>
  <c r="O71" i="20"/>
  <c r="N71" i="20"/>
  <c r="M71" i="20"/>
  <c r="Q70" i="20"/>
  <c r="P70" i="20"/>
  <c r="O70" i="20"/>
  <c r="N70" i="20"/>
  <c r="M70" i="20"/>
  <c r="Q69" i="20"/>
  <c r="P69" i="20"/>
  <c r="O69" i="20"/>
  <c r="N69" i="20"/>
  <c r="M69" i="20"/>
  <c r="Q65" i="20"/>
  <c r="P65" i="20"/>
  <c r="O65" i="20"/>
  <c r="N65" i="20"/>
  <c r="M65" i="20"/>
  <c r="Q64" i="20"/>
  <c r="P64" i="20"/>
  <c r="O64" i="20"/>
  <c r="N64" i="20"/>
  <c r="M64" i="20"/>
  <c r="Q63" i="20"/>
  <c r="P63" i="20"/>
  <c r="O63" i="20"/>
  <c r="N63" i="20"/>
  <c r="M63" i="20"/>
  <c r="Q62" i="20"/>
  <c r="P62" i="20"/>
  <c r="O62" i="20"/>
  <c r="N62" i="20"/>
  <c r="M62" i="20"/>
  <c r="Q58" i="20"/>
  <c r="P58" i="20"/>
  <c r="O58" i="20"/>
  <c r="N58" i="20"/>
  <c r="M58" i="20"/>
  <c r="Q57" i="20"/>
  <c r="P57" i="20"/>
  <c r="O57" i="20"/>
  <c r="N57" i="20"/>
  <c r="M57" i="20"/>
  <c r="Q56" i="20"/>
  <c r="P56" i="20"/>
  <c r="O56" i="20"/>
  <c r="N56" i="20"/>
  <c r="M56" i="20"/>
  <c r="Q55" i="20"/>
  <c r="P55" i="20"/>
  <c r="O55" i="20"/>
  <c r="N55" i="20"/>
  <c r="M55" i="20"/>
  <c r="Q51" i="20"/>
  <c r="P51" i="20"/>
  <c r="O51" i="20"/>
  <c r="N51" i="20"/>
  <c r="M51" i="20"/>
  <c r="Q50" i="20"/>
  <c r="P50" i="20"/>
  <c r="O50" i="20"/>
  <c r="N50" i="20"/>
  <c r="M50" i="20"/>
  <c r="Q49" i="20"/>
  <c r="P49" i="20"/>
  <c r="O49" i="20"/>
  <c r="N49" i="20"/>
  <c r="M49" i="20"/>
  <c r="Q48" i="20"/>
  <c r="P48" i="20"/>
  <c r="O48" i="20"/>
  <c r="N48" i="20"/>
  <c r="M48" i="20"/>
  <c r="Q44" i="20"/>
  <c r="P44" i="20"/>
  <c r="O44" i="20"/>
  <c r="N44" i="20"/>
  <c r="M44" i="20"/>
  <c r="Q43" i="20"/>
  <c r="P43" i="20"/>
  <c r="O43" i="20"/>
  <c r="N43" i="20"/>
  <c r="M43" i="20"/>
  <c r="Q42" i="20"/>
  <c r="P42" i="20"/>
  <c r="O42" i="20"/>
  <c r="N42" i="20"/>
  <c r="M42" i="20"/>
  <c r="Q41" i="20"/>
  <c r="P41" i="20"/>
  <c r="O41" i="20"/>
  <c r="N41" i="20"/>
  <c r="M41" i="20"/>
  <c r="Q37" i="20"/>
  <c r="P37" i="20"/>
  <c r="O37" i="20"/>
  <c r="N37" i="20"/>
  <c r="M37" i="20"/>
  <c r="Q36" i="20"/>
  <c r="P36" i="20"/>
  <c r="O36" i="20"/>
  <c r="N36" i="20"/>
  <c r="M36" i="20"/>
  <c r="Q35" i="20"/>
  <c r="P35" i="20"/>
  <c r="O35" i="20"/>
  <c r="N35" i="20"/>
  <c r="M35" i="20"/>
  <c r="Q34" i="20"/>
  <c r="P34" i="20"/>
  <c r="O34" i="20"/>
  <c r="N34" i="20"/>
  <c r="M34" i="20"/>
  <c r="Q30" i="20"/>
  <c r="P30" i="20"/>
  <c r="O30" i="20"/>
  <c r="N30" i="20"/>
  <c r="M30" i="20"/>
  <c r="Q29" i="20"/>
  <c r="P29" i="20"/>
  <c r="O29" i="20"/>
  <c r="N29" i="20"/>
  <c r="M29" i="20"/>
  <c r="Q28" i="20"/>
  <c r="P28" i="20"/>
  <c r="O28" i="20"/>
  <c r="N28" i="20"/>
  <c r="M28" i="20"/>
  <c r="Q27" i="20"/>
  <c r="P27" i="20"/>
  <c r="O27" i="20"/>
  <c r="N27" i="20"/>
  <c r="M27" i="20"/>
  <c r="Q23" i="20"/>
  <c r="P23" i="20"/>
  <c r="O23" i="20"/>
  <c r="N23" i="20"/>
  <c r="M23" i="20"/>
  <c r="Q22" i="20"/>
  <c r="P22" i="20"/>
  <c r="O22" i="20"/>
  <c r="N22" i="20"/>
  <c r="M22" i="20"/>
  <c r="Q21" i="20"/>
  <c r="P21" i="20"/>
  <c r="O21" i="20"/>
  <c r="N21" i="20"/>
  <c r="M21" i="20"/>
  <c r="Q20" i="20"/>
  <c r="P20" i="20"/>
  <c r="O20" i="20"/>
  <c r="N20" i="20"/>
  <c r="M20" i="20"/>
  <c r="Q16" i="20"/>
  <c r="P16" i="20"/>
  <c r="O16" i="20"/>
  <c r="N16" i="20"/>
  <c r="M16" i="20"/>
  <c r="AA15" i="20"/>
  <c r="Z15" i="20"/>
  <c r="Y15" i="20"/>
  <c r="X15" i="20"/>
  <c r="Q15" i="20"/>
  <c r="P15" i="20"/>
  <c r="O15" i="20"/>
  <c r="N15" i="20"/>
  <c r="M15" i="20"/>
  <c r="AA14" i="20"/>
  <c r="Z14" i="20"/>
  <c r="Y14" i="20"/>
  <c r="X14" i="20"/>
  <c r="Q14" i="20"/>
  <c r="P14" i="20"/>
  <c r="O14" i="20"/>
  <c r="N14" i="20"/>
  <c r="M14" i="20"/>
  <c r="AA13" i="20"/>
  <c r="Z13" i="20"/>
  <c r="Y13" i="20"/>
  <c r="X13" i="20"/>
  <c r="Q13" i="20"/>
  <c r="P13" i="20"/>
  <c r="O13" i="20"/>
  <c r="N13" i="20"/>
  <c r="M13" i="20"/>
  <c r="AA12" i="20"/>
  <c r="Z12" i="20"/>
  <c r="Y12" i="20"/>
  <c r="X12" i="20"/>
  <c r="AA11" i="20"/>
  <c r="Z11" i="20"/>
  <c r="Y11" i="20"/>
  <c r="X11" i="20"/>
  <c r="AA10" i="20"/>
  <c r="Z10" i="20"/>
  <c r="Y10" i="20"/>
  <c r="X10" i="20"/>
  <c r="AA9" i="20"/>
  <c r="Z9" i="20"/>
  <c r="Y9" i="20"/>
  <c r="X9" i="20"/>
  <c r="Q9" i="20"/>
  <c r="P9" i="20"/>
  <c r="O9" i="20"/>
  <c r="N9" i="20"/>
  <c r="M9" i="20"/>
  <c r="AA8" i="20"/>
  <c r="Z8" i="20"/>
  <c r="Y8" i="20"/>
  <c r="X8" i="20"/>
  <c r="Q8" i="20"/>
  <c r="P8" i="20"/>
  <c r="O8" i="20"/>
  <c r="N8" i="20"/>
  <c r="M8" i="20"/>
  <c r="AA7" i="20"/>
  <c r="Z7" i="20"/>
  <c r="Y7" i="20"/>
  <c r="X7" i="20"/>
  <c r="Q7" i="20"/>
  <c r="P7" i="20"/>
  <c r="O7" i="20"/>
  <c r="N7" i="20"/>
  <c r="M7" i="20"/>
  <c r="AA6" i="20"/>
  <c r="Z6" i="20"/>
  <c r="Y6" i="20"/>
  <c r="X6" i="20"/>
  <c r="Q6" i="20"/>
  <c r="P6" i="20"/>
  <c r="O6" i="20"/>
  <c r="N6" i="20"/>
  <c r="M6" i="20"/>
  <c r="AA5" i="20"/>
  <c r="Z5" i="20"/>
  <c r="Y5" i="20"/>
  <c r="X5" i="20"/>
  <c r="Z4" i="20"/>
  <c r="Y4" i="20"/>
  <c r="X4" i="20"/>
  <c r="Q86" i="14"/>
  <c r="P86" i="14"/>
  <c r="O86" i="14"/>
  <c r="N86" i="14"/>
  <c r="M86" i="14"/>
  <c r="Q85" i="14"/>
  <c r="P85" i="14"/>
  <c r="O85" i="14"/>
  <c r="N85" i="14"/>
  <c r="M85" i="14"/>
  <c r="Q84" i="14"/>
  <c r="P84" i="14"/>
  <c r="O84" i="14"/>
  <c r="N84" i="14"/>
  <c r="M84" i="14"/>
  <c r="Q83" i="14"/>
  <c r="P83" i="14"/>
  <c r="O83" i="14"/>
  <c r="N83" i="14"/>
  <c r="M83" i="14"/>
  <c r="Q79" i="14"/>
  <c r="P79" i="14"/>
  <c r="O79" i="14"/>
  <c r="N79" i="14"/>
  <c r="M79" i="14"/>
  <c r="Q78" i="14"/>
  <c r="P78" i="14"/>
  <c r="O78" i="14"/>
  <c r="N78" i="14"/>
  <c r="M78" i="14"/>
  <c r="Q77" i="14"/>
  <c r="P77" i="14"/>
  <c r="O77" i="14"/>
  <c r="N77" i="14"/>
  <c r="M77" i="14"/>
  <c r="Q76" i="14"/>
  <c r="P76" i="14"/>
  <c r="O76" i="14"/>
  <c r="N76" i="14"/>
  <c r="M76" i="14"/>
  <c r="Q72" i="14"/>
  <c r="P72" i="14"/>
  <c r="O72" i="14"/>
  <c r="N72" i="14"/>
  <c r="M72" i="14"/>
  <c r="Q71" i="14"/>
  <c r="P71" i="14"/>
  <c r="O71" i="14"/>
  <c r="N71" i="14"/>
  <c r="M71" i="14"/>
  <c r="Q70" i="14"/>
  <c r="P70" i="14"/>
  <c r="O70" i="14"/>
  <c r="N70" i="14"/>
  <c r="M70" i="14"/>
  <c r="Q69" i="14"/>
  <c r="P69" i="14"/>
  <c r="O69" i="14"/>
  <c r="N69" i="14"/>
  <c r="M69" i="14"/>
  <c r="Q65" i="14"/>
  <c r="P65" i="14"/>
  <c r="O65" i="14"/>
  <c r="N65" i="14"/>
  <c r="M65" i="14"/>
  <c r="Q64" i="14"/>
  <c r="P64" i="14"/>
  <c r="O64" i="14"/>
  <c r="N64" i="14"/>
  <c r="M64" i="14"/>
  <c r="Q63" i="14"/>
  <c r="P63" i="14"/>
  <c r="O63" i="14"/>
  <c r="N63" i="14"/>
  <c r="M63" i="14"/>
  <c r="Q62" i="14"/>
  <c r="P62" i="14"/>
  <c r="O62" i="14"/>
  <c r="N62" i="14"/>
  <c r="M62" i="14"/>
  <c r="Q58" i="14"/>
  <c r="P58" i="14"/>
  <c r="O58" i="14"/>
  <c r="N58" i="14"/>
  <c r="M58" i="14"/>
  <c r="Q57" i="14"/>
  <c r="P57" i="14"/>
  <c r="O57" i="14"/>
  <c r="N57" i="14"/>
  <c r="M57" i="14"/>
  <c r="Q56" i="14"/>
  <c r="P56" i="14"/>
  <c r="O56" i="14"/>
  <c r="N56" i="14"/>
  <c r="M56" i="14"/>
  <c r="Q55" i="14"/>
  <c r="P55" i="14"/>
  <c r="O55" i="14"/>
  <c r="N55" i="14"/>
  <c r="M55" i="14"/>
  <c r="Q51" i="14"/>
  <c r="P51" i="14"/>
  <c r="O51" i="14"/>
  <c r="N51" i="14"/>
  <c r="M51" i="14"/>
  <c r="Q50" i="14"/>
  <c r="P50" i="14"/>
  <c r="O50" i="14"/>
  <c r="N50" i="14"/>
  <c r="M50" i="14"/>
  <c r="Q49" i="14"/>
  <c r="P49" i="14"/>
  <c r="O49" i="14"/>
  <c r="N49" i="14"/>
  <c r="M49" i="14"/>
  <c r="Q48" i="14"/>
  <c r="P48" i="14"/>
  <c r="O48" i="14"/>
  <c r="N48" i="14"/>
  <c r="M48" i="14"/>
  <c r="Q44" i="14"/>
  <c r="P44" i="14"/>
  <c r="O44" i="14"/>
  <c r="N44" i="14"/>
  <c r="M44" i="14"/>
  <c r="Q43" i="14"/>
  <c r="P43" i="14"/>
  <c r="O43" i="14"/>
  <c r="N43" i="14"/>
  <c r="M43" i="14"/>
  <c r="Q42" i="14"/>
  <c r="P42" i="14"/>
  <c r="O42" i="14"/>
  <c r="N42" i="14"/>
  <c r="M42" i="14"/>
  <c r="Q41" i="14"/>
  <c r="P41" i="14"/>
  <c r="O41" i="14"/>
  <c r="N41" i="14"/>
  <c r="M41" i="14"/>
  <c r="Q37" i="14"/>
  <c r="P37" i="14"/>
  <c r="O37" i="14"/>
  <c r="N37" i="14"/>
  <c r="M37" i="14"/>
  <c r="Q36" i="14"/>
  <c r="P36" i="14"/>
  <c r="O36" i="14"/>
  <c r="N36" i="14"/>
  <c r="M36" i="14"/>
  <c r="Q35" i="14"/>
  <c r="P35" i="14"/>
  <c r="O35" i="14"/>
  <c r="N35" i="14"/>
  <c r="M35" i="14"/>
  <c r="Q34" i="14"/>
  <c r="P34" i="14"/>
  <c r="O34" i="14"/>
  <c r="N34" i="14"/>
  <c r="M34" i="14"/>
  <c r="Q30" i="14"/>
  <c r="P30" i="14"/>
  <c r="O30" i="14"/>
  <c r="N30" i="14"/>
  <c r="M30" i="14"/>
  <c r="Q29" i="14"/>
  <c r="P29" i="14"/>
  <c r="O29" i="14"/>
  <c r="N29" i="14"/>
  <c r="M29" i="14"/>
  <c r="Q28" i="14"/>
  <c r="P28" i="14"/>
  <c r="O28" i="14"/>
  <c r="N28" i="14"/>
  <c r="M28" i="14"/>
  <c r="Q27" i="14"/>
  <c r="P27" i="14"/>
  <c r="O27" i="14"/>
  <c r="N27" i="14"/>
  <c r="M27" i="14"/>
  <c r="Q23" i="14"/>
  <c r="P23" i="14"/>
  <c r="O23" i="14"/>
  <c r="N23" i="14"/>
  <c r="M23" i="14"/>
  <c r="Q22" i="14"/>
  <c r="P22" i="14"/>
  <c r="O22" i="14"/>
  <c r="N22" i="14"/>
  <c r="M22" i="14"/>
  <c r="Q21" i="14"/>
  <c r="P21" i="14"/>
  <c r="O21" i="14"/>
  <c r="N21" i="14"/>
  <c r="M21" i="14"/>
  <c r="Q20" i="14"/>
  <c r="P20" i="14"/>
  <c r="O20" i="14"/>
  <c r="N20" i="14"/>
  <c r="M20" i="14"/>
  <c r="Q16" i="14"/>
  <c r="P16" i="14"/>
  <c r="O16" i="14"/>
  <c r="N16" i="14"/>
  <c r="M16" i="14"/>
  <c r="AA15" i="14"/>
  <c r="Z15" i="14"/>
  <c r="Y15" i="14"/>
  <c r="X15" i="14"/>
  <c r="Q15" i="14"/>
  <c r="P15" i="14"/>
  <c r="O15" i="14"/>
  <c r="N15" i="14"/>
  <c r="M15" i="14"/>
  <c r="AA14" i="14"/>
  <c r="Z14" i="14"/>
  <c r="Y14" i="14"/>
  <c r="X14" i="14"/>
  <c r="Q14" i="14"/>
  <c r="P14" i="14"/>
  <c r="O14" i="14"/>
  <c r="N14" i="14"/>
  <c r="M14" i="14"/>
  <c r="AA13" i="14"/>
  <c r="Z13" i="14"/>
  <c r="Y13" i="14"/>
  <c r="X13" i="14"/>
  <c r="Q13" i="14"/>
  <c r="P13" i="14"/>
  <c r="O13" i="14"/>
  <c r="N13" i="14"/>
  <c r="M13" i="14"/>
  <c r="AA12" i="14"/>
  <c r="Z12" i="14"/>
  <c r="Y12" i="14"/>
  <c r="X12" i="14"/>
  <c r="AA11" i="14"/>
  <c r="Z11" i="14"/>
  <c r="Y11" i="14"/>
  <c r="X11" i="14"/>
  <c r="AA10" i="14"/>
  <c r="Z10" i="14"/>
  <c r="Y10" i="14"/>
  <c r="X10" i="14"/>
  <c r="AA9" i="14"/>
  <c r="Z9" i="14"/>
  <c r="Y9" i="14"/>
  <c r="X9" i="14"/>
  <c r="Q9" i="14"/>
  <c r="P9" i="14"/>
  <c r="O9" i="14"/>
  <c r="N9" i="14"/>
  <c r="M9" i="14"/>
  <c r="AA8" i="14"/>
  <c r="Z8" i="14"/>
  <c r="Y8" i="14"/>
  <c r="X8" i="14"/>
  <c r="Q8" i="14"/>
  <c r="P8" i="14"/>
  <c r="O8" i="14"/>
  <c r="N8" i="14"/>
  <c r="M8" i="14"/>
  <c r="AA7" i="14"/>
  <c r="Z7" i="14"/>
  <c r="Y7" i="14"/>
  <c r="X7" i="14"/>
  <c r="Q7" i="14"/>
  <c r="P7" i="14"/>
  <c r="O7" i="14"/>
  <c r="N7" i="14"/>
  <c r="M7" i="14"/>
  <c r="AA6" i="14"/>
  <c r="Z6" i="14"/>
  <c r="Y6" i="14"/>
  <c r="X6" i="14"/>
  <c r="Q6" i="14"/>
  <c r="P6" i="14"/>
  <c r="O6" i="14"/>
  <c r="N6" i="14"/>
  <c r="M6" i="14"/>
  <c r="AA5" i="14"/>
  <c r="Z5" i="14"/>
  <c r="Y5" i="14"/>
  <c r="X5" i="14"/>
  <c r="Z4" i="14"/>
  <c r="Y4" i="14"/>
  <c r="X4" i="14"/>
  <c r="Q86" i="13"/>
  <c r="P86" i="13"/>
  <c r="O86" i="13"/>
  <c r="N86" i="13"/>
  <c r="M86" i="13"/>
  <c r="Q85" i="13"/>
  <c r="P85" i="13"/>
  <c r="O85" i="13"/>
  <c r="N85" i="13"/>
  <c r="M85" i="13"/>
  <c r="Q84" i="13"/>
  <c r="P84" i="13"/>
  <c r="O84" i="13"/>
  <c r="N84" i="13"/>
  <c r="M84" i="13"/>
  <c r="Q83" i="13"/>
  <c r="P83" i="13"/>
  <c r="O83" i="13"/>
  <c r="N83" i="13"/>
  <c r="M83" i="13"/>
  <c r="Q79" i="13"/>
  <c r="P79" i="13"/>
  <c r="O79" i="13"/>
  <c r="N79" i="13"/>
  <c r="M79" i="13"/>
  <c r="Q78" i="13"/>
  <c r="P78" i="13"/>
  <c r="O78" i="13"/>
  <c r="N78" i="13"/>
  <c r="M78" i="13"/>
  <c r="Q77" i="13"/>
  <c r="P77" i="13"/>
  <c r="O77" i="13"/>
  <c r="N77" i="13"/>
  <c r="M77" i="13"/>
  <c r="Q76" i="13"/>
  <c r="P76" i="13"/>
  <c r="O76" i="13"/>
  <c r="N76" i="13"/>
  <c r="M76" i="13"/>
  <c r="Q72" i="13"/>
  <c r="P72" i="13"/>
  <c r="O72" i="13"/>
  <c r="N72" i="13"/>
  <c r="M72" i="13"/>
  <c r="Q71" i="13"/>
  <c r="P71" i="13"/>
  <c r="O71" i="13"/>
  <c r="N71" i="13"/>
  <c r="M71" i="13"/>
  <c r="Q70" i="13"/>
  <c r="P70" i="13"/>
  <c r="O70" i="13"/>
  <c r="N70" i="13"/>
  <c r="M70" i="13"/>
  <c r="Q69" i="13"/>
  <c r="P69" i="13"/>
  <c r="O69" i="13"/>
  <c r="N69" i="13"/>
  <c r="M69" i="13"/>
  <c r="Q65" i="13"/>
  <c r="P65" i="13"/>
  <c r="O65" i="13"/>
  <c r="N65" i="13"/>
  <c r="M65" i="13"/>
  <c r="Q64" i="13"/>
  <c r="P64" i="13"/>
  <c r="O64" i="13"/>
  <c r="N64" i="13"/>
  <c r="M64" i="13"/>
  <c r="Q63" i="13"/>
  <c r="P63" i="13"/>
  <c r="O63" i="13"/>
  <c r="N63" i="13"/>
  <c r="M63" i="13"/>
  <c r="Q62" i="13"/>
  <c r="P62" i="13"/>
  <c r="O62" i="13"/>
  <c r="N62" i="13"/>
  <c r="M62" i="13"/>
  <c r="Q58" i="13"/>
  <c r="P58" i="13"/>
  <c r="O58" i="13"/>
  <c r="N58" i="13"/>
  <c r="M58" i="13"/>
  <c r="Q57" i="13"/>
  <c r="P57" i="13"/>
  <c r="O57" i="13"/>
  <c r="N57" i="13"/>
  <c r="M57" i="13"/>
  <c r="Q56" i="13"/>
  <c r="P56" i="13"/>
  <c r="O56" i="13"/>
  <c r="N56" i="13"/>
  <c r="M56" i="13"/>
  <c r="Q55" i="13"/>
  <c r="P55" i="13"/>
  <c r="O55" i="13"/>
  <c r="N55" i="13"/>
  <c r="M55" i="13"/>
  <c r="Q51" i="13"/>
  <c r="P51" i="13"/>
  <c r="O51" i="13"/>
  <c r="N51" i="13"/>
  <c r="M51" i="13"/>
  <c r="Q50" i="13"/>
  <c r="P50" i="13"/>
  <c r="O50" i="13"/>
  <c r="N50" i="13"/>
  <c r="M50" i="13"/>
  <c r="Q49" i="13"/>
  <c r="P49" i="13"/>
  <c r="O49" i="13"/>
  <c r="N49" i="13"/>
  <c r="M49" i="13"/>
  <c r="Q48" i="13"/>
  <c r="P48" i="13"/>
  <c r="O48" i="13"/>
  <c r="N48" i="13"/>
  <c r="M48" i="13"/>
  <c r="Q44" i="13"/>
  <c r="P44" i="13"/>
  <c r="O44" i="13"/>
  <c r="N44" i="13"/>
  <c r="M44" i="13"/>
  <c r="Q43" i="13"/>
  <c r="P43" i="13"/>
  <c r="O43" i="13"/>
  <c r="N43" i="13"/>
  <c r="M43" i="13"/>
  <c r="Q42" i="13"/>
  <c r="P42" i="13"/>
  <c r="O42" i="13"/>
  <c r="N42" i="13"/>
  <c r="M42" i="13"/>
  <c r="Q41" i="13"/>
  <c r="P41" i="13"/>
  <c r="O41" i="13"/>
  <c r="N41" i="13"/>
  <c r="M41" i="13"/>
  <c r="Q37" i="13"/>
  <c r="P37" i="13"/>
  <c r="O37" i="13"/>
  <c r="N37" i="13"/>
  <c r="M37" i="13"/>
  <c r="Q36" i="13"/>
  <c r="P36" i="13"/>
  <c r="O36" i="13"/>
  <c r="N36" i="13"/>
  <c r="M36" i="13"/>
  <c r="Q35" i="13"/>
  <c r="P35" i="13"/>
  <c r="O35" i="13"/>
  <c r="N35" i="13"/>
  <c r="M35" i="13"/>
  <c r="Q34" i="13"/>
  <c r="P34" i="13"/>
  <c r="O34" i="13"/>
  <c r="N34" i="13"/>
  <c r="M34" i="13"/>
  <c r="Q30" i="13"/>
  <c r="P30" i="13"/>
  <c r="O30" i="13"/>
  <c r="N30" i="13"/>
  <c r="M30" i="13"/>
  <c r="Q29" i="13"/>
  <c r="P29" i="13"/>
  <c r="O29" i="13"/>
  <c r="N29" i="13"/>
  <c r="M29" i="13"/>
  <c r="Q28" i="13"/>
  <c r="P28" i="13"/>
  <c r="O28" i="13"/>
  <c r="N28" i="13"/>
  <c r="M28" i="13"/>
  <c r="Q27" i="13"/>
  <c r="P27" i="13"/>
  <c r="O27" i="13"/>
  <c r="N27" i="13"/>
  <c r="M27" i="13"/>
  <c r="Q23" i="13"/>
  <c r="P23" i="13"/>
  <c r="O23" i="13"/>
  <c r="N23" i="13"/>
  <c r="M23" i="13"/>
  <c r="Q22" i="13"/>
  <c r="P22" i="13"/>
  <c r="O22" i="13"/>
  <c r="N22" i="13"/>
  <c r="M22" i="13"/>
  <c r="Q21" i="13"/>
  <c r="P21" i="13"/>
  <c r="O21" i="13"/>
  <c r="N21" i="13"/>
  <c r="M21" i="13"/>
  <c r="Q20" i="13"/>
  <c r="P20" i="13"/>
  <c r="O20" i="13"/>
  <c r="N20" i="13"/>
  <c r="M20" i="13"/>
  <c r="Q16" i="13"/>
  <c r="P16" i="13"/>
  <c r="O16" i="13"/>
  <c r="N16" i="13"/>
  <c r="M16" i="13"/>
  <c r="AA15" i="13"/>
  <c r="Z15" i="13"/>
  <c r="Y15" i="13"/>
  <c r="X15" i="13"/>
  <c r="Q15" i="13"/>
  <c r="P15" i="13"/>
  <c r="O15" i="13"/>
  <c r="N15" i="13"/>
  <c r="M15" i="13"/>
  <c r="AA14" i="13"/>
  <c r="Z14" i="13"/>
  <c r="Y14" i="13"/>
  <c r="X14" i="13"/>
  <c r="Q14" i="13"/>
  <c r="P14" i="13"/>
  <c r="O14" i="13"/>
  <c r="N14" i="13"/>
  <c r="M14" i="13"/>
  <c r="AA13" i="13"/>
  <c r="Z13" i="13"/>
  <c r="Y13" i="13"/>
  <c r="X13" i="13"/>
  <c r="Q13" i="13"/>
  <c r="P13" i="13"/>
  <c r="O13" i="13"/>
  <c r="N13" i="13"/>
  <c r="M13" i="13"/>
  <c r="AA12" i="13"/>
  <c r="Z12" i="13"/>
  <c r="Y12" i="13"/>
  <c r="X12" i="13"/>
  <c r="AA11" i="13"/>
  <c r="Z11" i="13"/>
  <c r="Y11" i="13"/>
  <c r="X11" i="13"/>
  <c r="AA10" i="13"/>
  <c r="Z10" i="13"/>
  <c r="Y10" i="13"/>
  <c r="X10" i="13"/>
  <c r="AA9" i="13"/>
  <c r="Z9" i="13"/>
  <c r="Y9" i="13"/>
  <c r="X9" i="13"/>
  <c r="Q9" i="13"/>
  <c r="P9" i="13"/>
  <c r="O9" i="13"/>
  <c r="N9" i="13"/>
  <c r="M9" i="13"/>
  <c r="AA8" i="13"/>
  <c r="Z8" i="13"/>
  <c r="Y8" i="13"/>
  <c r="X8" i="13"/>
  <c r="Q8" i="13"/>
  <c r="P8" i="13"/>
  <c r="O8" i="13"/>
  <c r="N8" i="13"/>
  <c r="M8" i="13"/>
  <c r="AA7" i="13"/>
  <c r="Z7" i="13"/>
  <c r="Y7" i="13"/>
  <c r="X7" i="13"/>
  <c r="Q7" i="13"/>
  <c r="P7" i="13"/>
  <c r="O7" i="13"/>
  <c r="N7" i="13"/>
  <c r="M7" i="13"/>
  <c r="AA6" i="13"/>
  <c r="Z6" i="13"/>
  <c r="Y6" i="13"/>
  <c r="X6" i="13"/>
  <c r="Q6" i="13"/>
  <c r="P6" i="13"/>
  <c r="O6" i="13"/>
  <c r="N6" i="13"/>
  <c r="M6" i="13"/>
  <c r="AA5" i="13"/>
  <c r="Z5" i="13"/>
  <c r="Y5" i="13"/>
  <c r="X5" i="13"/>
  <c r="Z4" i="13"/>
  <c r="Y4" i="13"/>
  <c r="X4" i="13"/>
  <c r="Q86" i="10"/>
  <c r="P86" i="10"/>
  <c r="O86" i="10"/>
  <c r="N86" i="10"/>
  <c r="M86" i="10"/>
  <c r="Q85" i="10"/>
  <c r="P85" i="10"/>
  <c r="O85" i="10"/>
  <c r="N85" i="10"/>
  <c r="M85" i="10"/>
  <c r="Q84" i="10"/>
  <c r="P84" i="10"/>
  <c r="O84" i="10"/>
  <c r="N84" i="10"/>
  <c r="M84" i="10"/>
  <c r="Q83" i="10"/>
  <c r="P83" i="10"/>
  <c r="O83" i="10"/>
  <c r="N83" i="10"/>
  <c r="M83" i="10"/>
  <c r="Q79" i="10"/>
  <c r="P79" i="10"/>
  <c r="O79" i="10"/>
  <c r="N79" i="10"/>
  <c r="M79" i="10"/>
  <c r="Q78" i="10"/>
  <c r="P78" i="10"/>
  <c r="O78" i="10"/>
  <c r="N78" i="10"/>
  <c r="M78" i="10"/>
  <c r="Q77" i="10"/>
  <c r="P77" i="10"/>
  <c r="O77" i="10"/>
  <c r="N77" i="10"/>
  <c r="M77" i="10"/>
  <c r="Q76" i="10"/>
  <c r="P76" i="10"/>
  <c r="O76" i="10"/>
  <c r="N76" i="10"/>
  <c r="M76" i="10"/>
  <c r="Q72" i="10"/>
  <c r="P72" i="10"/>
  <c r="O72" i="10"/>
  <c r="N72" i="10"/>
  <c r="M72" i="10"/>
  <c r="Q71" i="10"/>
  <c r="P71" i="10"/>
  <c r="O71" i="10"/>
  <c r="N71" i="10"/>
  <c r="M71" i="10"/>
  <c r="Q70" i="10"/>
  <c r="P70" i="10"/>
  <c r="O70" i="10"/>
  <c r="N70" i="10"/>
  <c r="M70" i="10"/>
  <c r="Q69" i="10"/>
  <c r="P69" i="10"/>
  <c r="O69" i="10"/>
  <c r="N69" i="10"/>
  <c r="M69" i="10"/>
  <c r="Q65" i="10"/>
  <c r="P65" i="10"/>
  <c r="O65" i="10"/>
  <c r="N65" i="10"/>
  <c r="M65" i="10"/>
  <c r="Q64" i="10"/>
  <c r="P64" i="10"/>
  <c r="O64" i="10"/>
  <c r="N64" i="10"/>
  <c r="M64" i="10"/>
  <c r="Q63" i="10"/>
  <c r="P63" i="10"/>
  <c r="O63" i="10"/>
  <c r="N63" i="10"/>
  <c r="M63" i="10"/>
  <c r="Q62" i="10"/>
  <c r="P62" i="10"/>
  <c r="O62" i="10"/>
  <c r="N62" i="10"/>
  <c r="M62" i="10"/>
  <c r="Q58" i="10"/>
  <c r="P58" i="10"/>
  <c r="O58" i="10"/>
  <c r="N58" i="10"/>
  <c r="M58" i="10"/>
  <c r="Q57" i="10"/>
  <c r="P57" i="10"/>
  <c r="O57" i="10"/>
  <c r="N57" i="10"/>
  <c r="M57" i="10"/>
  <c r="Q56" i="10"/>
  <c r="P56" i="10"/>
  <c r="O56" i="10"/>
  <c r="N56" i="10"/>
  <c r="M56" i="10"/>
  <c r="Q55" i="10"/>
  <c r="P55" i="10"/>
  <c r="O55" i="10"/>
  <c r="N55" i="10"/>
  <c r="M55" i="10"/>
  <c r="Q51" i="10"/>
  <c r="P51" i="10"/>
  <c r="O51" i="10"/>
  <c r="N51" i="10"/>
  <c r="M51" i="10"/>
  <c r="Q50" i="10"/>
  <c r="P50" i="10"/>
  <c r="O50" i="10"/>
  <c r="N50" i="10"/>
  <c r="M50" i="10"/>
  <c r="Q49" i="10"/>
  <c r="P49" i="10"/>
  <c r="O49" i="10"/>
  <c r="N49" i="10"/>
  <c r="M49" i="10"/>
  <c r="Q48" i="10"/>
  <c r="P48" i="10"/>
  <c r="O48" i="10"/>
  <c r="N48" i="10"/>
  <c r="M48" i="10"/>
  <c r="Q44" i="10"/>
  <c r="P44" i="10"/>
  <c r="O44" i="10"/>
  <c r="N44" i="10"/>
  <c r="M44" i="10"/>
  <c r="Q43" i="10"/>
  <c r="P43" i="10"/>
  <c r="O43" i="10"/>
  <c r="N43" i="10"/>
  <c r="M43" i="10"/>
  <c r="Q42" i="10"/>
  <c r="P42" i="10"/>
  <c r="O42" i="10"/>
  <c r="N42" i="10"/>
  <c r="M42" i="10"/>
  <c r="Q41" i="10"/>
  <c r="P41" i="10"/>
  <c r="O41" i="10"/>
  <c r="N41" i="10"/>
  <c r="M41" i="10"/>
  <c r="Q37" i="10"/>
  <c r="P37" i="10"/>
  <c r="O37" i="10"/>
  <c r="N37" i="10"/>
  <c r="M37" i="10"/>
  <c r="Q36" i="10"/>
  <c r="P36" i="10"/>
  <c r="O36" i="10"/>
  <c r="N36" i="10"/>
  <c r="M36" i="10"/>
  <c r="Q35" i="10"/>
  <c r="P35" i="10"/>
  <c r="O35" i="10"/>
  <c r="N35" i="10"/>
  <c r="M35" i="10"/>
  <c r="Q34" i="10"/>
  <c r="P34" i="10"/>
  <c r="O34" i="10"/>
  <c r="N34" i="10"/>
  <c r="M34" i="10"/>
  <c r="Q30" i="10"/>
  <c r="P30" i="10"/>
  <c r="O30" i="10"/>
  <c r="N30" i="10"/>
  <c r="M30" i="10"/>
  <c r="Q29" i="10"/>
  <c r="P29" i="10"/>
  <c r="O29" i="10"/>
  <c r="N29" i="10"/>
  <c r="M29" i="10"/>
  <c r="Q28" i="10"/>
  <c r="P28" i="10"/>
  <c r="O28" i="10"/>
  <c r="N28" i="10"/>
  <c r="M28" i="10"/>
  <c r="Q27" i="10"/>
  <c r="P27" i="10"/>
  <c r="O27" i="10"/>
  <c r="N27" i="10"/>
  <c r="M27" i="10"/>
  <c r="Q23" i="10"/>
  <c r="P23" i="10"/>
  <c r="O23" i="10"/>
  <c r="N23" i="10"/>
  <c r="M23" i="10"/>
  <c r="Q22" i="10"/>
  <c r="P22" i="10"/>
  <c r="O22" i="10"/>
  <c r="N22" i="10"/>
  <c r="M22" i="10"/>
  <c r="Q21" i="10"/>
  <c r="P21" i="10"/>
  <c r="O21" i="10"/>
  <c r="N21" i="10"/>
  <c r="M21" i="10"/>
  <c r="Q20" i="10"/>
  <c r="P20" i="10"/>
  <c r="O20" i="10"/>
  <c r="N20" i="10"/>
  <c r="M20" i="10"/>
  <c r="Q16" i="10"/>
  <c r="P16" i="10"/>
  <c r="O16" i="10"/>
  <c r="N16" i="10"/>
  <c r="M16" i="10"/>
  <c r="AA15" i="10"/>
  <c r="Z15" i="10"/>
  <c r="Y15" i="10"/>
  <c r="X15" i="10"/>
  <c r="Q15" i="10"/>
  <c r="P15" i="10"/>
  <c r="O15" i="10"/>
  <c r="N15" i="10"/>
  <c r="M15" i="10"/>
  <c r="AA14" i="10"/>
  <c r="Z14" i="10"/>
  <c r="Y14" i="10"/>
  <c r="X14" i="10"/>
  <c r="Q14" i="10"/>
  <c r="P14" i="10"/>
  <c r="O14" i="10"/>
  <c r="N14" i="10"/>
  <c r="M14" i="10"/>
  <c r="AA13" i="10"/>
  <c r="Z13" i="10"/>
  <c r="Y13" i="10"/>
  <c r="X13" i="10"/>
  <c r="Q13" i="10"/>
  <c r="P13" i="10"/>
  <c r="O13" i="10"/>
  <c r="N13" i="10"/>
  <c r="M13" i="10"/>
  <c r="AA12" i="10"/>
  <c r="Z12" i="10"/>
  <c r="Y12" i="10"/>
  <c r="X12" i="10"/>
  <c r="AA11" i="10"/>
  <c r="Z11" i="10"/>
  <c r="Y11" i="10"/>
  <c r="X11" i="10"/>
  <c r="AA10" i="10"/>
  <c r="Z10" i="10"/>
  <c r="Y10" i="10"/>
  <c r="X10" i="10"/>
  <c r="AA9" i="10"/>
  <c r="Z9" i="10"/>
  <c r="Y9" i="10"/>
  <c r="X9" i="10"/>
  <c r="Q9" i="10"/>
  <c r="P9" i="10"/>
  <c r="O9" i="10"/>
  <c r="N9" i="10"/>
  <c r="M9" i="10"/>
  <c r="AA8" i="10"/>
  <c r="Z8" i="10"/>
  <c r="Y8" i="10"/>
  <c r="X8" i="10"/>
  <c r="Q8" i="10"/>
  <c r="P8" i="10"/>
  <c r="O8" i="10"/>
  <c r="N8" i="10"/>
  <c r="M8" i="10"/>
  <c r="AA7" i="10"/>
  <c r="Z7" i="10"/>
  <c r="Y7" i="10"/>
  <c r="X7" i="10"/>
  <c r="Q7" i="10"/>
  <c r="P7" i="10"/>
  <c r="O7" i="10"/>
  <c r="N7" i="10"/>
  <c r="M7" i="10"/>
  <c r="AA6" i="10"/>
  <c r="Z6" i="10"/>
  <c r="Y6" i="10"/>
  <c r="X6" i="10"/>
  <c r="Q6" i="10"/>
  <c r="P6" i="10"/>
  <c r="O6" i="10"/>
  <c r="N6" i="10"/>
  <c r="M6" i="10"/>
  <c r="AA5" i="10"/>
  <c r="Z5" i="10"/>
  <c r="Y5" i="10"/>
  <c r="X5" i="10"/>
  <c r="Z4" i="10"/>
  <c r="Y4" i="10"/>
  <c r="X4" i="10"/>
  <c r="Q86" i="12"/>
  <c r="P86" i="12"/>
  <c r="O86" i="12"/>
  <c r="N86" i="12"/>
  <c r="M86" i="12"/>
  <c r="Q85" i="12"/>
  <c r="P85" i="12"/>
  <c r="O85" i="12"/>
  <c r="N85" i="12"/>
  <c r="M85" i="12"/>
  <c r="Q84" i="12"/>
  <c r="P84" i="12"/>
  <c r="O84" i="12"/>
  <c r="N84" i="12"/>
  <c r="M84" i="12"/>
  <c r="Q83" i="12"/>
  <c r="P83" i="12"/>
  <c r="O83" i="12"/>
  <c r="N83" i="12"/>
  <c r="M83" i="12"/>
  <c r="Q79" i="12"/>
  <c r="P79" i="12"/>
  <c r="O79" i="12"/>
  <c r="N79" i="12"/>
  <c r="M79" i="12"/>
  <c r="Q78" i="12"/>
  <c r="P78" i="12"/>
  <c r="O78" i="12"/>
  <c r="N78" i="12"/>
  <c r="M78" i="12"/>
  <c r="Q77" i="12"/>
  <c r="P77" i="12"/>
  <c r="O77" i="12"/>
  <c r="N77" i="12"/>
  <c r="M77" i="12"/>
  <c r="Q76" i="12"/>
  <c r="P76" i="12"/>
  <c r="O76" i="12"/>
  <c r="N76" i="12"/>
  <c r="M76" i="12"/>
  <c r="Q72" i="12"/>
  <c r="P72" i="12"/>
  <c r="O72" i="12"/>
  <c r="N72" i="12"/>
  <c r="M72" i="12"/>
  <c r="Q71" i="12"/>
  <c r="P71" i="12"/>
  <c r="O71" i="12"/>
  <c r="N71" i="12"/>
  <c r="M71" i="12"/>
  <c r="Q70" i="12"/>
  <c r="P70" i="12"/>
  <c r="O70" i="12"/>
  <c r="N70" i="12"/>
  <c r="M70" i="12"/>
  <c r="Q69" i="12"/>
  <c r="P69" i="12"/>
  <c r="O69" i="12"/>
  <c r="N69" i="12"/>
  <c r="M69" i="12"/>
  <c r="Q65" i="12"/>
  <c r="P65" i="12"/>
  <c r="O65" i="12"/>
  <c r="N65" i="12"/>
  <c r="M65" i="12"/>
  <c r="Q64" i="12"/>
  <c r="P64" i="12"/>
  <c r="O64" i="12"/>
  <c r="N64" i="12"/>
  <c r="M64" i="12"/>
  <c r="Q63" i="12"/>
  <c r="P63" i="12"/>
  <c r="O63" i="12"/>
  <c r="N63" i="12"/>
  <c r="M63" i="12"/>
  <c r="Q62" i="12"/>
  <c r="P62" i="12"/>
  <c r="O62" i="12"/>
  <c r="N62" i="12"/>
  <c r="M62" i="12"/>
  <c r="Q58" i="12"/>
  <c r="P58" i="12"/>
  <c r="O58" i="12"/>
  <c r="N58" i="12"/>
  <c r="M58" i="12"/>
  <c r="Q57" i="12"/>
  <c r="P57" i="12"/>
  <c r="O57" i="12"/>
  <c r="N57" i="12"/>
  <c r="M57" i="12"/>
  <c r="Q56" i="12"/>
  <c r="P56" i="12"/>
  <c r="O56" i="12"/>
  <c r="N56" i="12"/>
  <c r="M56" i="12"/>
  <c r="Q55" i="12"/>
  <c r="P55" i="12"/>
  <c r="O55" i="12"/>
  <c r="N55" i="12"/>
  <c r="M55" i="12"/>
  <c r="Q51" i="12"/>
  <c r="P51" i="12"/>
  <c r="O51" i="12"/>
  <c r="N51" i="12"/>
  <c r="M51" i="12"/>
  <c r="Q50" i="12"/>
  <c r="P50" i="12"/>
  <c r="O50" i="12"/>
  <c r="N50" i="12"/>
  <c r="M50" i="12"/>
  <c r="Q49" i="12"/>
  <c r="P49" i="12"/>
  <c r="O49" i="12"/>
  <c r="N49" i="12"/>
  <c r="M49" i="12"/>
  <c r="Q48" i="12"/>
  <c r="P48" i="12"/>
  <c r="O48" i="12"/>
  <c r="N48" i="12"/>
  <c r="M48" i="12"/>
  <c r="Q44" i="12"/>
  <c r="P44" i="12"/>
  <c r="O44" i="12"/>
  <c r="N44" i="12"/>
  <c r="M44" i="12"/>
  <c r="Q43" i="12"/>
  <c r="P43" i="12"/>
  <c r="O43" i="12"/>
  <c r="N43" i="12"/>
  <c r="M43" i="12"/>
  <c r="Q42" i="12"/>
  <c r="P42" i="12"/>
  <c r="O42" i="12"/>
  <c r="N42" i="12"/>
  <c r="M42" i="12"/>
  <c r="Q41" i="12"/>
  <c r="P41" i="12"/>
  <c r="O41" i="12"/>
  <c r="N41" i="12"/>
  <c r="M41" i="12"/>
  <c r="Q37" i="12"/>
  <c r="P37" i="12"/>
  <c r="O37" i="12"/>
  <c r="N37" i="12"/>
  <c r="M37" i="12"/>
  <c r="Q36" i="12"/>
  <c r="P36" i="12"/>
  <c r="O36" i="12"/>
  <c r="N36" i="12"/>
  <c r="M36" i="12"/>
  <c r="Q35" i="12"/>
  <c r="P35" i="12"/>
  <c r="O35" i="12"/>
  <c r="N35" i="12"/>
  <c r="M35" i="12"/>
  <c r="Q34" i="12"/>
  <c r="P34" i="12"/>
  <c r="O34" i="12"/>
  <c r="N34" i="12"/>
  <c r="M34" i="12"/>
  <c r="Q30" i="12"/>
  <c r="P30" i="12"/>
  <c r="O30" i="12"/>
  <c r="N30" i="12"/>
  <c r="M30" i="12"/>
  <c r="Q29" i="12"/>
  <c r="P29" i="12"/>
  <c r="O29" i="12"/>
  <c r="N29" i="12"/>
  <c r="M29" i="12"/>
  <c r="Q28" i="12"/>
  <c r="P28" i="12"/>
  <c r="O28" i="12"/>
  <c r="N28" i="12"/>
  <c r="M28" i="12"/>
  <c r="Q27" i="12"/>
  <c r="P27" i="12"/>
  <c r="O27" i="12"/>
  <c r="N27" i="12"/>
  <c r="M27" i="12"/>
  <c r="Q23" i="12"/>
  <c r="P23" i="12"/>
  <c r="O23" i="12"/>
  <c r="N23" i="12"/>
  <c r="M23" i="12"/>
  <c r="Q22" i="12"/>
  <c r="P22" i="12"/>
  <c r="O22" i="12"/>
  <c r="N22" i="12"/>
  <c r="M22" i="12"/>
  <c r="Q21" i="12"/>
  <c r="P21" i="12"/>
  <c r="O21" i="12"/>
  <c r="N21" i="12"/>
  <c r="M21" i="12"/>
  <c r="Q20" i="12"/>
  <c r="P20" i="12"/>
  <c r="O20" i="12"/>
  <c r="N20" i="12"/>
  <c r="M20" i="12"/>
  <c r="Q16" i="12"/>
  <c r="P16" i="12"/>
  <c r="O16" i="12"/>
  <c r="N16" i="12"/>
  <c r="M16" i="12"/>
  <c r="AA15" i="12"/>
  <c r="Z15" i="12"/>
  <c r="Y15" i="12"/>
  <c r="X15" i="12"/>
  <c r="Q15" i="12"/>
  <c r="P15" i="12"/>
  <c r="O15" i="12"/>
  <c r="N15" i="12"/>
  <c r="M15" i="12"/>
  <c r="AA14" i="12"/>
  <c r="Z14" i="12"/>
  <c r="Y14" i="12"/>
  <c r="X14" i="12"/>
  <c r="Q14" i="12"/>
  <c r="P14" i="12"/>
  <c r="O14" i="12"/>
  <c r="N14" i="12"/>
  <c r="M14" i="12"/>
  <c r="AA13" i="12"/>
  <c r="Z13" i="12"/>
  <c r="Y13" i="12"/>
  <c r="X13" i="12"/>
  <c r="Q13" i="12"/>
  <c r="P13" i="12"/>
  <c r="O13" i="12"/>
  <c r="N13" i="12"/>
  <c r="M13" i="12"/>
  <c r="AA12" i="12"/>
  <c r="Z12" i="12"/>
  <c r="Y12" i="12"/>
  <c r="X12" i="12"/>
  <c r="AA11" i="12"/>
  <c r="Z11" i="12"/>
  <c r="Y11" i="12"/>
  <c r="X11" i="12"/>
  <c r="AA10" i="12"/>
  <c r="Z10" i="12"/>
  <c r="Y10" i="12"/>
  <c r="X10" i="12"/>
  <c r="AA9" i="12"/>
  <c r="Z9" i="12"/>
  <c r="Y9" i="12"/>
  <c r="X9" i="12"/>
  <c r="Q9" i="12"/>
  <c r="P9" i="12"/>
  <c r="O9" i="12"/>
  <c r="N9" i="12"/>
  <c r="M9" i="12"/>
  <c r="AA8" i="12"/>
  <c r="Z8" i="12"/>
  <c r="Y8" i="12"/>
  <c r="X8" i="12"/>
  <c r="Q8" i="12"/>
  <c r="P8" i="12"/>
  <c r="O8" i="12"/>
  <c r="N8" i="12"/>
  <c r="M8" i="12"/>
  <c r="AA7" i="12"/>
  <c r="Z7" i="12"/>
  <c r="Y7" i="12"/>
  <c r="X7" i="12"/>
  <c r="Q7" i="12"/>
  <c r="P7" i="12"/>
  <c r="O7" i="12"/>
  <c r="N7" i="12"/>
  <c r="M7" i="12"/>
  <c r="AA6" i="12"/>
  <c r="Z6" i="12"/>
  <c r="Y6" i="12"/>
  <c r="X6" i="12"/>
  <c r="Q6" i="12"/>
  <c r="P6" i="12"/>
  <c r="O6" i="12"/>
  <c r="N6" i="12"/>
  <c r="M6" i="12"/>
  <c r="AA5" i="12"/>
  <c r="Z5" i="12"/>
  <c r="Y5" i="12"/>
  <c r="X5" i="12"/>
  <c r="Z4" i="12"/>
  <c r="Y4" i="12"/>
  <c r="X4" i="12"/>
  <c r="Q86" i="9"/>
  <c r="P86" i="9"/>
  <c r="O86" i="9"/>
  <c r="N86" i="9"/>
  <c r="M86" i="9"/>
  <c r="Q85" i="9"/>
  <c r="P85" i="9"/>
  <c r="O85" i="9"/>
  <c r="N85" i="9"/>
  <c r="M85" i="9"/>
  <c r="Q84" i="9"/>
  <c r="P84" i="9"/>
  <c r="O84" i="9"/>
  <c r="N84" i="9"/>
  <c r="M84" i="9"/>
  <c r="Q83" i="9"/>
  <c r="P83" i="9"/>
  <c r="O83" i="9"/>
  <c r="N83" i="9"/>
  <c r="M83" i="9"/>
  <c r="Q79" i="9"/>
  <c r="P79" i="9"/>
  <c r="O79" i="9"/>
  <c r="N79" i="9"/>
  <c r="M79" i="9"/>
  <c r="Q78" i="9"/>
  <c r="P78" i="9"/>
  <c r="O78" i="9"/>
  <c r="N78" i="9"/>
  <c r="M78" i="9"/>
  <c r="Q77" i="9"/>
  <c r="P77" i="9"/>
  <c r="O77" i="9"/>
  <c r="N77" i="9"/>
  <c r="M77" i="9"/>
  <c r="Q76" i="9"/>
  <c r="P76" i="9"/>
  <c r="O76" i="9"/>
  <c r="N76" i="9"/>
  <c r="M76" i="9"/>
  <c r="Q72" i="9"/>
  <c r="P72" i="9"/>
  <c r="O72" i="9"/>
  <c r="N72" i="9"/>
  <c r="M72" i="9"/>
  <c r="Q71" i="9"/>
  <c r="P71" i="9"/>
  <c r="O71" i="9"/>
  <c r="N71" i="9"/>
  <c r="M71" i="9"/>
  <c r="Q70" i="9"/>
  <c r="P70" i="9"/>
  <c r="O70" i="9"/>
  <c r="N70" i="9"/>
  <c r="M70" i="9"/>
  <c r="Q69" i="9"/>
  <c r="P69" i="9"/>
  <c r="O69" i="9"/>
  <c r="N69" i="9"/>
  <c r="M69" i="9"/>
  <c r="Q65" i="9"/>
  <c r="P65" i="9"/>
  <c r="O65" i="9"/>
  <c r="N65" i="9"/>
  <c r="M65" i="9"/>
  <c r="Q64" i="9"/>
  <c r="P64" i="9"/>
  <c r="O64" i="9"/>
  <c r="N64" i="9"/>
  <c r="M64" i="9"/>
  <c r="Q63" i="9"/>
  <c r="P63" i="9"/>
  <c r="O63" i="9"/>
  <c r="N63" i="9"/>
  <c r="M63" i="9"/>
  <c r="Q62" i="9"/>
  <c r="P62" i="9"/>
  <c r="O62" i="9"/>
  <c r="N62" i="9"/>
  <c r="M62" i="9"/>
  <c r="Q58" i="9"/>
  <c r="P58" i="9"/>
  <c r="O58" i="9"/>
  <c r="N58" i="9"/>
  <c r="M58" i="9"/>
  <c r="Q57" i="9"/>
  <c r="P57" i="9"/>
  <c r="O57" i="9"/>
  <c r="N57" i="9"/>
  <c r="M57" i="9"/>
  <c r="Q56" i="9"/>
  <c r="P56" i="9"/>
  <c r="O56" i="9"/>
  <c r="N56" i="9"/>
  <c r="M56" i="9"/>
  <c r="Q55" i="9"/>
  <c r="P55" i="9"/>
  <c r="O55" i="9"/>
  <c r="N55" i="9"/>
  <c r="M55" i="9"/>
  <c r="Q51" i="9"/>
  <c r="P51" i="9"/>
  <c r="O51" i="9"/>
  <c r="N51" i="9"/>
  <c r="M51" i="9"/>
  <c r="Q50" i="9"/>
  <c r="P50" i="9"/>
  <c r="O50" i="9"/>
  <c r="N50" i="9"/>
  <c r="M50" i="9"/>
  <c r="Q49" i="9"/>
  <c r="P49" i="9"/>
  <c r="O49" i="9"/>
  <c r="N49" i="9"/>
  <c r="M49" i="9"/>
  <c r="Q48" i="9"/>
  <c r="P48" i="9"/>
  <c r="O48" i="9"/>
  <c r="N48" i="9"/>
  <c r="M48" i="9"/>
  <c r="Q44" i="9"/>
  <c r="P44" i="9"/>
  <c r="O44" i="9"/>
  <c r="N44" i="9"/>
  <c r="M44" i="9"/>
  <c r="Q43" i="9"/>
  <c r="P43" i="9"/>
  <c r="O43" i="9"/>
  <c r="N43" i="9"/>
  <c r="M43" i="9"/>
  <c r="Q42" i="9"/>
  <c r="P42" i="9"/>
  <c r="O42" i="9"/>
  <c r="N42" i="9"/>
  <c r="M42" i="9"/>
  <c r="Q41" i="9"/>
  <c r="P41" i="9"/>
  <c r="O41" i="9"/>
  <c r="N41" i="9"/>
  <c r="M41" i="9"/>
  <c r="Q37" i="9"/>
  <c r="P37" i="9"/>
  <c r="O37" i="9"/>
  <c r="N37" i="9"/>
  <c r="M37" i="9"/>
  <c r="Q36" i="9"/>
  <c r="P36" i="9"/>
  <c r="O36" i="9"/>
  <c r="N36" i="9"/>
  <c r="M36" i="9"/>
  <c r="Q35" i="9"/>
  <c r="P35" i="9"/>
  <c r="O35" i="9"/>
  <c r="N35" i="9"/>
  <c r="M35" i="9"/>
  <c r="Q34" i="9"/>
  <c r="P34" i="9"/>
  <c r="O34" i="9"/>
  <c r="N34" i="9"/>
  <c r="M34" i="9"/>
  <c r="Q30" i="9"/>
  <c r="P30" i="9"/>
  <c r="O30" i="9"/>
  <c r="N30" i="9"/>
  <c r="M30" i="9"/>
  <c r="Q29" i="9"/>
  <c r="P29" i="9"/>
  <c r="O29" i="9"/>
  <c r="N29" i="9"/>
  <c r="M29" i="9"/>
  <c r="Q28" i="9"/>
  <c r="P28" i="9"/>
  <c r="O28" i="9"/>
  <c r="N28" i="9"/>
  <c r="M28" i="9"/>
  <c r="Q27" i="9"/>
  <c r="P27" i="9"/>
  <c r="O27" i="9"/>
  <c r="N27" i="9"/>
  <c r="M27" i="9"/>
  <c r="Q23" i="9"/>
  <c r="P23" i="9"/>
  <c r="O23" i="9"/>
  <c r="N23" i="9"/>
  <c r="M23" i="9"/>
  <c r="Q22" i="9"/>
  <c r="P22" i="9"/>
  <c r="O22" i="9"/>
  <c r="N22" i="9"/>
  <c r="M22" i="9"/>
  <c r="Q21" i="9"/>
  <c r="P21" i="9"/>
  <c r="O21" i="9"/>
  <c r="N21" i="9"/>
  <c r="M21" i="9"/>
  <c r="Q20" i="9"/>
  <c r="P20" i="9"/>
  <c r="O20" i="9"/>
  <c r="N20" i="9"/>
  <c r="M20" i="9"/>
  <c r="Q16" i="9"/>
  <c r="P16" i="9"/>
  <c r="O16" i="9"/>
  <c r="N16" i="9"/>
  <c r="M16" i="9"/>
  <c r="AA15" i="9"/>
  <c r="Z15" i="9"/>
  <c r="Y15" i="9"/>
  <c r="X15" i="9"/>
  <c r="Q15" i="9"/>
  <c r="P15" i="9"/>
  <c r="O15" i="9"/>
  <c r="N15" i="9"/>
  <c r="M15" i="9"/>
  <c r="AA14" i="9"/>
  <c r="Z14" i="9"/>
  <c r="Y14" i="9"/>
  <c r="X14" i="9"/>
  <c r="Q14" i="9"/>
  <c r="P14" i="9"/>
  <c r="O14" i="9"/>
  <c r="N14" i="9"/>
  <c r="M14" i="9"/>
  <c r="AA13" i="9"/>
  <c r="Z13" i="9"/>
  <c r="Y13" i="9"/>
  <c r="X13" i="9"/>
  <c r="Q13" i="9"/>
  <c r="P13" i="9"/>
  <c r="O13" i="9"/>
  <c r="N13" i="9"/>
  <c r="M13" i="9"/>
  <c r="AA12" i="9"/>
  <c r="Z12" i="9"/>
  <c r="Y12" i="9"/>
  <c r="X12" i="9"/>
  <c r="AA11" i="9"/>
  <c r="Z11" i="9"/>
  <c r="Y11" i="9"/>
  <c r="X11" i="9"/>
  <c r="AA10" i="9"/>
  <c r="Z10" i="9"/>
  <c r="Y10" i="9"/>
  <c r="X10" i="9"/>
  <c r="AA9" i="9"/>
  <c r="Z9" i="9"/>
  <c r="Y9" i="9"/>
  <c r="X9" i="9"/>
  <c r="Q9" i="9"/>
  <c r="P9" i="9"/>
  <c r="O9" i="9"/>
  <c r="N9" i="9"/>
  <c r="M9" i="9"/>
  <c r="AA8" i="9"/>
  <c r="Z8" i="9"/>
  <c r="Y8" i="9"/>
  <c r="X8" i="9"/>
  <c r="Q8" i="9"/>
  <c r="P8" i="9"/>
  <c r="O8" i="9"/>
  <c r="N8" i="9"/>
  <c r="M8" i="9"/>
  <c r="AA7" i="9"/>
  <c r="Z7" i="9"/>
  <c r="Y7" i="9"/>
  <c r="X7" i="9"/>
  <c r="Q7" i="9"/>
  <c r="P7" i="9"/>
  <c r="O7" i="9"/>
  <c r="N7" i="9"/>
  <c r="M7" i="9"/>
  <c r="AA6" i="9"/>
  <c r="Z6" i="9"/>
  <c r="Y6" i="9"/>
  <c r="X6" i="9"/>
  <c r="Q6" i="9"/>
  <c r="P6" i="9"/>
  <c r="O6" i="9"/>
  <c r="N6" i="9"/>
  <c r="M6" i="9"/>
  <c r="AA5" i="9"/>
  <c r="Z5" i="9"/>
  <c r="Y5" i="9"/>
  <c r="X5" i="9"/>
  <c r="Z4" i="9"/>
  <c r="Y4" i="9"/>
  <c r="X4" i="9"/>
  <c r="Q86" i="8"/>
  <c r="P86" i="8"/>
  <c r="O86" i="8"/>
  <c r="N86" i="8"/>
  <c r="M86" i="8"/>
  <c r="Q85" i="8"/>
  <c r="P85" i="8"/>
  <c r="O85" i="8"/>
  <c r="N85" i="8"/>
  <c r="M85" i="8"/>
  <c r="Q84" i="8"/>
  <c r="P84" i="8"/>
  <c r="O84" i="8"/>
  <c r="N84" i="8"/>
  <c r="M84" i="8"/>
  <c r="Q83" i="8"/>
  <c r="P83" i="8"/>
  <c r="O83" i="8"/>
  <c r="N83" i="8"/>
  <c r="M83" i="8"/>
  <c r="Q79" i="8"/>
  <c r="P79" i="8"/>
  <c r="O79" i="8"/>
  <c r="N79" i="8"/>
  <c r="M79" i="8"/>
  <c r="Q78" i="8"/>
  <c r="P78" i="8"/>
  <c r="O78" i="8"/>
  <c r="N78" i="8"/>
  <c r="M78" i="8"/>
  <c r="Q77" i="8"/>
  <c r="P77" i="8"/>
  <c r="O77" i="8"/>
  <c r="N77" i="8"/>
  <c r="M77" i="8"/>
  <c r="Q76" i="8"/>
  <c r="P76" i="8"/>
  <c r="O76" i="8"/>
  <c r="N76" i="8"/>
  <c r="M76" i="8"/>
  <c r="Q72" i="8"/>
  <c r="P72" i="8"/>
  <c r="O72" i="8"/>
  <c r="N72" i="8"/>
  <c r="M72" i="8"/>
  <c r="Q71" i="8"/>
  <c r="P71" i="8"/>
  <c r="O71" i="8"/>
  <c r="N71" i="8"/>
  <c r="M71" i="8"/>
  <c r="Q70" i="8"/>
  <c r="P70" i="8"/>
  <c r="O70" i="8"/>
  <c r="N70" i="8"/>
  <c r="M70" i="8"/>
  <c r="Q69" i="8"/>
  <c r="P69" i="8"/>
  <c r="O69" i="8"/>
  <c r="N69" i="8"/>
  <c r="M69" i="8"/>
  <c r="Q65" i="8"/>
  <c r="P65" i="8"/>
  <c r="O65" i="8"/>
  <c r="N65" i="8"/>
  <c r="M65" i="8"/>
  <c r="Q64" i="8"/>
  <c r="P64" i="8"/>
  <c r="O64" i="8"/>
  <c r="N64" i="8"/>
  <c r="M64" i="8"/>
  <c r="Q63" i="8"/>
  <c r="P63" i="8"/>
  <c r="O63" i="8"/>
  <c r="N63" i="8"/>
  <c r="M63" i="8"/>
  <c r="Q62" i="8"/>
  <c r="P62" i="8"/>
  <c r="O62" i="8"/>
  <c r="N62" i="8"/>
  <c r="M62" i="8"/>
  <c r="Q58" i="8"/>
  <c r="P58" i="8"/>
  <c r="O58" i="8"/>
  <c r="N58" i="8"/>
  <c r="M58" i="8"/>
  <c r="Q57" i="8"/>
  <c r="P57" i="8"/>
  <c r="O57" i="8"/>
  <c r="N57" i="8"/>
  <c r="M57" i="8"/>
  <c r="Q56" i="8"/>
  <c r="P56" i="8"/>
  <c r="O56" i="8"/>
  <c r="N56" i="8"/>
  <c r="M56" i="8"/>
  <c r="Q55" i="8"/>
  <c r="P55" i="8"/>
  <c r="O55" i="8"/>
  <c r="N55" i="8"/>
  <c r="M55" i="8"/>
  <c r="Q51" i="8"/>
  <c r="P51" i="8"/>
  <c r="O51" i="8"/>
  <c r="N51" i="8"/>
  <c r="M51" i="8"/>
  <c r="Q50" i="8"/>
  <c r="P50" i="8"/>
  <c r="O50" i="8"/>
  <c r="N50" i="8"/>
  <c r="M50" i="8"/>
  <c r="Q49" i="8"/>
  <c r="P49" i="8"/>
  <c r="O49" i="8"/>
  <c r="N49" i="8"/>
  <c r="M49" i="8"/>
  <c r="Q48" i="8"/>
  <c r="P48" i="8"/>
  <c r="O48" i="8"/>
  <c r="N48" i="8"/>
  <c r="M48" i="8"/>
  <c r="Q44" i="8"/>
  <c r="P44" i="8"/>
  <c r="O44" i="8"/>
  <c r="N44" i="8"/>
  <c r="M44" i="8"/>
  <c r="Q43" i="8"/>
  <c r="P43" i="8"/>
  <c r="O43" i="8"/>
  <c r="N43" i="8"/>
  <c r="M43" i="8"/>
  <c r="Q42" i="8"/>
  <c r="P42" i="8"/>
  <c r="O42" i="8"/>
  <c r="N42" i="8"/>
  <c r="M42" i="8"/>
  <c r="Q41" i="8"/>
  <c r="P41" i="8"/>
  <c r="O41" i="8"/>
  <c r="N41" i="8"/>
  <c r="M41" i="8"/>
  <c r="Q37" i="8"/>
  <c r="P37" i="8"/>
  <c r="O37" i="8"/>
  <c r="N37" i="8"/>
  <c r="M37" i="8"/>
  <c r="Q36" i="8"/>
  <c r="P36" i="8"/>
  <c r="O36" i="8"/>
  <c r="N36" i="8"/>
  <c r="M36" i="8"/>
  <c r="Q35" i="8"/>
  <c r="P35" i="8"/>
  <c r="O35" i="8"/>
  <c r="N35" i="8"/>
  <c r="M35" i="8"/>
  <c r="Q34" i="8"/>
  <c r="P34" i="8"/>
  <c r="O34" i="8"/>
  <c r="N34" i="8"/>
  <c r="M34" i="8"/>
  <c r="Q30" i="8"/>
  <c r="P30" i="8"/>
  <c r="O30" i="8"/>
  <c r="N30" i="8"/>
  <c r="M30" i="8"/>
  <c r="Q29" i="8"/>
  <c r="P29" i="8"/>
  <c r="O29" i="8"/>
  <c r="N29" i="8"/>
  <c r="M29" i="8"/>
  <c r="Q28" i="8"/>
  <c r="P28" i="8"/>
  <c r="O28" i="8"/>
  <c r="N28" i="8"/>
  <c r="M28" i="8"/>
  <c r="Q27" i="8"/>
  <c r="P27" i="8"/>
  <c r="O27" i="8"/>
  <c r="N27" i="8"/>
  <c r="M27" i="8"/>
  <c r="Q23" i="8"/>
  <c r="P23" i="8"/>
  <c r="O23" i="8"/>
  <c r="N23" i="8"/>
  <c r="M23" i="8"/>
  <c r="Q22" i="8"/>
  <c r="P22" i="8"/>
  <c r="O22" i="8"/>
  <c r="N22" i="8"/>
  <c r="M22" i="8"/>
  <c r="Q21" i="8"/>
  <c r="P21" i="8"/>
  <c r="O21" i="8"/>
  <c r="N21" i="8"/>
  <c r="M21" i="8"/>
  <c r="Q20" i="8"/>
  <c r="P20" i="8"/>
  <c r="O20" i="8"/>
  <c r="N20" i="8"/>
  <c r="M20" i="8"/>
  <c r="Q16" i="8"/>
  <c r="P16" i="8"/>
  <c r="O16" i="8"/>
  <c r="N16" i="8"/>
  <c r="M16" i="8"/>
  <c r="AA15" i="8"/>
  <c r="Z15" i="8"/>
  <c r="Y15" i="8"/>
  <c r="X15" i="8"/>
  <c r="Q15" i="8"/>
  <c r="P15" i="8"/>
  <c r="O15" i="8"/>
  <c r="N15" i="8"/>
  <c r="M15" i="8"/>
  <c r="AA14" i="8"/>
  <c r="Z14" i="8"/>
  <c r="Y14" i="8"/>
  <c r="X14" i="8"/>
  <c r="Q14" i="8"/>
  <c r="P14" i="8"/>
  <c r="O14" i="8"/>
  <c r="N14" i="8"/>
  <c r="M14" i="8"/>
  <c r="AA13" i="8"/>
  <c r="Z13" i="8"/>
  <c r="Y13" i="8"/>
  <c r="X13" i="8"/>
  <c r="Q13" i="8"/>
  <c r="P13" i="8"/>
  <c r="O13" i="8"/>
  <c r="N13" i="8"/>
  <c r="M13" i="8"/>
  <c r="AA12" i="8"/>
  <c r="Z12" i="8"/>
  <c r="Y12" i="8"/>
  <c r="X12" i="8"/>
  <c r="AA11" i="8"/>
  <c r="Z11" i="8"/>
  <c r="Y11" i="8"/>
  <c r="X11" i="8"/>
  <c r="AA10" i="8"/>
  <c r="Z10" i="8"/>
  <c r="Y10" i="8"/>
  <c r="X10" i="8"/>
  <c r="AA9" i="8"/>
  <c r="Z9" i="8"/>
  <c r="Y9" i="8"/>
  <c r="X9" i="8"/>
  <c r="Q9" i="8"/>
  <c r="P9" i="8"/>
  <c r="O9" i="8"/>
  <c r="N9" i="8"/>
  <c r="M9" i="8"/>
  <c r="AA8" i="8"/>
  <c r="Z8" i="8"/>
  <c r="Y8" i="8"/>
  <c r="X8" i="8"/>
  <c r="Q8" i="8"/>
  <c r="P8" i="8"/>
  <c r="O8" i="8"/>
  <c r="N8" i="8"/>
  <c r="M8" i="8"/>
  <c r="AA7" i="8"/>
  <c r="Z7" i="8"/>
  <c r="Y7" i="8"/>
  <c r="X7" i="8"/>
  <c r="Q7" i="8"/>
  <c r="P7" i="8"/>
  <c r="O7" i="8"/>
  <c r="N7" i="8"/>
  <c r="M7" i="8"/>
  <c r="AA6" i="8"/>
  <c r="Z6" i="8"/>
  <c r="Y6" i="8"/>
  <c r="X6" i="8"/>
  <c r="Q6" i="8"/>
  <c r="P6" i="8"/>
  <c r="O6" i="8"/>
  <c r="N6" i="8"/>
  <c r="M6" i="8"/>
  <c r="AA5" i="8"/>
  <c r="Z5" i="8"/>
  <c r="Y5" i="8"/>
  <c r="X5" i="8"/>
  <c r="Z4" i="8"/>
  <c r="Y4" i="8"/>
  <c r="X4" i="8"/>
  <c r="Q86" i="17"/>
  <c r="P86" i="17"/>
  <c r="O86" i="17"/>
  <c r="N86" i="17"/>
  <c r="M86" i="17"/>
  <c r="Q85" i="17"/>
  <c r="P85" i="17"/>
  <c r="O85" i="17"/>
  <c r="N85" i="17"/>
  <c r="M85" i="17"/>
  <c r="Q84" i="17"/>
  <c r="P84" i="17"/>
  <c r="O84" i="17"/>
  <c r="N84" i="17"/>
  <c r="M84" i="17"/>
  <c r="Q83" i="17"/>
  <c r="P83" i="17"/>
  <c r="O83" i="17"/>
  <c r="N83" i="17"/>
  <c r="M83" i="17"/>
  <c r="Q79" i="17"/>
  <c r="P79" i="17"/>
  <c r="O79" i="17"/>
  <c r="N79" i="17"/>
  <c r="M79" i="17"/>
  <c r="Q78" i="17"/>
  <c r="P78" i="17"/>
  <c r="O78" i="17"/>
  <c r="N78" i="17"/>
  <c r="M78" i="17"/>
  <c r="Q77" i="17"/>
  <c r="P77" i="17"/>
  <c r="O77" i="17"/>
  <c r="N77" i="17"/>
  <c r="M77" i="17"/>
  <c r="Q76" i="17"/>
  <c r="P76" i="17"/>
  <c r="O76" i="17"/>
  <c r="N76" i="17"/>
  <c r="M76" i="17"/>
  <c r="Q72" i="17"/>
  <c r="P72" i="17"/>
  <c r="O72" i="17"/>
  <c r="N72" i="17"/>
  <c r="M72" i="17"/>
  <c r="Q71" i="17"/>
  <c r="P71" i="17"/>
  <c r="O71" i="17"/>
  <c r="N71" i="17"/>
  <c r="M71" i="17"/>
  <c r="Q70" i="17"/>
  <c r="P70" i="17"/>
  <c r="O70" i="17"/>
  <c r="N70" i="17"/>
  <c r="M70" i="17"/>
  <c r="Q69" i="17"/>
  <c r="P69" i="17"/>
  <c r="O69" i="17"/>
  <c r="N69" i="17"/>
  <c r="M69" i="17"/>
  <c r="Q65" i="17"/>
  <c r="P65" i="17"/>
  <c r="O65" i="17"/>
  <c r="N65" i="17"/>
  <c r="M65" i="17"/>
  <c r="Q64" i="17"/>
  <c r="P64" i="17"/>
  <c r="O64" i="17"/>
  <c r="N64" i="17"/>
  <c r="M64" i="17"/>
  <c r="Q63" i="17"/>
  <c r="P63" i="17"/>
  <c r="O63" i="17"/>
  <c r="N63" i="17"/>
  <c r="M63" i="17"/>
  <c r="Q62" i="17"/>
  <c r="P62" i="17"/>
  <c r="O62" i="17"/>
  <c r="N62" i="17"/>
  <c r="M62" i="17"/>
  <c r="Q58" i="17"/>
  <c r="P58" i="17"/>
  <c r="O58" i="17"/>
  <c r="N58" i="17"/>
  <c r="M58" i="17"/>
  <c r="Q57" i="17"/>
  <c r="P57" i="17"/>
  <c r="O57" i="17"/>
  <c r="N57" i="17"/>
  <c r="M57" i="17"/>
  <c r="Q56" i="17"/>
  <c r="P56" i="17"/>
  <c r="O56" i="17"/>
  <c r="N56" i="17"/>
  <c r="M56" i="17"/>
  <c r="Q55" i="17"/>
  <c r="P55" i="17"/>
  <c r="O55" i="17"/>
  <c r="N55" i="17"/>
  <c r="M55" i="17"/>
  <c r="Q51" i="17"/>
  <c r="P51" i="17"/>
  <c r="O51" i="17"/>
  <c r="N51" i="17"/>
  <c r="M51" i="17"/>
  <c r="Q50" i="17"/>
  <c r="P50" i="17"/>
  <c r="O50" i="17"/>
  <c r="N50" i="17"/>
  <c r="M50" i="17"/>
  <c r="Q49" i="17"/>
  <c r="P49" i="17"/>
  <c r="O49" i="17"/>
  <c r="N49" i="17"/>
  <c r="M49" i="17"/>
  <c r="Q48" i="17"/>
  <c r="P48" i="17"/>
  <c r="O48" i="17"/>
  <c r="N48" i="17"/>
  <c r="M48" i="17"/>
  <c r="Q44" i="17"/>
  <c r="P44" i="17"/>
  <c r="O44" i="17"/>
  <c r="N44" i="17"/>
  <c r="M44" i="17"/>
  <c r="Q43" i="17"/>
  <c r="P43" i="17"/>
  <c r="O43" i="17"/>
  <c r="N43" i="17"/>
  <c r="M43" i="17"/>
  <c r="Q42" i="17"/>
  <c r="P42" i="17"/>
  <c r="O42" i="17"/>
  <c r="N42" i="17"/>
  <c r="M42" i="17"/>
  <c r="Q41" i="17"/>
  <c r="P41" i="17"/>
  <c r="O41" i="17"/>
  <c r="N41" i="17"/>
  <c r="M41" i="17"/>
  <c r="Q37" i="17"/>
  <c r="P37" i="17"/>
  <c r="O37" i="17"/>
  <c r="N37" i="17"/>
  <c r="M37" i="17"/>
  <c r="Q36" i="17"/>
  <c r="P36" i="17"/>
  <c r="O36" i="17"/>
  <c r="N36" i="17"/>
  <c r="M36" i="17"/>
  <c r="Q35" i="17"/>
  <c r="P35" i="17"/>
  <c r="O35" i="17"/>
  <c r="N35" i="17"/>
  <c r="M35" i="17"/>
  <c r="Q34" i="17"/>
  <c r="P34" i="17"/>
  <c r="O34" i="17"/>
  <c r="N34" i="17"/>
  <c r="M34" i="17"/>
  <c r="Q30" i="17"/>
  <c r="P30" i="17"/>
  <c r="O30" i="17"/>
  <c r="N30" i="17"/>
  <c r="M30" i="17"/>
  <c r="Q29" i="17"/>
  <c r="P29" i="17"/>
  <c r="O29" i="17"/>
  <c r="N29" i="17"/>
  <c r="M29" i="17"/>
  <c r="Q28" i="17"/>
  <c r="P28" i="17"/>
  <c r="O28" i="17"/>
  <c r="N28" i="17"/>
  <c r="M28" i="17"/>
  <c r="Q27" i="17"/>
  <c r="P27" i="17"/>
  <c r="O27" i="17"/>
  <c r="N27" i="17"/>
  <c r="M27" i="17"/>
  <c r="Q23" i="17"/>
  <c r="P23" i="17"/>
  <c r="O23" i="17"/>
  <c r="N23" i="17"/>
  <c r="M23" i="17"/>
  <c r="Q22" i="17"/>
  <c r="P22" i="17"/>
  <c r="O22" i="17"/>
  <c r="N22" i="17"/>
  <c r="M22" i="17"/>
  <c r="Q21" i="17"/>
  <c r="P21" i="17"/>
  <c r="O21" i="17"/>
  <c r="N21" i="17"/>
  <c r="M21" i="17"/>
  <c r="Q20" i="17"/>
  <c r="P20" i="17"/>
  <c r="O20" i="17"/>
  <c r="N20" i="17"/>
  <c r="M20" i="17"/>
  <c r="Q16" i="17"/>
  <c r="P16" i="17"/>
  <c r="O16" i="17"/>
  <c r="N16" i="17"/>
  <c r="M16" i="17"/>
  <c r="AA15" i="17"/>
  <c r="Z15" i="17"/>
  <c r="Y15" i="17"/>
  <c r="X15" i="17"/>
  <c r="Q15" i="17"/>
  <c r="P15" i="17"/>
  <c r="O15" i="17"/>
  <c r="N15" i="17"/>
  <c r="M15" i="17"/>
  <c r="AA14" i="17"/>
  <c r="Z14" i="17"/>
  <c r="Y14" i="17"/>
  <c r="X14" i="17"/>
  <c r="Q14" i="17"/>
  <c r="P14" i="17"/>
  <c r="O14" i="17"/>
  <c r="N14" i="17"/>
  <c r="M14" i="17"/>
  <c r="AA13" i="17"/>
  <c r="Z13" i="17"/>
  <c r="Y13" i="17"/>
  <c r="X13" i="17"/>
  <c r="Q13" i="17"/>
  <c r="P13" i="17"/>
  <c r="O13" i="17"/>
  <c r="N13" i="17"/>
  <c r="M13" i="17"/>
  <c r="AA12" i="17"/>
  <c r="Z12" i="17"/>
  <c r="Y12" i="17"/>
  <c r="X12" i="17"/>
  <c r="AA11" i="17"/>
  <c r="Z11" i="17"/>
  <c r="Y11" i="17"/>
  <c r="X11" i="17"/>
  <c r="AA10" i="17"/>
  <c r="Z10" i="17"/>
  <c r="Y10" i="17"/>
  <c r="X10" i="17"/>
  <c r="AA9" i="17"/>
  <c r="Z9" i="17"/>
  <c r="Y9" i="17"/>
  <c r="X9" i="17"/>
  <c r="Q9" i="17"/>
  <c r="P9" i="17"/>
  <c r="O9" i="17"/>
  <c r="N9" i="17"/>
  <c r="M9" i="17"/>
  <c r="AA8" i="17"/>
  <c r="Z8" i="17"/>
  <c r="Y8" i="17"/>
  <c r="X8" i="17"/>
  <c r="Q8" i="17"/>
  <c r="P8" i="17"/>
  <c r="O8" i="17"/>
  <c r="N8" i="17"/>
  <c r="M8" i="17"/>
  <c r="AA7" i="17"/>
  <c r="Z7" i="17"/>
  <c r="Y7" i="17"/>
  <c r="X7" i="17"/>
  <c r="Q7" i="17"/>
  <c r="P7" i="17"/>
  <c r="O7" i="17"/>
  <c r="N7" i="17"/>
  <c r="M7" i="17"/>
  <c r="AA6" i="17"/>
  <c r="Z6" i="17"/>
  <c r="Y6" i="17"/>
  <c r="X6" i="17"/>
  <c r="Q6" i="17"/>
  <c r="P6" i="17"/>
  <c r="O6" i="17"/>
  <c r="N6" i="17"/>
  <c r="M6" i="17"/>
  <c r="AA5" i="17"/>
  <c r="Z5" i="17"/>
  <c r="Y5" i="17"/>
  <c r="X5" i="17"/>
  <c r="Z4" i="17"/>
  <c r="Y4" i="17"/>
  <c r="X4" i="17"/>
  <c r="Q86" i="16"/>
  <c r="P86" i="16"/>
  <c r="O86" i="16"/>
  <c r="N86" i="16"/>
  <c r="M86" i="16"/>
  <c r="Q85" i="16"/>
  <c r="P85" i="16"/>
  <c r="O85" i="16"/>
  <c r="N85" i="16"/>
  <c r="M85" i="16"/>
  <c r="Q84" i="16"/>
  <c r="P84" i="16"/>
  <c r="O84" i="16"/>
  <c r="N84" i="16"/>
  <c r="M84" i="16"/>
  <c r="Q83" i="16"/>
  <c r="P83" i="16"/>
  <c r="O83" i="16"/>
  <c r="N83" i="16"/>
  <c r="M83" i="16"/>
  <c r="Q79" i="16"/>
  <c r="P79" i="16"/>
  <c r="O79" i="16"/>
  <c r="N79" i="16"/>
  <c r="M79" i="16"/>
  <c r="Q78" i="16"/>
  <c r="P78" i="16"/>
  <c r="O78" i="16"/>
  <c r="N78" i="16"/>
  <c r="M78" i="16"/>
  <c r="Q77" i="16"/>
  <c r="P77" i="16"/>
  <c r="O77" i="16"/>
  <c r="N77" i="16"/>
  <c r="M77" i="16"/>
  <c r="Q76" i="16"/>
  <c r="P76" i="16"/>
  <c r="O76" i="16"/>
  <c r="N76" i="16"/>
  <c r="M76" i="16"/>
  <c r="Q72" i="16"/>
  <c r="P72" i="16"/>
  <c r="O72" i="16"/>
  <c r="N72" i="16"/>
  <c r="M72" i="16"/>
  <c r="Q71" i="16"/>
  <c r="P71" i="16"/>
  <c r="O71" i="16"/>
  <c r="N71" i="16"/>
  <c r="M71" i="16"/>
  <c r="Q70" i="16"/>
  <c r="P70" i="16"/>
  <c r="O70" i="16"/>
  <c r="N70" i="16"/>
  <c r="M70" i="16"/>
  <c r="Q69" i="16"/>
  <c r="P69" i="16"/>
  <c r="O69" i="16"/>
  <c r="N69" i="16"/>
  <c r="M69" i="16"/>
  <c r="Q65" i="16"/>
  <c r="P65" i="16"/>
  <c r="O65" i="16"/>
  <c r="N65" i="16"/>
  <c r="M65" i="16"/>
  <c r="Q64" i="16"/>
  <c r="P64" i="16"/>
  <c r="O64" i="16"/>
  <c r="N64" i="16"/>
  <c r="M64" i="16"/>
  <c r="Q63" i="16"/>
  <c r="P63" i="16"/>
  <c r="O63" i="16"/>
  <c r="N63" i="16"/>
  <c r="M63" i="16"/>
  <c r="Q62" i="16"/>
  <c r="P62" i="16"/>
  <c r="O62" i="16"/>
  <c r="N62" i="16"/>
  <c r="M62" i="16"/>
  <c r="Q58" i="16"/>
  <c r="P58" i="16"/>
  <c r="O58" i="16"/>
  <c r="N58" i="16"/>
  <c r="M58" i="16"/>
  <c r="Q57" i="16"/>
  <c r="P57" i="16"/>
  <c r="O57" i="16"/>
  <c r="N57" i="16"/>
  <c r="M57" i="16"/>
  <c r="Q56" i="16"/>
  <c r="P56" i="16"/>
  <c r="O56" i="16"/>
  <c r="N56" i="16"/>
  <c r="M56" i="16"/>
  <c r="Q55" i="16"/>
  <c r="P55" i="16"/>
  <c r="O55" i="16"/>
  <c r="N55" i="16"/>
  <c r="M55" i="16"/>
  <c r="Q51" i="16"/>
  <c r="P51" i="16"/>
  <c r="O51" i="16"/>
  <c r="N51" i="16"/>
  <c r="M51" i="16"/>
  <c r="Q50" i="16"/>
  <c r="P50" i="16"/>
  <c r="O50" i="16"/>
  <c r="N50" i="16"/>
  <c r="M50" i="16"/>
  <c r="Q49" i="16"/>
  <c r="P49" i="16"/>
  <c r="O49" i="16"/>
  <c r="N49" i="16"/>
  <c r="M49" i="16"/>
  <c r="Q48" i="16"/>
  <c r="P48" i="16"/>
  <c r="O48" i="16"/>
  <c r="N48" i="16"/>
  <c r="M48" i="16"/>
  <c r="Q44" i="16"/>
  <c r="P44" i="16"/>
  <c r="O44" i="16"/>
  <c r="N44" i="16"/>
  <c r="M44" i="16"/>
  <c r="Q43" i="16"/>
  <c r="P43" i="16"/>
  <c r="O43" i="16"/>
  <c r="N43" i="16"/>
  <c r="M43" i="16"/>
  <c r="Q42" i="16"/>
  <c r="P42" i="16"/>
  <c r="O42" i="16"/>
  <c r="N42" i="16"/>
  <c r="M42" i="16"/>
  <c r="Q41" i="16"/>
  <c r="P41" i="16"/>
  <c r="O41" i="16"/>
  <c r="N41" i="16"/>
  <c r="M41" i="16"/>
  <c r="Q37" i="16"/>
  <c r="P37" i="16"/>
  <c r="O37" i="16"/>
  <c r="N37" i="16"/>
  <c r="M37" i="16"/>
  <c r="Q36" i="16"/>
  <c r="P36" i="16"/>
  <c r="O36" i="16"/>
  <c r="N36" i="16"/>
  <c r="M36" i="16"/>
  <c r="Q35" i="16"/>
  <c r="P35" i="16"/>
  <c r="O35" i="16"/>
  <c r="N35" i="16"/>
  <c r="M35" i="16"/>
  <c r="Q34" i="16"/>
  <c r="P34" i="16"/>
  <c r="O34" i="16"/>
  <c r="N34" i="16"/>
  <c r="M34" i="16"/>
  <c r="Q30" i="16"/>
  <c r="P30" i="16"/>
  <c r="O30" i="16"/>
  <c r="N30" i="16"/>
  <c r="M30" i="16"/>
  <c r="Q29" i="16"/>
  <c r="P29" i="16"/>
  <c r="O29" i="16"/>
  <c r="N29" i="16"/>
  <c r="M29" i="16"/>
  <c r="Q28" i="16"/>
  <c r="P28" i="16"/>
  <c r="O28" i="16"/>
  <c r="N28" i="16"/>
  <c r="M28" i="16"/>
  <c r="Q27" i="16"/>
  <c r="P27" i="16"/>
  <c r="O27" i="16"/>
  <c r="N27" i="16"/>
  <c r="M27" i="16"/>
  <c r="Q23" i="16"/>
  <c r="P23" i="16"/>
  <c r="O23" i="16"/>
  <c r="N23" i="16"/>
  <c r="M23" i="16"/>
  <c r="Q22" i="16"/>
  <c r="P22" i="16"/>
  <c r="O22" i="16"/>
  <c r="N22" i="16"/>
  <c r="M22" i="16"/>
  <c r="Q21" i="16"/>
  <c r="P21" i="16"/>
  <c r="O21" i="16"/>
  <c r="N21" i="16"/>
  <c r="M21" i="16"/>
  <c r="Q20" i="16"/>
  <c r="P20" i="16"/>
  <c r="O20" i="16"/>
  <c r="N20" i="16"/>
  <c r="M20" i="16"/>
  <c r="Q16" i="16"/>
  <c r="P16" i="16"/>
  <c r="O16" i="16"/>
  <c r="N16" i="16"/>
  <c r="M16" i="16"/>
  <c r="AA15" i="16"/>
  <c r="Z15" i="16"/>
  <c r="Y15" i="16"/>
  <c r="X15" i="16"/>
  <c r="Q15" i="16"/>
  <c r="P15" i="16"/>
  <c r="O15" i="16"/>
  <c r="N15" i="16"/>
  <c r="M15" i="16"/>
  <c r="AA14" i="16"/>
  <c r="Z14" i="16"/>
  <c r="Y14" i="16"/>
  <c r="X14" i="16"/>
  <c r="Q14" i="16"/>
  <c r="P14" i="16"/>
  <c r="O14" i="16"/>
  <c r="N14" i="16"/>
  <c r="M14" i="16"/>
  <c r="AA13" i="16"/>
  <c r="Z13" i="16"/>
  <c r="Y13" i="16"/>
  <c r="X13" i="16"/>
  <c r="Q13" i="16"/>
  <c r="P13" i="16"/>
  <c r="O13" i="16"/>
  <c r="N13" i="16"/>
  <c r="M13" i="16"/>
  <c r="AA12" i="16"/>
  <c r="Z12" i="16"/>
  <c r="Y12" i="16"/>
  <c r="X12" i="16"/>
  <c r="AA11" i="16"/>
  <c r="Z11" i="16"/>
  <c r="Y11" i="16"/>
  <c r="X11" i="16"/>
  <c r="AA10" i="16"/>
  <c r="Z10" i="16"/>
  <c r="Y10" i="16"/>
  <c r="X10" i="16"/>
  <c r="AA9" i="16"/>
  <c r="Z9" i="16"/>
  <c r="Y9" i="16"/>
  <c r="X9" i="16"/>
  <c r="Q9" i="16"/>
  <c r="P9" i="16"/>
  <c r="O9" i="16"/>
  <c r="N9" i="16"/>
  <c r="M9" i="16"/>
  <c r="AA8" i="16"/>
  <c r="Z8" i="16"/>
  <c r="Y8" i="16"/>
  <c r="X8" i="16"/>
  <c r="Q8" i="16"/>
  <c r="P8" i="16"/>
  <c r="O8" i="16"/>
  <c r="N8" i="16"/>
  <c r="M8" i="16"/>
  <c r="AA7" i="16"/>
  <c r="Z7" i="16"/>
  <c r="Y7" i="16"/>
  <c r="X7" i="16"/>
  <c r="Q7" i="16"/>
  <c r="P7" i="16"/>
  <c r="O7" i="16"/>
  <c r="N7" i="16"/>
  <c r="M7" i="16"/>
  <c r="AA6" i="16"/>
  <c r="Z6" i="16"/>
  <c r="Y6" i="16"/>
  <c r="X6" i="16"/>
  <c r="Q6" i="16"/>
  <c r="P6" i="16"/>
  <c r="O6" i="16"/>
  <c r="N6" i="16"/>
  <c r="M6" i="16"/>
  <c r="AA5" i="16"/>
  <c r="Z5" i="16"/>
  <c r="Y5" i="16"/>
  <c r="X5" i="16"/>
  <c r="Z4" i="16"/>
  <c r="Y4" i="16"/>
  <c r="X4" i="16"/>
  <c r="E90" i="4"/>
  <c r="E88" i="4"/>
  <c r="Q86" i="4"/>
  <c r="P86" i="4"/>
  <c r="O86" i="4"/>
  <c r="N86" i="4"/>
  <c r="M86" i="4"/>
  <c r="Q85" i="4"/>
  <c r="P85" i="4"/>
  <c r="O85" i="4"/>
  <c r="N85" i="4"/>
  <c r="M85" i="4"/>
  <c r="E85" i="4"/>
  <c r="Q84" i="4"/>
  <c r="P84" i="4"/>
  <c r="O84" i="4"/>
  <c r="N84" i="4"/>
  <c r="M84" i="4"/>
  <c r="E84" i="4"/>
  <c r="Q83" i="4"/>
  <c r="P83" i="4"/>
  <c r="O83" i="4"/>
  <c r="N83" i="4"/>
  <c r="M83" i="4"/>
  <c r="E83" i="4"/>
  <c r="E82" i="4"/>
  <c r="E80" i="4"/>
  <c r="Q79" i="4"/>
  <c r="P79" i="4"/>
  <c r="O79" i="4"/>
  <c r="N79" i="4"/>
  <c r="M79" i="4"/>
  <c r="Q78" i="4"/>
  <c r="P78" i="4"/>
  <c r="O78" i="4"/>
  <c r="N78" i="4"/>
  <c r="M78" i="4"/>
  <c r="Q77" i="4"/>
  <c r="P77" i="4"/>
  <c r="O77" i="4"/>
  <c r="N77" i="4"/>
  <c r="M77" i="4"/>
  <c r="E77" i="4"/>
  <c r="Q76" i="4"/>
  <c r="P76" i="4"/>
  <c r="O76" i="4"/>
  <c r="N76" i="4"/>
  <c r="M76" i="4"/>
  <c r="Q72" i="4"/>
  <c r="P72" i="4"/>
  <c r="O72" i="4"/>
  <c r="N72" i="4"/>
  <c r="M72" i="4"/>
  <c r="Q71" i="4"/>
  <c r="P71" i="4"/>
  <c r="O71" i="4"/>
  <c r="N71" i="4"/>
  <c r="M71" i="4"/>
  <c r="Q70" i="4"/>
  <c r="P70" i="4"/>
  <c r="O70" i="4"/>
  <c r="N70" i="4"/>
  <c r="M70" i="4"/>
  <c r="Q69" i="4"/>
  <c r="P69" i="4"/>
  <c r="O69" i="4"/>
  <c r="N69" i="4"/>
  <c r="M69" i="4"/>
  <c r="Q65" i="4"/>
  <c r="P65" i="4"/>
  <c r="O65" i="4"/>
  <c r="N65" i="4"/>
  <c r="M65" i="4"/>
  <c r="Q64" i="4"/>
  <c r="P64" i="4"/>
  <c r="O64" i="4"/>
  <c r="N64" i="4"/>
  <c r="M64" i="4"/>
  <c r="Q63" i="4"/>
  <c r="P63" i="4"/>
  <c r="O63" i="4"/>
  <c r="N63" i="4"/>
  <c r="M63" i="4"/>
  <c r="Q62" i="4"/>
  <c r="P62" i="4"/>
  <c r="O62" i="4"/>
  <c r="N62" i="4"/>
  <c r="M62" i="4"/>
  <c r="Q58" i="4"/>
  <c r="P58" i="4"/>
  <c r="O58" i="4"/>
  <c r="N58" i="4"/>
  <c r="M58" i="4"/>
  <c r="Q57" i="4"/>
  <c r="P57" i="4"/>
  <c r="O57" i="4"/>
  <c r="N57" i="4"/>
  <c r="M57" i="4"/>
  <c r="Q56" i="4"/>
  <c r="P56" i="4"/>
  <c r="O56" i="4"/>
  <c r="N56" i="4"/>
  <c r="M56" i="4"/>
  <c r="Q55" i="4"/>
  <c r="P55" i="4"/>
  <c r="O55" i="4"/>
  <c r="N55" i="4"/>
  <c r="M55" i="4"/>
  <c r="Q51" i="4"/>
  <c r="P51" i="4"/>
  <c r="O51" i="4"/>
  <c r="N51" i="4"/>
  <c r="M51" i="4"/>
  <c r="Q50" i="4"/>
  <c r="P50" i="4"/>
  <c r="O50" i="4"/>
  <c r="N50" i="4"/>
  <c r="M50" i="4"/>
  <c r="Q49" i="4"/>
  <c r="P49" i="4"/>
  <c r="O49" i="4"/>
  <c r="N49" i="4"/>
  <c r="M49" i="4"/>
  <c r="Q48" i="4"/>
  <c r="P48" i="4"/>
  <c r="O48" i="4"/>
  <c r="N48" i="4"/>
  <c r="M48" i="4"/>
  <c r="Q44" i="4"/>
  <c r="P44" i="4"/>
  <c r="O44" i="4"/>
  <c r="N44" i="4"/>
  <c r="M44" i="4"/>
  <c r="Q43" i="4"/>
  <c r="P43" i="4"/>
  <c r="O43" i="4"/>
  <c r="N43" i="4"/>
  <c r="M43" i="4"/>
  <c r="Q42" i="4"/>
  <c r="P42" i="4"/>
  <c r="O42" i="4"/>
  <c r="N42" i="4"/>
  <c r="M42" i="4"/>
  <c r="Q41" i="4"/>
  <c r="P41" i="4"/>
  <c r="O41" i="4"/>
  <c r="N41" i="4"/>
  <c r="M41" i="4"/>
  <c r="Q37" i="4"/>
  <c r="P37" i="4"/>
  <c r="O37" i="4"/>
  <c r="N37" i="4"/>
  <c r="M37" i="4"/>
  <c r="Q36" i="4"/>
  <c r="P36" i="4"/>
  <c r="O36" i="4"/>
  <c r="N36" i="4"/>
  <c r="M36" i="4"/>
  <c r="Q35" i="4"/>
  <c r="P35" i="4"/>
  <c r="O35" i="4"/>
  <c r="N35" i="4"/>
  <c r="M35" i="4"/>
  <c r="Q34" i="4"/>
  <c r="P34" i="4"/>
  <c r="O34" i="4"/>
  <c r="N34" i="4"/>
  <c r="M34" i="4"/>
  <c r="Q30" i="4"/>
  <c r="P30" i="4"/>
  <c r="O30" i="4"/>
  <c r="N30" i="4"/>
  <c r="M30" i="4"/>
  <c r="Q29" i="4"/>
  <c r="P29" i="4"/>
  <c r="O29" i="4"/>
  <c r="N29" i="4"/>
  <c r="M29" i="4"/>
  <c r="Q28" i="4"/>
  <c r="P28" i="4"/>
  <c r="O28" i="4"/>
  <c r="N28" i="4"/>
  <c r="M28" i="4"/>
  <c r="Q27" i="4"/>
  <c r="P27" i="4"/>
  <c r="O27" i="4"/>
  <c r="N27" i="4"/>
  <c r="M27" i="4"/>
  <c r="Q23" i="4"/>
  <c r="P23" i="4"/>
  <c r="O23" i="4"/>
  <c r="N23" i="4"/>
  <c r="M23" i="4"/>
  <c r="Q22" i="4"/>
  <c r="P22" i="4"/>
  <c r="O22" i="4"/>
  <c r="N22" i="4"/>
  <c r="M22" i="4"/>
  <c r="Q21" i="4"/>
  <c r="P21" i="4"/>
  <c r="O21" i="4"/>
  <c r="N21" i="4"/>
  <c r="M21" i="4"/>
  <c r="Q20" i="4"/>
  <c r="P20" i="4"/>
  <c r="O20" i="4"/>
  <c r="N20" i="4"/>
  <c r="M20" i="4"/>
  <c r="Q16" i="4"/>
  <c r="P16" i="4"/>
  <c r="O16" i="4"/>
  <c r="N16" i="4"/>
  <c r="M16" i="4"/>
  <c r="AA15" i="4"/>
  <c r="Z15" i="4"/>
  <c r="Y15" i="4"/>
  <c r="X15" i="4"/>
  <c r="Q15" i="4"/>
  <c r="P15" i="4"/>
  <c r="O15" i="4"/>
  <c r="N15" i="4"/>
  <c r="M15" i="4"/>
  <c r="AA14" i="4"/>
  <c r="Z14" i="4"/>
  <c r="Y14" i="4"/>
  <c r="X14" i="4"/>
  <c r="Q14" i="4"/>
  <c r="P14" i="4"/>
  <c r="O14" i="4"/>
  <c r="N14" i="4"/>
  <c r="M14" i="4"/>
  <c r="AA13" i="4"/>
  <c r="Z13" i="4"/>
  <c r="Y13" i="4"/>
  <c r="X13" i="4"/>
  <c r="Q13" i="4"/>
  <c r="P13" i="4"/>
  <c r="O13" i="4"/>
  <c r="N13" i="4"/>
  <c r="M13" i="4"/>
  <c r="AA12" i="4"/>
  <c r="Z12" i="4"/>
  <c r="Y12" i="4"/>
  <c r="X12" i="4"/>
  <c r="AA11" i="4"/>
  <c r="Z11" i="4"/>
  <c r="Y11" i="4"/>
  <c r="X11" i="4"/>
  <c r="AA10" i="4"/>
  <c r="Z10" i="4"/>
  <c r="Y10" i="4"/>
  <c r="X10" i="4"/>
  <c r="AA9" i="4"/>
  <c r="Z9" i="4"/>
  <c r="Y9" i="4"/>
  <c r="X9" i="4"/>
  <c r="Q9" i="4"/>
  <c r="P9" i="4"/>
  <c r="O9" i="4"/>
  <c r="N9" i="4"/>
  <c r="M9" i="4"/>
  <c r="AA8" i="4"/>
  <c r="Z8" i="4"/>
  <c r="Y8" i="4"/>
  <c r="X8" i="4"/>
  <c r="Q8" i="4"/>
  <c r="P8" i="4"/>
  <c r="O8" i="4"/>
  <c r="N8" i="4"/>
  <c r="M8" i="4"/>
  <c r="AA7" i="4"/>
  <c r="Z7" i="4"/>
  <c r="Y7" i="4"/>
  <c r="X7" i="4"/>
  <c r="Q7" i="4"/>
  <c r="P7" i="4"/>
  <c r="O7" i="4"/>
  <c r="N7" i="4"/>
  <c r="M7" i="4"/>
  <c r="AA6" i="4"/>
  <c r="Z6" i="4"/>
  <c r="Y6" i="4"/>
  <c r="X6" i="4"/>
  <c r="Q6" i="4"/>
  <c r="P6" i="4"/>
  <c r="O6" i="4"/>
  <c r="N6" i="4"/>
  <c r="M6" i="4"/>
  <c r="AA5" i="4"/>
  <c r="Z5" i="4"/>
  <c r="Y5" i="4"/>
  <c r="X5" i="4"/>
  <c r="Z4" i="4"/>
  <c r="Y4" i="4"/>
  <c r="X4" i="4"/>
  <c r="Q86" i="19"/>
  <c r="P86" i="19"/>
  <c r="O86" i="19"/>
  <c r="N86" i="19"/>
  <c r="M86" i="19"/>
  <c r="Q85" i="19"/>
  <c r="P85" i="19"/>
  <c r="O85" i="19"/>
  <c r="N85" i="19"/>
  <c r="M85" i="19"/>
  <c r="Q84" i="19"/>
  <c r="P84" i="19"/>
  <c r="O84" i="19"/>
  <c r="N84" i="19"/>
  <c r="M84" i="19"/>
  <c r="Q83" i="19"/>
  <c r="P83" i="19"/>
  <c r="O83" i="19"/>
  <c r="N83" i="19"/>
  <c r="M83" i="19"/>
  <c r="Q79" i="19"/>
  <c r="P79" i="19"/>
  <c r="O79" i="19"/>
  <c r="N79" i="19"/>
  <c r="M79" i="19"/>
  <c r="Q78" i="19"/>
  <c r="P78" i="19"/>
  <c r="O78" i="19"/>
  <c r="N78" i="19"/>
  <c r="M78" i="19"/>
  <c r="Q77" i="19"/>
  <c r="P77" i="19"/>
  <c r="O77" i="19"/>
  <c r="N77" i="19"/>
  <c r="M77" i="19"/>
  <c r="Q76" i="19"/>
  <c r="P76" i="19"/>
  <c r="O76" i="19"/>
  <c r="N76" i="19"/>
  <c r="M76" i="19"/>
  <c r="Q72" i="19"/>
  <c r="P72" i="19"/>
  <c r="O72" i="19"/>
  <c r="N72" i="19"/>
  <c r="M72" i="19"/>
  <c r="Q71" i="19"/>
  <c r="P71" i="19"/>
  <c r="O71" i="19"/>
  <c r="N71" i="19"/>
  <c r="M71" i="19"/>
  <c r="Q70" i="19"/>
  <c r="P70" i="19"/>
  <c r="O70" i="19"/>
  <c r="N70" i="19"/>
  <c r="M70" i="19"/>
  <c r="Q69" i="19"/>
  <c r="P69" i="19"/>
  <c r="O69" i="19"/>
  <c r="N69" i="19"/>
  <c r="M69" i="19"/>
  <c r="Q65" i="19"/>
  <c r="P65" i="19"/>
  <c r="O65" i="19"/>
  <c r="N65" i="19"/>
  <c r="M65" i="19"/>
  <c r="Q64" i="19"/>
  <c r="P64" i="19"/>
  <c r="O64" i="19"/>
  <c r="N64" i="19"/>
  <c r="M64" i="19"/>
  <c r="Q63" i="19"/>
  <c r="P63" i="19"/>
  <c r="O63" i="19"/>
  <c r="N63" i="19"/>
  <c r="M63" i="19"/>
  <c r="Q62" i="19"/>
  <c r="P62" i="19"/>
  <c r="O62" i="19"/>
  <c r="N62" i="19"/>
  <c r="M62" i="19"/>
  <c r="Q58" i="19"/>
  <c r="P58" i="19"/>
  <c r="O58" i="19"/>
  <c r="N58" i="19"/>
  <c r="M58" i="19"/>
  <c r="Q57" i="19"/>
  <c r="P57" i="19"/>
  <c r="O57" i="19"/>
  <c r="N57" i="19"/>
  <c r="M57" i="19"/>
  <c r="Q56" i="19"/>
  <c r="P56" i="19"/>
  <c r="O56" i="19"/>
  <c r="N56" i="19"/>
  <c r="M56" i="19"/>
  <c r="Q55" i="19"/>
  <c r="P55" i="19"/>
  <c r="O55" i="19"/>
  <c r="N55" i="19"/>
  <c r="M55" i="19"/>
  <c r="Q51" i="19"/>
  <c r="P51" i="19"/>
  <c r="O51" i="19"/>
  <c r="N51" i="19"/>
  <c r="M51" i="19"/>
  <c r="Q50" i="19"/>
  <c r="P50" i="19"/>
  <c r="O50" i="19"/>
  <c r="N50" i="19"/>
  <c r="M50" i="19"/>
  <c r="Q49" i="19"/>
  <c r="P49" i="19"/>
  <c r="O49" i="19"/>
  <c r="N49" i="19"/>
  <c r="M49" i="19"/>
  <c r="Q48" i="19"/>
  <c r="P48" i="19"/>
  <c r="O48" i="19"/>
  <c r="N48" i="19"/>
  <c r="M48" i="19"/>
  <c r="Q44" i="19"/>
  <c r="P44" i="19"/>
  <c r="O44" i="19"/>
  <c r="N44" i="19"/>
  <c r="M44" i="19"/>
  <c r="Q43" i="19"/>
  <c r="P43" i="19"/>
  <c r="O43" i="19"/>
  <c r="N43" i="19"/>
  <c r="M43" i="19"/>
  <c r="Q42" i="19"/>
  <c r="P42" i="19"/>
  <c r="O42" i="19"/>
  <c r="N42" i="19"/>
  <c r="M42" i="19"/>
  <c r="Q41" i="19"/>
  <c r="P41" i="19"/>
  <c r="O41" i="19"/>
  <c r="N41" i="19"/>
  <c r="M41" i="19"/>
  <c r="Q37" i="19"/>
  <c r="P37" i="19"/>
  <c r="O37" i="19"/>
  <c r="N37" i="19"/>
  <c r="M37" i="19"/>
  <c r="Q36" i="19"/>
  <c r="P36" i="19"/>
  <c r="O36" i="19"/>
  <c r="N36" i="19"/>
  <c r="M36" i="19"/>
  <c r="Q35" i="19"/>
  <c r="P35" i="19"/>
  <c r="O35" i="19"/>
  <c r="N35" i="19"/>
  <c r="M35" i="19"/>
  <c r="Q34" i="19"/>
  <c r="P34" i="19"/>
  <c r="O34" i="19"/>
  <c r="N34" i="19"/>
  <c r="M34" i="19"/>
  <c r="Q30" i="19"/>
  <c r="P30" i="19"/>
  <c r="O30" i="19"/>
  <c r="N30" i="19"/>
  <c r="M30" i="19"/>
  <c r="Q29" i="19"/>
  <c r="P29" i="19"/>
  <c r="O29" i="19"/>
  <c r="N29" i="19"/>
  <c r="M29" i="19"/>
  <c r="Q28" i="19"/>
  <c r="P28" i="19"/>
  <c r="O28" i="19"/>
  <c r="N28" i="19"/>
  <c r="M28" i="19"/>
  <c r="Q27" i="19"/>
  <c r="P27" i="19"/>
  <c r="O27" i="19"/>
  <c r="N27" i="19"/>
  <c r="M27" i="19"/>
  <c r="Q23" i="19"/>
  <c r="P23" i="19"/>
  <c r="O23" i="19"/>
  <c r="N23" i="19"/>
  <c r="M23" i="19"/>
  <c r="Q22" i="19"/>
  <c r="P22" i="19"/>
  <c r="O22" i="19"/>
  <c r="N22" i="19"/>
  <c r="M22" i="19"/>
  <c r="Q21" i="19"/>
  <c r="P21" i="19"/>
  <c r="O21" i="19"/>
  <c r="N21" i="19"/>
  <c r="M21" i="19"/>
  <c r="Q20" i="19"/>
  <c r="P20" i="19"/>
  <c r="O20" i="19"/>
  <c r="N20" i="19"/>
  <c r="M20" i="19"/>
  <c r="Q16" i="19"/>
  <c r="P16" i="19"/>
  <c r="O16" i="19"/>
  <c r="N16" i="19"/>
  <c r="M16" i="19"/>
  <c r="AA15" i="19"/>
  <c r="Z15" i="19"/>
  <c r="Y15" i="19"/>
  <c r="X15" i="19"/>
  <c r="Q15" i="19"/>
  <c r="P15" i="19"/>
  <c r="O15" i="19"/>
  <c r="N15" i="19"/>
  <c r="M15" i="19"/>
  <c r="AA14" i="19"/>
  <c r="Z14" i="19"/>
  <c r="Y14" i="19"/>
  <c r="X14" i="19"/>
  <c r="Q14" i="19"/>
  <c r="P14" i="19"/>
  <c r="O14" i="19"/>
  <c r="N14" i="19"/>
  <c r="M14" i="19"/>
  <c r="AA13" i="19"/>
  <c r="Z13" i="19"/>
  <c r="Y13" i="19"/>
  <c r="X13" i="19"/>
  <c r="Q13" i="19"/>
  <c r="P13" i="19"/>
  <c r="O13" i="19"/>
  <c r="N13" i="19"/>
  <c r="M13" i="19"/>
  <c r="AA12" i="19"/>
  <c r="Z12" i="19"/>
  <c r="Y12" i="19"/>
  <c r="X12" i="19"/>
  <c r="AA11" i="19"/>
  <c r="Z11" i="19"/>
  <c r="Y11" i="19"/>
  <c r="X11" i="19"/>
  <c r="AA10" i="19"/>
  <c r="Z10" i="19"/>
  <c r="Y10" i="19"/>
  <c r="X10" i="19"/>
  <c r="AA9" i="19"/>
  <c r="Z9" i="19"/>
  <c r="Y9" i="19"/>
  <c r="X9" i="19"/>
  <c r="Q9" i="19"/>
  <c r="P9" i="19"/>
  <c r="O9" i="19"/>
  <c r="N9" i="19"/>
  <c r="M9" i="19"/>
  <c r="AA8" i="19"/>
  <c r="Z8" i="19"/>
  <c r="Y8" i="19"/>
  <c r="X8" i="19"/>
  <c r="Q8" i="19"/>
  <c r="P8" i="19"/>
  <c r="O8" i="19"/>
  <c r="N8" i="19"/>
  <c r="M8" i="19"/>
  <c r="AA7" i="19"/>
  <c r="Z7" i="19"/>
  <c r="Y7" i="19"/>
  <c r="X7" i="19"/>
  <c r="Q7" i="19"/>
  <c r="P7" i="19"/>
  <c r="O7" i="19"/>
  <c r="N7" i="19"/>
  <c r="M7" i="19"/>
  <c r="AA6" i="19"/>
  <c r="Z6" i="19"/>
  <c r="Y6" i="19"/>
  <c r="X6" i="19"/>
  <c r="Q6" i="19"/>
  <c r="P6" i="19"/>
  <c r="O6" i="19"/>
  <c r="N6" i="19"/>
  <c r="M6" i="19"/>
  <c r="AA5" i="19"/>
  <c r="Z5" i="19"/>
  <c r="Y5" i="19"/>
  <c r="X5" i="19"/>
  <c r="Z4" i="19"/>
  <c r="Y4" i="19"/>
  <c r="X4" i="19"/>
  <c r="D31" i="22"/>
  <c r="A31" i="22"/>
  <c r="D9" i="22"/>
  <c r="E46" i="22"/>
  <c r="E45" i="22"/>
  <c r="E44" i="22"/>
  <c r="E43" i="22"/>
  <c r="E42" i="22"/>
  <c r="E41" i="22"/>
  <c r="E40" i="22"/>
  <c r="E39" i="22"/>
  <c r="E38" i="22"/>
  <c r="E36" i="22"/>
  <c r="E35" i="22"/>
  <c r="E34" i="22"/>
  <c r="B46" i="22"/>
  <c r="B45" i="22"/>
  <c r="B44" i="22"/>
  <c r="B43" i="22"/>
  <c r="B42" i="22"/>
  <c r="B41" i="22"/>
  <c r="B40" i="22"/>
  <c r="B39" i="22"/>
  <c r="B38" i="22"/>
  <c r="B37" i="22"/>
  <c r="B36" i="22"/>
  <c r="B35" i="22"/>
  <c r="B33" i="22"/>
  <c r="B34" i="22"/>
  <c r="A30" i="22"/>
  <c r="D30" i="22"/>
  <c r="E33" i="22"/>
  <c r="D48" i="22" a="1"/>
  <c r="D48" i="22"/>
  <c r="E11" i="22"/>
  <c r="E13" i="22"/>
  <c r="E12" i="22"/>
  <c r="D8" i="22"/>
  <c r="A8" i="22"/>
  <c r="AB9" i="22"/>
  <c r="B24" i="22"/>
  <c r="B23" i="22"/>
  <c r="B20" i="22"/>
  <c r="B18" i="22"/>
  <c r="B17" i="22"/>
  <c r="B16" i="22"/>
  <c r="B15" i="22"/>
  <c r="B14" i="22"/>
  <c r="B13" i="22"/>
  <c r="B12" i="22"/>
  <c r="B21" i="22"/>
  <c r="B22" i="22"/>
  <c r="AC9" i="22"/>
  <c r="A9" i="22"/>
  <c r="J6" i="21"/>
  <c r="K6" i="21"/>
  <c r="J6" i="20"/>
  <c r="K6" i="20"/>
  <c r="J6" i="19"/>
  <c r="K6" i="19"/>
  <c r="J7" i="21"/>
  <c r="K7" i="21"/>
  <c r="J7" i="20"/>
  <c r="K7" i="20"/>
  <c r="J7" i="19"/>
  <c r="K7" i="19"/>
  <c r="J8" i="21"/>
  <c r="K8" i="21"/>
  <c r="J8" i="20"/>
  <c r="K8" i="20"/>
  <c r="J8" i="19"/>
  <c r="K8" i="19"/>
  <c r="J9" i="21"/>
  <c r="K9" i="21"/>
  <c r="J9" i="20"/>
  <c r="K9" i="20"/>
  <c r="J9" i="19"/>
  <c r="K9" i="19"/>
  <c r="J10" i="21"/>
  <c r="K10" i="21"/>
  <c r="J10" i="19"/>
  <c r="K10" i="19"/>
  <c r="J11" i="21"/>
  <c r="K11" i="21"/>
  <c r="J11" i="19"/>
  <c r="K11" i="19"/>
  <c r="J12" i="21"/>
  <c r="K12" i="21"/>
  <c r="J12" i="20"/>
  <c r="K12" i="20"/>
  <c r="J12" i="19"/>
  <c r="K12" i="19"/>
  <c r="J13" i="21"/>
  <c r="K13" i="21"/>
  <c r="J13" i="20"/>
  <c r="K13" i="20"/>
  <c r="J13" i="19"/>
  <c r="K13" i="19"/>
  <c r="J14" i="21"/>
  <c r="K14" i="21"/>
  <c r="J14" i="20"/>
  <c r="K14" i="20"/>
  <c r="J14" i="19"/>
  <c r="K14" i="19"/>
  <c r="J15" i="21"/>
  <c r="K15" i="21"/>
  <c r="J15" i="20"/>
  <c r="K15" i="20"/>
  <c r="J15" i="19"/>
  <c r="K15" i="19"/>
  <c r="J16" i="21"/>
  <c r="K16" i="21"/>
  <c r="J16" i="19"/>
  <c r="K16" i="19"/>
  <c r="J17" i="21"/>
  <c r="K17" i="21"/>
  <c r="J17" i="19"/>
  <c r="K17" i="19"/>
  <c r="J18" i="21"/>
  <c r="K18" i="21"/>
  <c r="J18" i="20"/>
  <c r="K18" i="20"/>
  <c r="J18" i="19"/>
  <c r="K18" i="19"/>
  <c r="J19" i="21"/>
  <c r="K19" i="21"/>
  <c r="J19" i="20"/>
  <c r="K19" i="20"/>
  <c r="J19" i="19"/>
  <c r="K19" i="19"/>
  <c r="J20" i="21"/>
  <c r="K20" i="21"/>
  <c r="J20" i="20"/>
  <c r="K20" i="20"/>
  <c r="J20" i="19"/>
  <c r="K20" i="19"/>
  <c r="J21" i="21"/>
  <c r="K21" i="21"/>
  <c r="J21" i="20"/>
  <c r="K21" i="20"/>
  <c r="J21" i="19"/>
  <c r="K21" i="19"/>
  <c r="J22" i="21"/>
  <c r="K22" i="21"/>
  <c r="J22" i="19"/>
  <c r="K22" i="19"/>
  <c r="J23" i="21"/>
  <c r="K23" i="21"/>
  <c r="J23" i="19"/>
  <c r="K23" i="19"/>
  <c r="J24" i="21"/>
  <c r="K24" i="21"/>
  <c r="J24" i="20"/>
  <c r="K24" i="20"/>
  <c r="J24" i="19"/>
  <c r="K24" i="19"/>
  <c r="J25" i="21"/>
  <c r="K25" i="21"/>
  <c r="J25" i="20"/>
  <c r="K25" i="20"/>
  <c r="J25" i="19"/>
  <c r="K25" i="19"/>
  <c r="J26" i="21"/>
  <c r="K26" i="21"/>
  <c r="J26" i="20"/>
  <c r="K26" i="20"/>
  <c r="J26" i="19"/>
  <c r="K26" i="19"/>
  <c r="J27" i="21"/>
  <c r="K27" i="21"/>
  <c r="J27" i="20"/>
  <c r="K27" i="20"/>
  <c r="J27" i="19"/>
  <c r="K27" i="19"/>
  <c r="J28" i="21"/>
  <c r="K28" i="21"/>
  <c r="J28" i="19"/>
  <c r="K28" i="19"/>
  <c r="J29" i="21"/>
  <c r="K29" i="21"/>
  <c r="J29" i="19"/>
  <c r="K29" i="19"/>
  <c r="J30" i="21"/>
  <c r="K30" i="21"/>
  <c r="J30" i="20"/>
  <c r="K30" i="20"/>
  <c r="J30" i="19"/>
  <c r="K30" i="19"/>
  <c r="J31" i="21"/>
  <c r="K31" i="21"/>
  <c r="J31" i="20"/>
  <c r="K31" i="20"/>
  <c r="J31" i="19"/>
  <c r="K31" i="19"/>
  <c r="J32" i="21"/>
  <c r="K32" i="21"/>
  <c r="J32" i="20"/>
  <c r="K32" i="20"/>
  <c r="J32" i="19"/>
  <c r="K32" i="19"/>
  <c r="J33" i="21"/>
  <c r="K33" i="21"/>
  <c r="J33" i="20"/>
  <c r="K33" i="20"/>
  <c r="J33" i="19"/>
  <c r="K33" i="19"/>
  <c r="J34" i="21"/>
  <c r="K34" i="21"/>
  <c r="J34" i="19"/>
  <c r="K34" i="19"/>
  <c r="J35" i="21"/>
  <c r="K35" i="21"/>
  <c r="J35" i="19"/>
  <c r="K35" i="19"/>
  <c r="J36" i="21"/>
  <c r="K36" i="21"/>
  <c r="J36" i="20"/>
  <c r="K36" i="20"/>
  <c r="J36" i="19"/>
  <c r="K36" i="19"/>
  <c r="J37" i="21"/>
  <c r="K37" i="21"/>
  <c r="J37" i="20"/>
  <c r="K37" i="20"/>
  <c r="J37" i="19"/>
  <c r="K37" i="19"/>
  <c r="J38" i="21"/>
  <c r="K38" i="21"/>
  <c r="J38" i="20"/>
  <c r="K38" i="20"/>
  <c r="J38" i="19"/>
  <c r="K38" i="19"/>
  <c r="J39" i="21"/>
  <c r="K39" i="21"/>
  <c r="J39" i="20"/>
  <c r="K39" i="20"/>
  <c r="J39" i="19"/>
  <c r="K39" i="19"/>
  <c r="J40" i="21"/>
  <c r="K40" i="21"/>
  <c r="J40" i="19"/>
  <c r="K40" i="19"/>
  <c r="J41" i="21"/>
  <c r="K41" i="21"/>
  <c r="J41" i="20"/>
  <c r="K41" i="20"/>
  <c r="J41" i="19"/>
  <c r="K41" i="19"/>
  <c r="J42" i="21"/>
  <c r="K42" i="21"/>
  <c r="J42" i="20"/>
  <c r="K42" i="20"/>
  <c r="J42" i="19"/>
  <c r="K42" i="19"/>
  <c r="J43" i="21"/>
  <c r="K43" i="21"/>
  <c r="J43" i="20"/>
  <c r="K43" i="20"/>
  <c r="J43" i="19"/>
  <c r="K43" i="19"/>
  <c r="J44" i="21"/>
  <c r="K44" i="21"/>
  <c r="J44" i="20"/>
  <c r="K44" i="20"/>
  <c r="J44" i="19"/>
  <c r="K44" i="19"/>
  <c r="J45" i="21"/>
  <c r="K45" i="21"/>
  <c r="J45" i="19"/>
  <c r="K45" i="19"/>
  <c r="J46" i="21"/>
  <c r="K46" i="21"/>
  <c r="J46" i="19"/>
  <c r="K46" i="19"/>
  <c r="J47" i="21"/>
  <c r="K47" i="21"/>
  <c r="J47" i="19"/>
  <c r="K47" i="19"/>
  <c r="J48" i="21"/>
  <c r="K48" i="21"/>
  <c r="J48" i="20"/>
  <c r="K48" i="20"/>
  <c r="J48" i="19"/>
  <c r="K48" i="19"/>
  <c r="J49" i="21"/>
  <c r="K49" i="21"/>
  <c r="J49" i="20"/>
  <c r="K49" i="20"/>
  <c r="J49" i="19"/>
  <c r="K49" i="19"/>
  <c r="J50" i="21"/>
  <c r="K50" i="21"/>
  <c r="J50" i="20"/>
  <c r="K50" i="20"/>
  <c r="J50" i="19"/>
  <c r="K50" i="19"/>
  <c r="J51" i="21"/>
  <c r="K51" i="21"/>
  <c r="J51" i="20"/>
  <c r="K51" i="20"/>
  <c r="J51" i="19"/>
  <c r="K51" i="19"/>
  <c r="J52" i="21"/>
  <c r="K52" i="21"/>
  <c r="J52" i="19"/>
  <c r="K52" i="19"/>
  <c r="J53" i="21"/>
  <c r="K53" i="21"/>
  <c r="J53" i="19"/>
  <c r="K53" i="19"/>
  <c r="J54" i="21"/>
  <c r="K54" i="21"/>
  <c r="J54" i="20"/>
  <c r="K54" i="20"/>
  <c r="J54" i="19"/>
  <c r="K54" i="19"/>
  <c r="J55" i="21"/>
  <c r="K55" i="21"/>
  <c r="J55" i="20"/>
  <c r="K55" i="20"/>
  <c r="J55" i="19"/>
  <c r="K55" i="19"/>
  <c r="J56" i="21"/>
  <c r="K56" i="21"/>
  <c r="J56" i="20"/>
  <c r="K56" i="20"/>
  <c r="J56" i="19"/>
  <c r="K56" i="19"/>
  <c r="J57" i="21"/>
  <c r="K57" i="21"/>
  <c r="J57" i="20"/>
  <c r="K57" i="20"/>
  <c r="J57" i="19"/>
  <c r="K57" i="19"/>
  <c r="J58" i="21"/>
  <c r="K58" i="21"/>
  <c r="J58" i="19"/>
  <c r="K58" i="19"/>
  <c r="J59" i="21"/>
  <c r="K59" i="21"/>
  <c r="J59" i="20"/>
  <c r="K59" i="20"/>
  <c r="J64" i="20"/>
  <c r="K64" i="20"/>
  <c r="J65" i="20"/>
  <c r="K65" i="20"/>
  <c r="J70" i="20"/>
  <c r="K70" i="20"/>
  <c r="J71" i="20"/>
  <c r="K71" i="20"/>
  <c r="J61" i="20"/>
  <c r="K61" i="20"/>
  <c r="J60" i="20"/>
  <c r="K60" i="20"/>
  <c r="J67" i="20"/>
  <c r="K67" i="20"/>
  <c r="J72" i="20"/>
  <c r="K72" i="20"/>
  <c r="J66" i="20"/>
  <c r="K66" i="20"/>
  <c r="J73" i="20"/>
  <c r="K73" i="20"/>
  <c r="J74" i="20"/>
  <c r="K74" i="20"/>
  <c r="J75" i="20"/>
  <c r="K75" i="20"/>
  <c r="J68" i="20"/>
  <c r="K68" i="20"/>
  <c r="J69" i="20"/>
  <c r="K69" i="20"/>
  <c r="J62" i="20"/>
  <c r="K62" i="20"/>
  <c r="J63" i="20"/>
  <c r="K63" i="20"/>
  <c r="J76" i="20"/>
  <c r="K76" i="20"/>
  <c r="J77" i="20"/>
  <c r="K77" i="20"/>
  <c r="J78" i="20"/>
  <c r="K78" i="20"/>
  <c r="J79" i="20"/>
  <c r="K79" i="20"/>
  <c r="J80" i="20"/>
  <c r="K80" i="20"/>
  <c r="J81" i="20"/>
  <c r="K81" i="20"/>
  <c r="J82" i="20"/>
  <c r="K82" i="20"/>
  <c r="J83" i="20"/>
  <c r="K83" i="20"/>
  <c r="J84" i="20"/>
  <c r="K84" i="20"/>
  <c r="J85" i="20"/>
  <c r="K85" i="20"/>
  <c r="J86" i="20"/>
  <c r="K86" i="20"/>
  <c r="J87" i="20"/>
  <c r="K87" i="20"/>
  <c r="J88" i="20"/>
  <c r="K88" i="20"/>
  <c r="J89" i="20"/>
  <c r="K89" i="20"/>
  <c r="J90" i="20"/>
  <c r="K90" i="20"/>
  <c r="J91" i="20"/>
  <c r="K91" i="20"/>
  <c r="B112" i="20"/>
  <c r="B116" i="20"/>
  <c r="D6" i="5"/>
  <c r="J59" i="19"/>
  <c r="K59" i="19"/>
  <c r="J60" i="21"/>
  <c r="K60" i="21"/>
  <c r="J60" i="19"/>
  <c r="K60" i="19"/>
  <c r="J61" i="21"/>
  <c r="K61" i="21"/>
  <c r="J61" i="19"/>
  <c r="K61" i="19"/>
  <c r="J62" i="21"/>
  <c r="K62" i="21"/>
  <c r="J62" i="19"/>
  <c r="K62" i="19"/>
  <c r="J63" i="21"/>
  <c r="K63" i="21"/>
  <c r="J63" i="19"/>
  <c r="K63" i="19"/>
  <c r="J64" i="21"/>
  <c r="K64" i="21"/>
  <c r="J64" i="19"/>
  <c r="K64" i="19"/>
  <c r="J65" i="21"/>
  <c r="K65" i="21"/>
  <c r="J65" i="19"/>
  <c r="K65" i="19"/>
  <c r="J66" i="21"/>
  <c r="K66" i="21"/>
  <c r="J66" i="19"/>
  <c r="K66" i="19"/>
  <c r="J67" i="21"/>
  <c r="K67" i="21"/>
  <c r="J67" i="19"/>
  <c r="K67" i="19"/>
  <c r="J68" i="21"/>
  <c r="K68" i="21"/>
  <c r="J68" i="19"/>
  <c r="K68" i="19"/>
  <c r="J69" i="21"/>
  <c r="K69" i="21"/>
  <c r="J69" i="19"/>
  <c r="K69" i="19"/>
  <c r="J70" i="21"/>
  <c r="K70" i="21"/>
  <c r="J70" i="19"/>
  <c r="K70" i="19"/>
  <c r="J71" i="21"/>
  <c r="K71" i="21"/>
  <c r="J71" i="19"/>
  <c r="K71" i="19"/>
  <c r="J72" i="21"/>
  <c r="K72" i="21"/>
  <c r="J72" i="19"/>
  <c r="K72" i="19"/>
  <c r="J73" i="21"/>
  <c r="K73" i="21"/>
  <c r="J73" i="19"/>
  <c r="K73" i="19"/>
  <c r="J74" i="21"/>
  <c r="K74" i="21"/>
  <c r="J74" i="19"/>
  <c r="K74" i="19"/>
  <c r="J75" i="21"/>
  <c r="K75" i="21"/>
  <c r="J75" i="19"/>
  <c r="K75" i="19"/>
  <c r="J76" i="21"/>
  <c r="K76" i="21"/>
  <c r="J76" i="19"/>
  <c r="K76" i="19"/>
  <c r="J77" i="21"/>
  <c r="K77" i="21"/>
  <c r="J77" i="19"/>
  <c r="K77" i="19"/>
  <c r="J78" i="21"/>
  <c r="K78" i="21"/>
  <c r="J78" i="19"/>
  <c r="K78" i="19"/>
  <c r="J79" i="21"/>
  <c r="K79" i="21"/>
  <c r="J79" i="19"/>
  <c r="K79" i="19"/>
  <c r="J80" i="21"/>
  <c r="K80" i="21"/>
  <c r="J80" i="19"/>
  <c r="K80" i="19"/>
  <c r="J81" i="21"/>
  <c r="K81" i="21"/>
  <c r="J81" i="19"/>
  <c r="K81" i="19"/>
  <c r="J82" i="21"/>
  <c r="K82" i="21"/>
  <c r="J82" i="19"/>
  <c r="K82" i="19"/>
  <c r="J83" i="21"/>
  <c r="K83" i="21"/>
  <c r="J83" i="19"/>
  <c r="K83" i="19"/>
  <c r="J84" i="21"/>
  <c r="K84" i="21"/>
  <c r="J84" i="19"/>
  <c r="K84" i="19"/>
  <c r="J85" i="21"/>
  <c r="K85" i="21"/>
  <c r="J85" i="19"/>
  <c r="K85" i="19"/>
  <c r="J86" i="21"/>
  <c r="K86" i="21"/>
  <c r="J86" i="19"/>
  <c r="K86" i="19"/>
  <c r="J87" i="21"/>
  <c r="K87" i="21"/>
  <c r="J87" i="19"/>
  <c r="K87" i="19"/>
  <c r="J88" i="21"/>
  <c r="K88" i="21"/>
  <c r="J88" i="19"/>
  <c r="K88" i="19"/>
  <c r="J89" i="21"/>
  <c r="K89" i="21"/>
  <c r="J89" i="19"/>
  <c r="K89" i="19"/>
  <c r="J90" i="21"/>
  <c r="K90" i="21"/>
  <c r="J90" i="19"/>
  <c r="K90" i="19"/>
  <c r="J91" i="21"/>
  <c r="K91" i="21"/>
  <c r="J91" i="19"/>
  <c r="K91" i="19"/>
  <c r="J92" i="21"/>
  <c r="K92" i="21"/>
  <c r="J92" i="20"/>
  <c r="K92" i="20"/>
  <c r="J92" i="19"/>
  <c r="K92" i="19"/>
  <c r="J93" i="21"/>
  <c r="K93" i="21"/>
  <c r="J93" i="20"/>
  <c r="K93" i="20"/>
  <c r="J93" i="19"/>
  <c r="K93" i="19"/>
  <c r="J94" i="21"/>
  <c r="K94" i="21"/>
  <c r="J94" i="20"/>
  <c r="K94" i="20"/>
  <c r="J94" i="19"/>
  <c r="K94" i="19"/>
  <c r="J95" i="21"/>
  <c r="K95" i="21"/>
  <c r="J95" i="20"/>
  <c r="K95" i="20"/>
  <c r="J95" i="19"/>
  <c r="K95" i="19"/>
  <c r="J96" i="21"/>
  <c r="K96" i="21"/>
  <c r="J96" i="20"/>
  <c r="K96" i="20"/>
  <c r="J96" i="19"/>
  <c r="K96" i="19"/>
  <c r="J97" i="21"/>
  <c r="K97" i="21"/>
  <c r="J97" i="20"/>
  <c r="K97" i="20"/>
  <c r="J97" i="19"/>
  <c r="K97" i="19"/>
  <c r="J98" i="21"/>
  <c r="K98" i="21"/>
  <c r="J98" i="20"/>
  <c r="K98" i="20"/>
  <c r="J98" i="19"/>
  <c r="K98" i="19"/>
  <c r="J99" i="21"/>
  <c r="K99" i="21"/>
  <c r="J99" i="20"/>
  <c r="K99" i="20"/>
  <c r="J99" i="19"/>
  <c r="K99" i="19"/>
  <c r="J100" i="21"/>
  <c r="K100" i="21"/>
  <c r="J100" i="20"/>
  <c r="K100" i="20"/>
  <c r="J100" i="19"/>
  <c r="K100" i="19"/>
  <c r="J101" i="21"/>
  <c r="K101" i="21"/>
  <c r="J101" i="20"/>
  <c r="K101" i="20"/>
  <c r="J101" i="19"/>
  <c r="K101" i="19"/>
  <c r="J102" i="21"/>
  <c r="K102" i="21"/>
  <c r="J102" i="20"/>
  <c r="K102" i="20"/>
  <c r="J102" i="19"/>
  <c r="K102" i="19"/>
  <c r="J103" i="21"/>
  <c r="K103" i="21"/>
  <c r="J103" i="20"/>
  <c r="K103" i="20"/>
  <c r="J103" i="19"/>
  <c r="K103" i="19"/>
  <c r="J104" i="21"/>
  <c r="K104" i="21"/>
  <c r="J104" i="20"/>
  <c r="K104" i="20"/>
  <c r="J104" i="19"/>
  <c r="K104" i="19"/>
  <c r="J105" i="21"/>
  <c r="K105" i="21"/>
  <c r="J105" i="20"/>
  <c r="K105" i="20"/>
  <c r="J105" i="19"/>
  <c r="K105" i="19"/>
  <c r="J106" i="21"/>
  <c r="K106" i="21"/>
  <c r="J106" i="20"/>
  <c r="K106" i="20"/>
  <c r="J106" i="19"/>
  <c r="K106" i="19"/>
  <c r="J107" i="21"/>
  <c r="K107" i="21"/>
  <c r="J107" i="20"/>
  <c r="K107" i="20"/>
  <c r="J107" i="19"/>
  <c r="K107" i="19"/>
  <c r="J5" i="21"/>
  <c r="K5" i="21"/>
  <c r="J5" i="20"/>
  <c r="K5" i="20"/>
  <c r="J5" i="19"/>
  <c r="K5" i="19"/>
  <c r="J4" i="21"/>
  <c r="K4" i="21"/>
  <c r="B112" i="21"/>
  <c r="B116" i="21"/>
  <c r="D9" i="5"/>
  <c r="J4" i="20"/>
  <c r="K4" i="20"/>
  <c r="J4" i="19"/>
  <c r="K4" i="19"/>
  <c r="B112" i="19"/>
  <c r="B116" i="19"/>
  <c r="D17" i="5"/>
  <c r="A17" i="5"/>
  <c r="C17" i="5"/>
  <c r="A48" i="22" a="1"/>
  <c r="A48" i="22"/>
  <c r="AF22" i="22" a="1"/>
  <c r="AF22" i="22"/>
  <c r="AF21" i="22" a="1"/>
  <c r="AF21" i="22"/>
  <c r="AF20" i="22" a="1"/>
  <c r="AF20" i="22"/>
  <c r="AF19" i="22" a="1"/>
  <c r="AF19" i="22"/>
  <c r="AF18" i="22" a="1"/>
  <c r="AF18" i="22"/>
  <c r="AF17" i="22" a="1"/>
  <c r="AF17" i="22"/>
  <c r="AF16" i="22" a="1"/>
  <c r="AF16" i="22"/>
  <c r="AF15" i="22" a="1"/>
  <c r="AF15" i="22"/>
  <c r="AF14" i="22" a="1"/>
  <c r="AF14" i="22"/>
  <c r="AF13" i="22" a="1"/>
  <c r="AF13" i="22"/>
  <c r="AF12" i="22" a="1"/>
  <c r="AF12" i="22"/>
  <c r="AF11" i="22" a="1"/>
  <c r="AF11" i="22"/>
  <c r="AF10" i="22" a="1"/>
  <c r="AF10" i="22"/>
  <c r="AF9" i="22" a="1"/>
  <c r="AF9" i="22"/>
  <c r="E24" i="22"/>
  <c r="E23" i="22"/>
  <c r="E22" i="22"/>
  <c r="E21" i="22"/>
  <c r="E20" i="22"/>
  <c r="E19" i="22"/>
  <c r="E18" i="22"/>
  <c r="E17" i="22"/>
  <c r="E16" i="22"/>
  <c r="E14" i="22"/>
  <c r="D26" i="22" a="1"/>
  <c r="D26" i="22"/>
  <c r="B11" i="22"/>
  <c r="B19" i="22"/>
  <c r="A6" i="5"/>
  <c r="C6" i="5"/>
  <c r="A2" i="5"/>
  <c r="A9" i="5"/>
  <c r="C9" i="5"/>
  <c r="A4" i="5"/>
  <c r="C4" i="5"/>
  <c r="A16" i="5"/>
  <c r="C16" i="5"/>
  <c r="A7" i="5"/>
  <c r="C7" i="5"/>
  <c r="A10" i="5"/>
  <c r="C10" i="5"/>
  <c r="A5" i="5"/>
  <c r="C5" i="5"/>
  <c r="A15" i="5"/>
  <c r="C15" i="5"/>
  <c r="A13" i="5"/>
  <c r="C13" i="5"/>
  <c r="A12" i="5"/>
  <c r="C12" i="5"/>
  <c r="A14" i="5"/>
  <c r="C14" i="5"/>
  <c r="A8" i="5"/>
  <c r="C8" i="5"/>
  <c r="A11" i="5"/>
  <c r="C11" i="5"/>
  <c r="A26" i="22" a="1"/>
  <c r="A26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<sst xmlns="http://schemas.openxmlformats.org/spreadsheetml/2006/main" count="11553" uniqueCount="308">
  <si>
    <t>🏆 Leaderboard</t>
  </si>
  <si>
    <t>Placering</t>
  </si>
  <si>
    <t>Namn2</t>
  </si>
  <si>
    <t>Namn</t>
  </si>
  <si>
    <t>Poäng</t>
  </si>
  <si>
    <t>Gina</t>
  </si>
  <si>
    <t>Erik</t>
  </si>
  <si>
    <t>Petra</t>
  </si>
  <si>
    <t>ChatGPT</t>
  </si>
  <si>
    <t>Mika</t>
  </si>
  <si>
    <t>Kristian</t>
  </si>
  <si>
    <t>Mli</t>
  </si>
  <si>
    <t>Lasse P</t>
  </si>
  <si>
    <t>Gordon</t>
  </si>
  <si>
    <t>Christofer</t>
  </si>
  <si>
    <t>Yazmine</t>
  </si>
  <si>
    <t>Fredde L</t>
  </si>
  <si>
    <t>Jeppe</t>
  </si>
  <si>
    <t>Elliott</t>
  </si>
  <si>
    <t>⚽ MATCH CENTER</t>
  </si>
  <si>
    <t>Matchdatum</t>
  </si>
  <si>
    <t xml:space="preserve">📅 Matchdag: </t>
  </si>
  <si>
    <t>Match 1</t>
  </si>
  <si>
    <t>Match 3</t>
  </si>
  <si>
    <t>Matchnr</t>
  </si>
  <si>
    <t>Tid</t>
  </si>
  <si>
    <t>Match</t>
  </si>
  <si>
    <t>Chatgpt</t>
  </si>
  <si>
    <t>yazmine</t>
  </si>
  <si>
    <t xml:space="preserve">Lasse P </t>
  </si>
  <si>
    <t>Lasse</t>
  </si>
  <si>
    <t>Fredde</t>
  </si>
  <si>
    <t>Match 2</t>
  </si>
  <si>
    <t>Match 4</t>
  </si>
  <si>
    <t>🏆 VM 2026 – Resultat &amp; tabell</t>
  </si>
  <si>
    <t>Lag per grupp</t>
  </si>
  <si>
    <t>Matcher/resultat</t>
  </si>
  <si>
    <t>Grupp A</t>
  </si>
  <si>
    <t>Stad</t>
  </si>
  <si>
    <t>Fas</t>
  </si>
  <si>
    <t>Grupp</t>
  </si>
  <si>
    <t>Hemmalag</t>
  </si>
  <si>
    <t>Bortalag</t>
  </si>
  <si>
    <t>Mål H</t>
  </si>
  <si>
    <t>Mål B</t>
  </si>
  <si>
    <t>Tecken</t>
  </si>
  <si>
    <t>Vinnare</t>
  </si>
  <si>
    <t>A1</t>
  </si>
  <si>
    <t>Mexico</t>
  </si>
  <si>
    <t>Estadio Azteca (Mexico City)</t>
  </si>
  <si>
    <t>Gruppspel</t>
  </si>
  <si>
    <t>A</t>
  </si>
  <si>
    <t>South Africa</t>
  </si>
  <si>
    <t>Lag</t>
  </si>
  <si>
    <t>V</t>
  </si>
  <si>
    <t>O</t>
  </si>
  <si>
    <t>F</t>
  </si>
  <si>
    <t>GM</t>
  </si>
  <si>
    <t>IM</t>
  </si>
  <si>
    <t>+/-</t>
  </si>
  <si>
    <t>P</t>
  </si>
  <si>
    <t>A2</t>
  </si>
  <si>
    <t>Estadio Akron (Guadalajara)</t>
  </si>
  <si>
    <t>Sydkorea</t>
  </si>
  <si>
    <t>Tjeckien</t>
  </si>
  <si>
    <t>A3</t>
  </si>
  <si>
    <t>Mercedes-Benz Stadium (Atlanta)</t>
  </si>
  <si>
    <t>A4</t>
  </si>
  <si>
    <t>Grupp B</t>
  </si>
  <si>
    <t>B1</t>
  </si>
  <si>
    <t>Kanada</t>
  </si>
  <si>
    <t>Estadio BBVA (Monterrey)</t>
  </si>
  <si>
    <t>B2</t>
  </si>
  <si>
    <t>Bosnien och Hercegovina</t>
  </si>
  <si>
    <t>BMO Field (Toronto)</t>
  </si>
  <si>
    <t>B</t>
  </si>
  <si>
    <t>B3</t>
  </si>
  <si>
    <t>Qatar</t>
  </si>
  <si>
    <t>Levi’s Stadium (San Francisco Bay Area)</t>
  </si>
  <si>
    <t>Schweiz</t>
  </si>
  <si>
    <t>B4</t>
  </si>
  <si>
    <t>SoFi Stadium (Los Angeles)</t>
  </si>
  <si>
    <t>Grupp C</t>
  </si>
  <si>
    <t>BC Place (Vancouver)</t>
  </si>
  <si>
    <t>C1</t>
  </si>
  <si>
    <t>Brasilien</t>
  </si>
  <si>
    <t>C2</t>
  </si>
  <si>
    <t>Marocko</t>
  </si>
  <si>
    <t>Lumen Field (Seattle)</t>
  </si>
  <si>
    <t>C3</t>
  </si>
  <si>
    <t>Haiti</t>
  </si>
  <si>
    <t>MetLife Stadium (New York/New Jersey)</t>
  </si>
  <si>
    <t>C</t>
  </si>
  <si>
    <t>C4</t>
  </si>
  <si>
    <t>Skottland</t>
  </si>
  <si>
    <t>Gillette Stadium (Boston)</t>
  </si>
  <si>
    <t>Grupp D</t>
  </si>
  <si>
    <t>D1</t>
  </si>
  <si>
    <t>USA</t>
  </si>
  <si>
    <t>Lincoln Financial Field (Philadelphia)</t>
  </si>
  <si>
    <t>D2</t>
  </si>
  <si>
    <t>Paraguay</t>
  </si>
  <si>
    <t>Hard Rock Stadium (Miami)</t>
  </si>
  <si>
    <t>D3</t>
  </si>
  <si>
    <t>Australien</t>
  </si>
  <si>
    <t>D4</t>
  </si>
  <si>
    <t>Turkiet</t>
  </si>
  <si>
    <t>D</t>
  </si>
  <si>
    <t>Grupp E</t>
  </si>
  <si>
    <t>E1</t>
  </si>
  <si>
    <t>Tyskland</t>
  </si>
  <si>
    <t>E2</t>
  </si>
  <si>
    <t>Curaçao</t>
  </si>
  <si>
    <t>E3</t>
  </si>
  <si>
    <t>Elfenbenskusten</t>
  </si>
  <si>
    <t>E4</t>
  </si>
  <si>
    <t>Ecuador</t>
  </si>
  <si>
    <t>Grupp F</t>
  </si>
  <si>
    <t>NRG Stadium (Houston)</t>
  </si>
  <si>
    <t>E</t>
  </si>
  <si>
    <t>F1</t>
  </si>
  <si>
    <t>Nederländerna</t>
  </si>
  <si>
    <t>F2</t>
  </si>
  <si>
    <t>Japan</t>
  </si>
  <si>
    <t>Arrowhead Stadium (Kansas City)</t>
  </si>
  <si>
    <t>F3</t>
  </si>
  <si>
    <t>Sverige</t>
  </si>
  <si>
    <t>F4</t>
  </si>
  <si>
    <t>Tunisien</t>
  </si>
  <si>
    <t>Grupp G</t>
  </si>
  <si>
    <t>G1</t>
  </si>
  <si>
    <t>Belgien</t>
  </si>
  <si>
    <t>AT&amp;T Stadium (Dallas)</t>
  </si>
  <si>
    <t>G2</t>
  </si>
  <si>
    <t>Egypten</t>
  </si>
  <si>
    <t>G3</t>
  </si>
  <si>
    <t>Iran</t>
  </si>
  <si>
    <t>G4</t>
  </si>
  <si>
    <t>Nya Zeeland</t>
  </si>
  <si>
    <t>Grupp H</t>
  </si>
  <si>
    <t>H1</t>
  </si>
  <si>
    <t>Spanien</t>
  </si>
  <si>
    <t>H2</t>
  </si>
  <si>
    <t>Kap Verde</t>
  </si>
  <si>
    <t>G</t>
  </si>
  <si>
    <t>H3</t>
  </si>
  <si>
    <t>Saudiarabien</t>
  </si>
  <si>
    <t>H4</t>
  </si>
  <si>
    <t>Uruguay</t>
  </si>
  <si>
    <t>Grupp I</t>
  </si>
  <si>
    <t>I1</t>
  </si>
  <si>
    <t>Frankrike</t>
  </si>
  <si>
    <t>I2</t>
  </si>
  <si>
    <t>Senegal</t>
  </si>
  <si>
    <t>I3</t>
  </si>
  <si>
    <t>Irak</t>
  </si>
  <si>
    <t>H</t>
  </si>
  <si>
    <t>I4</t>
  </si>
  <si>
    <t>Norge</t>
  </si>
  <si>
    <t>Grupp J</t>
  </si>
  <si>
    <t>J1</t>
  </si>
  <si>
    <t>Argentina</t>
  </si>
  <si>
    <t>J2</t>
  </si>
  <si>
    <t>Algeriet</t>
  </si>
  <si>
    <t>J3</t>
  </si>
  <si>
    <t>Österrike</t>
  </si>
  <si>
    <t>J4</t>
  </si>
  <si>
    <t>Jordanien</t>
  </si>
  <si>
    <t>I</t>
  </si>
  <si>
    <t>Grupp K</t>
  </si>
  <si>
    <t>K1</t>
  </si>
  <si>
    <t>Portugal</t>
  </si>
  <si>
    <t>K2</t>
  </si>
  <si>
    <t>Kongo-Kinshasa</t>
  </si>
  <si>
    <t>K3</t>
  </si>
  <si>
    <t>Uzbekistan</t>
  </si>
  <si>
    <t>K4</t>
  </si>
  <si>
    <t>Colombia</t>
  </si>
  <si>
    <t>Grupp L</t>
  </si>
  <si>
    <t>J</t>
  </si>
  <si>
    <t>L1</t>
  </si>
  <si>
    <t>England</t>
  </si>
  <si>
    <t>L2</t>
  </si>
  <si>
    <t>Kroatien</t>
  </si>
  <si>
    <t>L3</t>
  </si>
  <si>
    <t>Ghana</t>
  </si>
  <si>
    <t>L4</t>
  </si>
  <si>
    <t>Panama</t>
  </si>
  <si>
    <t>K</t>
  </si>
  <si>
    <t>L</t>
  </si>
  <si>
    <t>Sextondelsfinal</t>
  </si>
  <si>
    <t xml:space="preserve">Sydafrika </t>
  </si>
  <si>
    <t>Åttondelsfinal</t>
  </si>
  <si>
    <t>Kvartsfinal</t>
  </si>
  <si>
    <t>Semifinal</t>
  </si>
  <si>
    <t>Bronsmatch</t>
  </si>
  <si>
    <t>Summering</t>
  </si>
  <si>
    <t>Final</t>
  </si>
  <si>
    <t>Matchpoäng</t>
  </si>
  <si>
    <t>Tips världsmästare</t>
  </si>
  <si>
    <t>Tips skyttekung</t>
  </si>
  <si>
    <t>Bonusresultat</t>
  </si>
  <si>
    <t>Världsmästare</t>
  </si>
  <si>
    <t>Totalpoäng</t>
  </si>
  <si>
    <t>Skyttekung</t>
  </si>
  <si>
    <t>🏆 VM-tips 2026</t>
  </si>
  <si>
    <t>Poängräkning</t>
  </si>
  <si>
    <t>Instruktioner</t>
  </si>
  <si>
    <t>Rätt antal mål per lag i match</t>
  </si>
  <si>
    <t>2 poäng per lag</t>
  </si>
  <si>
    <t>Fyll i lag i gula celler på ”Resultat &amp; Tabell”.</t>
  </si>
  <si>
    <t>Rätt tecken (1/X/2)</t>
  </si>
  <si>
    <t>2 poäng</t>
  </si>
  <si>
    <t>Fyll i faktiska resultat i gula målceller när matcherna spelas.</t>
  </si>
  <si>
    <t>Rätt lag till åttondelsfinal</t>
  </si>
  <si>
    <t>Kopiera ”Tippare Mall” en gång per deltagare och döp fliken till deltagarens namn.</t>
  </si>
  <si>
    <t>Rätt lag till kvartsfinal</t>
  </si>
  <si>
    <t>4 poäng per lag</t>
  </si>
  <si>
    <t>Deltagarna fyller i sina tips i gula celler innan turneringen startar.</t>
  </si>
  <si>
    <t>Rätt lag till semifinal</t>
  </si>
  <si>
    <t>6 poäng per lag</t>
  </si>
  <si>
    <t>Rätt lag till final</t>
  </si>
  <si>
    <t>8 poäng per lag</t>
  </si>
  <si>
    <t>VM 2026-formatet är 48 lag, 12 grupper och 104 matcher. Den här filen är nollställd med platshållare.</t>
  </si>
  <si>
    <t>20 poäng</t>
  </si>
  <si>
    <t>Källa grupper:</t>
  </si>
  <si>
    <t>FIFA/Reuters/Fox Sports, kontrollerat 2026-05-25</t>
  </si>
  <si>
    <t>Obs: Det är resultat efter ordinarie tid som gäller</t>
  </si>
  <si>
    <t>Land</t>
  </si>
  <si>
    <t>Odds</t>
  </si>
  <si>
    <t>Vinstchans</t>
  </si>
  <si>
    <t>Spelare</t>
  </si>
  <si>
    <t>🥇 🇪🇸 Spanien</t>
  </si>
  <si>
    <t>🥇 🇫🇷 Kylian Mbappé</t>
  </si>
  <si>
    <t>🥈 🇫🇷 Frankrike</t>
  </si>
  <si>
    <t>🥈 🏴 Harry Kane</t>
  </si>
  <si>
    <t>🥉 🏴 England</t>
  </si>
  <si>
    <t>🥉 🇦🇷 Lionel Messi</t>
  </si>
  <si>
    <t>🇧🇷 Brasilien</t>
  </si>
  <si>
    <t>🇳🇴 Erling Haaland</t>
  </si>
  <si>
    <t>🇦🇷 Argentina</t>
  </si>
  <si>
    <t>🇪🇸 Lamine Yamal</t>
  </si>
  <si>
    <t>🇵🇹 Portugal</t>
  </si>
  <si>
    <t>🇧🇷 Vinícius Júnior</t>
  </si>
  <si>
    <t>🇩🇪 Tyskland</t>
  </si>
  <si>
    <t>🇦🇷 Lautaro Martínez</t>
  </si>
  <si>
    <t>🇳🇱 Nederländerna</t>
  </si>
  <si>
    <t>🇫🇷 Ousmane Dembélé</t>
  </si>
  <si>
    <t>🇧🇪 Belgien</t>
  </si>
  <si>
    <t>🇧🇪 Romelu Lukaku</t>
  </si>
  <si>
    <t>🇳🇴 Norge</t>
  </si>
  <si>
    <t>🏴 Bukayo Saka</t>
  </si>
  <si>
    <t>🇭🇷 Kroatien</t>
  </si>
  <si>
    <t>🇦🇷 Julián Álvarez</t>
  </si>
  <si>
    <t>🇲🇦 Marocko</t>
  </si>
  <si>
    <t>🇫🇷 Michael Olise</t>
  </si>
  <si>
    <t>🇺🇾 Uruguay</t>
  </si>
  <si>
    <t>🇨🇴 Luis Díaz</t>
  </si>
  <si>
    <t>🇺🇸 USA</t>
  </si>
  <si>
    <t>🇵🇹 Cristiano Ronaldo</t>
  </si>
  <si>
    <t>🇲🇽 Mexiko</t>
  </si>
  <si>
    <t>🇧🇷 João Pedro</t>
  </si>
  <si>
    <t>🇯🇵 Japan</t>
  </si>
  <si>
    <t>🇨🇴 Colombia</t>
  </si>
  <si>
    <t>🇩🇰 Danmark</t>
  </si>
  <si>
    <t>🇸🇳 Senegal</t>
  </si>
  <si>
    <t>🇸🇪 Sverige</t>
  </si>
  <si>
    <t>🎯 Tippare Mall – kopiera fliken och döp om till deltagarens namn</t>
  </si>
  <si>
    <t>Slutspel-hjälp</t>
  </si>
  <si>
    <t> </t>
  </si>
  <si>
    <t>Tips H</t>
  </si>
  <si>
    <t>Tips B</t>
  </si>
  <si>
    <t>Poäng mål</t>
  </si>
  <si>
    <t>Poäng tecken</t>
  </si>
  <si>
    <t>Poäng totalt</t>
  </si>
  <si>
    <t>Tippad grupptabell</t>
  </si>
  <si>
    <t> 2</t>
  </si>
  <si>
    <t> 3</t>
  </si>
  <si>
    <t> 4</t>
  </si>
  <si>
    <t> 5</t>
  </si>
  <si>
    <t> 6</t>
  </si>
  <si>
    <t> 7</t>
  </si>
  <si>
    <t> 8</t>
  </si>
  <si>
    <t>1:a</t>
  </si>
  <si>
    <t>2:a</t>
  </si>
  <si>
    <t>3:a</t>
  </si>
  <si>
    <t>3:a rankvärde</t>
  </si>
  <si>
    <t>3:a rank</t>
  </si>
  <si>
    <t>Kommentar</t>
  </si>
  <si>
    <t>Rankvärde</t>
  </si>
  <si>
    <t>Sydafrika</t>
  </si>
  <si>
    <t xml:space="preserve">Elfenbenskusten </t>
  </si>
  <si>
    <t>Kongo</t>
  </si>
  <si>
    <t>Usa</t>
  </si>
  <si>
    <t>Bosnien</t>
  </si>
  <si>
    <t xml:space="preserve">Australien </t>
  </si>
  <si>
    <t xml:space="preserve">Colombia </t>
  </si>
  <si>
    <t>Kylian Mbappe</t>
  </si>
  <si>
    <t xml:space="preserve">Brasilien </t>
  </si>
  <si>
    <t>Mbappe</t>
  </si>
  <si>
    <t>Lamine Yamal</t>
  </si>
  <si>
    <t>Mbappé</t>
  </si>
  <si>
    <t xml:space="preserve">  </t>
  </si>
  <si>
    <t>Kane</t>
  </si>
  <si>
    <t xml:space="preserve">England </t>
  </si>
  <si>
    <t xml:space="preserve">Haland </t>
  </si>
  <si>
    <t>Haaland</t>
  </si>
  <si>
    <t>Harry Kane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</si>
</sst>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hh:mm;@"/>
    <numFmt numFmtId="166" formatCode="yyyy/mm/dd;@"/>
    <numFmt numFmtId="167" formatCode="[$-F400]h:mm:ss\ AM/PM"/>
  </numFmts>
  <fonts count="21">
    <font>
      <sz val="11"/>
      <color theme="1"/>
      <name val="Calibri"/>
    </font>
    <font>
      <sz val="11"/>
      <color theme="1"/>
      <name val="Calibri"/>
    </font>
    <font>
      <sz val="10"/>
      <color rgb="FFFFFFFF"/>
      <name val="Aptos"/>
    </font>
    <font>
      <b/>
      <sz val="18"/>
      <color rgb="FFFFFFFF"/>
      <name val="Aptos Display"/>
    </font>
    <font>
      <b/>
      <sz val="11"/>
      <color rgb="FFFFFFFF"/>
      <name val="Aptos Display"/>
    </font>
    <font>
      <b/>
      <sz val="11"/>
      <color rgb="FFFACC15"/>
      <name val="Aptos"/>
    </font>
    <font>
      <sz val="10"/>
      <color rgb="FFCBD5E1"/>
      <name val="Aptos"/>
    </font>
    <font>
      <b/>
      <sz val="10"/>
      <color rgb="FFFACC15"/>
      <name val="Aptos"/>
    </font>
    <font>
      <b/>
      <sz val="11"/>
      <color rgb="FFFFFFFF"/>
      <name val="Aptos"/>
    </font>
    <font>
      <b/>
      <sz val="11"/>
      <color rgb="FF000000"/>
      <name val="Aptos"/>
    </font>
    <font>
      <b/>
      <sz val="11"/>
      <color rgb="FFFFFFFF"/>
      <name val="Calibri"/>
    </font>
    <font>
      <sz val="10"/>
      <color rgb="FFFFFFFF"/>
      <name val="Aptos"/>
      <family val="2"/>
    </font>
    <font>
      <u/>
      <sz val="11"/>
      <color theme="10"/>
      <name val="Calibri"/>
    </font>
    <font>
      <b/>
      <sz val="10"/>
      <color rgb="FFFFFFFF"/>
      <name val="Aptos"/>
    </font>
    <font>
      <sz val="11"/>
      <color rgb="FFFFFFFF"/>
      <name val="Calibri"/>
    </font>
    <font>
      <u/>
      <sz val="10"/>
      <color rgb="FFFFFFFF"/>
      <name val="Aptos"/>
    </font>
    <font>
      <sz val="12"/>
      <color rgb="FFFFFFFF"/>
      <name val="Aptos"/>
    </font>
    <font>
      <sz val="14"/>
      <color rgb="FFFFFFFF"/>
      <name val="Aptos"/>
    </font>
    <font>
      <b/>
      <sz val="12"/>
      <color rgb="FFFFFFFF"/>
      <name val="Aptos"/>
    </font>
    <font>
      <b/>
      <sz val="14"/>
      <color rgb="FFFFFFFF"/>
      <name val="Aptos"/>
    </font>
    <font>
      <sz val="28"/>
      <color rgb="FFFFFFFF"/>
      <name val="Aptos"/>
    </font>
  </fonts>
  <fills count="24">
    <fill>
      <patternFill patternType="none"/>
    </fill>
    <fill>
      <patternFill patternType="gray125"/>
    </fill>
    <fill>
      <patternFill patternType="solid">
        <fgColor rgb="FF0B1020"/>
      </patternFill>
    </fill>
    <fill>
      <patternFill patternType="solid">
        <fgColor rgb="FF071126"/>
      </patternFill>
    </fill>
    <fill>
      <patternFill patternType="solid">
        <fgColor rgb="FF0B3A75"/>
      </patternFill>
    </fill>
    <fill>
      <patternFill patternType="solid">
        <fgColor rgb="FF111827"/>
      </patternFill>
    </fill>
    <fill>
      <patternFill patternType="solid">
        <fgColor rgb="FF172033"/>
      </patternFill>
    </fill>
    <fill>
      <patternFill patternType="solid">
        <fgColor rgb="FF0E4F86"/>
      </patternFill>
    </fill>
    <fill>
      <patternFill patternType="solid">
        <fgColor rgb="FF2A2108"/>
      </patternFill>
    </fill>
    <fill>
      <patternFill patternType="solid">
        <fgColor rgb="FF102A43"/>
      </patternFill>
    </fill>
    <fill>
      <patternFill patternType="solid">
        <fgColor rgb="FF151126"/>
      </patternFill>
    </fill>
    <fill>
      <patternFill patternType="solid">
        <fgColor rgb="FF78350F"/>
      </patternFill>
    </fill>
    <fill>
      <patternFill patternType="solid">
        <fgColor rgb="FFFACC15"/>
      </patternFill>
    </fill>
    <fill>
      <patternFill patternType="solid">
        <fgColor rgb="FFC0C0C0"/>
      </patternFill>
    </fill>
    <fill>
      <patternFill patternType="solid">
        <fgColor rgb="FFCD7F32"/>
      </patternFill>
    </fill>
    <fill>
      <patternFill patternType="solid">
        <fgColor rgb="FF7C1D2D"/>
      </patternFill>
    </fill>
    <fill>
      <patternFill patternType="solid">
        <fgColor rgb="FF1F2937"/>
      </patternFill>
    </fill>
    <fill>
      <patternFill patternType="solid">
        <fgColor rgb="FF0B3B75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142033"/>
        <bgColor rgb="FF000000"/>
      </patternFill>
    </fill>
    <fill>
      <patternFill patternType="solid">
        <fgColor rgb="FF0B1020"/>
        <bgColor rgb="FF000000"/>
      </patternFill>
    </fill>
    <fill>
      <patternFill patternType="solid">
        <fgColor rgb="FF151126"/>
        <bgColor rgb="FF000000"/>
      </patternFill>
    </fill>
    <fill>
      <patternFill patternType="solid">
        <fgColor rgb="FF172033"/>
        <bgColor rgb="FF000000"/>
      </patternFill>
    </fill>
    <fill>
      <patternFill patternType="solid">
        <fgColor rgb="FF0B1020"/>
        <bgColor indexed="64"/>
      </patternFill>
    </fill>
  </fills>
  <borders count="38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34155"/>
      </top>
      <bottom style="thin">
        <color rgb="FF334155"/>
      </bottom>
      <diagonal/>
    </border>
    <border>
      <left style="thin">
        <color rgb="FFEAB308"/>
      </left>
      <right style="thin">
        <color rgb="FFEAB308"/>
      </right>
      <top style="thin">
        <color rgb="FF334155"/>
      </top>
      <bottom style="thin">
        <color rgb="FF334155"/>
      </bottom>
      <diagonal/>
    </border>
    <border>
      <left/>
      <right/>
      <top style="thin">
        <color rgb="FF334155"/>
      </top>
      <bottom/>
      <diagonal/>
    </border>
    <border>
      <left/>
      <right style="thin">
        <color rgb="FF334155"/>
      </right>
      <top style="thin">
        <color rgb="FF334155"/>
      </top>
      <bottom/>
      <diagonal/>
    </border>
    <border>
      <left style="thin">
        <color rgb="FF334155"/>
      </left>
      <right/>
      <top/>
      <bottom style="thin">
        <color rgb="FF334155"/>
      </bottom>
      <diagonal/>
    </border>
    <border>
      <left/>
      <right/>
      <top/>
      <bottom style="thin">
        <color rgb="FF334155"/>
      </bottom>
      <diagonal/>
    </border>
    <border>
      <left/>
      <right style="thin">
        <color rgb="FF334155"/>
      </right>
      <top/>
      <bottom style="thin">
        <color rgb="FF334155"/>
      </bottom>
      <diagonal/>
    </border>
    <border>
      <left style="thin">
        <color theme="4" tint="0.39997558519241921"/>
      </left>
      <right/>
      <top style="thin">
        <color rgb="FF3B82F6"/>
      </top>
      <bottom style="thin">
        <color rgb="FF3B82F6"/>
      </bottom>
      <diagonal/>
    </border>
    <border>
      <left style="thin">
        <color theme="4" tint="0.39997558519241921"/>
      </left>
      <right/>
      <top style="thin">
        <color rgb="FF334155"/>
      </top>
      <bottom style="thin">
        <color rgb="FF334155"/>
      </bottom>
      <diagonal/>
    </border>
    <border>
      <left/>
      <right/>
      <top/>
      <bottom style="thin">
        <color rgb="FF3B82F6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ck">
        <color theme="5"/>
      </left>
      <right/>
      <top/>
      <bottom/>
      <diagonal/>
    </border>
    <border>
      <left/>
      <right style="thick">
        <color theme="5"/>
      </right>
      <top/>
      <bottom/>
      <diagonal/>
    </border>
    <border>
      <left style="thick">
        <color theme="5"/>
      </left>
      <right/>
      <top/>
      <bottom style="thick">
        <color theme="5"/>
      </bottom>
      <diagonal/>
    </border>
    <border>
      <left/>
      <right style="thick">
        <color theme="5"/>
      </right>
      <top/>
      <bottom style="thick">
        <color theme="5"/>
      </bottom>
      <diagonal/>
    </border>
    <border>
      <left style="thick">
        <color theme="6"/>
      </left>
      <right/>
      <top style="thick">
        <color theme="6"/>
      </top>
      <bottom/>
      <diagonal/>
    </border>
    <border>
      <left/>
      <right style="thick">
        <color theme="6"/>
      </right>
      <top style="thick">
        <color theme="6"/>
      </top>
      <bottom/>
      <diagonal/>
    </border>
    <border>
      <left style="thick">
        <color theme="6"/>
      </left>
      <right/>
      <top/>
      <bottom/>
      <diagonal/>
    </border>
    <border>
      <left/>
      <right style="thick">
        <color theme="6"/>
      </right>
      <top/>
      <bottom/>
      <diagonal/>
    </border>
    <border>
      <left style="thick">
        <color theme="6"/>
      </left>
      <right/>
      <top/>
      <bottom style="thick">
        <color theme="6"/>
      </bottom>
      <diagonal/>
    </border>
    <border>
      <left/>
      <right style="thick">
        <color theme="6"/>
      </right>
      <top/>
      <bottom style="thick">
        <color theme="6"/>
      </bottom>
      <diagonal/>
    </border>
    <border>
      <left style="thick">
        <color theme="8"/>
      </left>
      <right/>
      <top style="thick">
        <color theme="8"/>
      </top>
      <bottom/>
      <diagonal/>
    </border>
    <border>
      <left/>
      <right style="thick">
        <color theme="8"/>
      </right>
      <top style="thick">
        <color theme="8"/>
      </top>
      <bottom/>
      <diagonal/>
    </border>
    <border>
      <left style="thick">
        <color theme="8"/>
      </left>
      <right/>
      <top/>
      <bottom/>
      <diagonal/>
    </border>
    <border>
      <left/>
      <right style="thick">
        <color theme="8"/>
      </right>
      <top/>
      <bottom/>
      <diagonal/>
    </border>
    <border>
      <left style="thick">
        <color theme="8"/>
      </left>
      <right/>
      <top/>
      <bottom style="thick">
        <color theme="8"/>
      </bottom>
      <diagonal/>
    </border>
    <border>
      <left/>
      <right style="thick">
        <color theme="8"/>
      </right>
      <top/>
      <bottom style="thick">
        <color theme="8"/>
      </bottom>
      <diagonal/>
    </border>
  </borders>
  <cellStyleXfs count="3">
    <xf numFmtId="0" fontId="0" fillId="0" borderId="0"/>
    <xf numFmtId="9" fontId="1" fillId="0" borderId="0"/>
    <xf numFmtId="0" fontId="12" fillId="0" borderId="0" applyNumberFormat="0" applyFill="0" applyBorder="0" applyAlignment="0" applyProtection="0"/>
  </cellStyleXfs>
  <cellXfs count="182">
    <xf numFmtId="0" fontId="0" fillId="0" borderId="0" xfId="0"/>
    <xf numFmtId="0" fontId="2" fillId="2" borderId="0" xfId="0" applyFont="1" applyFill="1" applyAlignment="1">
      <alignment vertical="center"/>
    </xf>
    <xf numFmtId="0" fontId="5" fillId="4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6" fillId="6" borderId="2" xfId="0" applyFont="1" applyFill="1" applyBorder="1" applyAlignment="1">
      <alignment vertical="center"/>
    </xf>
    <xf numFmtId="0" fontId="4" fillId="4" borderId="3" xfId="0" applyFont="1" applyFill="1" applyBorder="1" applyAlignment="1">
      <alignment horizontal="center"/>
    </xf>
    <xf numFmtId="0" fontId="4" fillId="7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7" fillId="8" borderId="5" xfId="0" applyFont="1" applyFill="1" applyBorder="1" applyAlignment="1">
      <alignment horizontal="center"/>
    </xf>
    <xf numFmtId="0" fontId="5" fillId="6" borderId="4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4" fillId="15" borderId="0" xfId="0" applyFont="1" applyFill="1" applyAlignment="1">
      <alignment vertical="center"/>
    </xf>
    <xf numFmtId="0" fontId="2" fillId="2" borderId="0" xfId="0" applyFont="1" applyFill="1"/>
    <xf numFmtId="0" fontId="9" fillId="12" borderId="2" xfId="0" applyFont="1" applyFill="1" applyBorder="1" applyAlignment="1">
      <alignment vertical="center"/>
    </xf>
    <xf numFmtId="164" fontId="8" fillId="6" borderId="2" xfId="0" applyNumberFormat="1" applyFont="1" applyFill="1" applyBorder="1" applyAlignment="1">
      <alignment vertical="center"/>
    </xf>
    <xf numFmtId="9" fontId="8" fillId="6" borderId="2" xfId="1" applyFont="1" applyFill="1" applyBorder="1" applyAlignment="1">
      <alignment vertical="center"/>
    </xf>
    <xf numFmtId="0" fontId="9" fillId="13" borderId="2" xfId="0" applyFont="1" applyFill="1" applyBorder="1" applyAlignment="1">
      <alignment vertical="center"/>
    </xf>
    <xf numFmtId="164" fontId="8" fillId="5" borderId="2" xfId="0" applyNumberFormat="1" applyFont="1" applyFill="1" applyBorder="1" applyAlignment="1">
      <alignment vertical="center"/>
    </xf>
    <xf numFmtId="9" fontId="8" fillId="5" borderId="2" xfId="1" applyFont="1" applyFill="1" applyBorder="1" applyAlignment="1">
      <alignment vertical="center"/>
    </xf>
    <xf numFmtId="0" fontId="9" fillId="14" borderId="2" xfId="0" applyFont="1" applyFill="1" applyBorder="1" applyAlignment="1">
      <alignment vertical="center"/>
    </xf>
    <xf numFmtId="164" fontId="2" fillId="5" borderId="2" xfId="0" applyNumberFormat="1" applyFont="1" applyFill="1" applyBorder="1" applyAlignment="1">
      <alignment vertical="center"/>
    </xf>
    <xf numFmtId="9" fontId="2" fillId="5" borderId="2" xfId="1" applyFont="1" applyFill="1" applyBorder="1" applyAlignment="1">
      <alignment vertical="center"/>
    </xf>
    <xf numFmtId="164" fontId="2" fillId="6" borderId="2" xfId="0" applyNumberFormat="1" applyFont="1" applyFill="1" applyBorder="1" applyAlignment="1">
      <alignment vertical="center"/>
    </xf>
    <xf numFmtId="9" fontId="2" fillId="6" borderId="2" xfId="1" applyFont="1" applyFill="1" applyBorder="1" applyAlignment="1">
      <alignment vertical="center"/>
    </xf>
    <xf numFmtId="0" fontId="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vertical="center"/>
    </xf>
    <xf numFmtId="0" fontId="5" fillId="11" borderId="4" xfId="0" applyFont="1" applyFill="1" applyBorder="1" applyAlignment="1">
      <alignment vertical="center"/>
    </xf>
    <xf numFmtId="0" fontId="8" fillId="11" borderId="4" xfId="0" applyFont="1" applyFill="1" applyBorder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2" fillId="5" borderId="0" xfId="0" applyFont="1" applyFill="1" applyAlignment="1">
      <alignment vertical="center"/>
    </xf>
    <xf numFmtId="0" fontId="4" fillId="7" borderId="11" xfId="0" applyFont="1" applyFill="1" applyBorder="1" applyAlignment="1">
      <alignment horizontal="center"/>
    </xf>
    <xf numFmtId="16" fontId="11" fillId="5" borderId="12" xfId="0" applyNumberFormat="1" applyFont="1" applyFill="1" applyBorder="1" applyAlignment="1">
      <alignment horizontal="center" vertical="center"/>
    </xf>
    <xf numFmtId="20" fontId="2" fillId="5" borderId="4" xfId="0" applyNumberFormat="1" applyFont="1" applyFill="1" applyBorder="1" applyAlignment="1">
      <alignment horizontal="center" vertical="center"/>
    </xf>
    <xf numFmtId="16" fontId="11" fillId="6" borderId="12" xfId="0" applyNumberFormat="1" applyFont="1" applyFill="1" applyBorder="1" applyAlignment="1">
      <alignment horizontal="center" vertical="center"/>
    </xf>
    <xf numFmtId="20" fontId="2" fillId="6" borderId="4" xfId="0" applyNumberFormat="1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11" fillId="6" borderId="4" xfId="0" applyFont="1" applyFill="1" applyBorder="1" applyAlignment="1">
      <alignment horizontal="center" vertical="center"/>
    </xf>
    <xf numFmtId="0" fontId="13" fillId="17" borderId="0" xfId="0" applyFont="1" applyFill="1"/>
    <xf numFmtId="0" fontId="10" fillId="17" borderId="0" xfId="0" applyFont="1" applyFill="1"/>
    <xf numFmtId="0" fontId="13" fillId="17" borderId="0" xfId="0" applyFont="1" applyFill="1" applyAlignment="1">
      <alignment horizontal="center" vertical="center"/>
    </xf>
    <xf numFmtId="0" fontId="10" fillId="17" borderId="0" xfId="0" applyFont="1" applyFill="1" applyAlignment="1">
      <alignment horizontal="center" vertical="center"/>
    </xf>
    <xf numFmtId="0" fontId="13" fillId="18" borderId="0" xfId="0" applyFont="1" applyFill="1" applyAlignment="1">
      <alignment horizontal="center" vertical="center"/>
    </xf>
    <xf numFmtId="0" fontId="10" fillId="18" borderId="0" xfId="0" quotePrefix="1" applyFont="1" applyFill="1" applyAlignment="1">
      <alignment horizontal="center" vertical="center"/>
    </xf>
    <xf numFmtId="0" fontId="10" fillId="18" borderId="0" xfId="0" applyFont="1" applyFill="1" applyAlignment="1">
      <alignment horizontal="center" vertical="center"/>
    </xf>
    <xf numFmtId="0" fontId="13" fillId="19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14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3" fillId="17" borderId="0" xfId="0" applyFont="1" applyFill="1" applyAlignment="1">
      <alignment wrapText="1"/>
    </xf>
    <xf numFmtId="0" fontId="13" fillId="17" borderId="0" xfId="0" applyFont="1" applyFill="1" applyAlignment="1">
      <alignment horizontal="center" vertical="center" wrapText="1"/>
    </xf>
    <xf numFmtId="0" fontId="13" fillId="18" borderId="0" xfId="0" applyFont="1" applyFill="1" applyAlignment="1">
      <alignment horizontal="center" vertical="center" wrapText="1"/>
    </xf>
    <xf numFmtId="0" fontId="13" fillId="19" borderId="0" xfId="0" applyFont="1" applyFill="1" applyAlignment="1">
      <alignment horizontal="center" vertical="center" wrapText="1"/>
    </xf>
    <xf numFmtId="0" fontId="2" fillId="20" borderId="0" xfId="0" applyFont="1" applyFill="1" applyAlignment="1">
      <alignment horizontal="center" vertical="center" wrapText="1"/>
    </xf>
    <xf numFmtId="0" fontId="10" fillId="17" borderId="0" xfId="0" applyFont="1" applyFill="1" applyAlignment="1">
      <alignment wrapText="1"/>
    </xf>
    <xf numFmtId="0" fontId="10" fillId="17" borderId="0" xfId="0" applyFont="1" applyFill="1" applyAlignment="1">
      <alignment horizontal="center" vertical="center" wrapText="1"/>
    </xf>
    <xf numFmtId="0" fontId="10" fillId="18" borderId="0" xfId="0" applyFont="1" applyFill="1" applyAlignment="1">
      <alignment horizontal="center" vertical="center" wrapText="1"/>
    </xf>
    <xf numFmtId="0" fontId="14" fillId="19" borderId="0" xfId="0" applyFont="1" applyFill="1" applyAlignment="1">
      <alignment horizontal="center" vertical="center" wrapText="1"/>
    </xf>
    <xf numFmtId="0" fontId="14" fillId="19" borderId="0" xfId="0" applyFont="1" applyFill="1" applyAlignment="1">
      <alignment horizontal="center"/>
    </xf>
    <xf numFmtId="0" fontId="10" fillId="18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 vertical="center"/>
    </xf>
    <xf numFmtId="0" fontId="2" fillId="21" borderId="4" xfId="0" applyFont="1" applyFill="1" applyBorder="1"/>
    <xf numFmtId="0" fontId="2" fillId="22" borderId="4" xfId="0" applyFont="1" applyFill="1" applyBorder="1"/>
    <xf numFmtId="0" fontId="15" fillId="21" borderId="4" xfId="0" applyFont="1" applyFill="1" applyBorder="1" applyAlignment="1">
      <alignment horizontal="center"/>
    </xf>
    <xf numFmtId="0" fontId="2" fillId="21" borderId="4" xfId="0" applyFont="1" applyFill="1" applyBorder="1" applyAlignment="1">
      <alignment horizontal="center"/>
    </xf>
    <xf numFmtId="0" fontId="12" fillId="21" borderId="4" xfId="2" applyFill="1" applyBorder="1" applyAlignment="1">
      <alignment horizontal="center"/>
    </xf>
    <xf numFmtId="0" fontId="2" fillId="21" borderId="4" xfId="0" quotePrefix="1" applyFont="1" applyFill="1" applyBorder="1" applyAlignment="1">
      <alignment horizontal="center"/>
    </xf>
    <xf numFmtId="0" fontId="2" fillId="22" borderId="4" xfId="0" applyFont="1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center"/>
    </xf>
    <xf numFmtId="0" fontId="13" fillId="5" borderId="4" xfId="0" applyFont="1" applyFill="1" applyBorder="1" applyAlignment="1">
      <alignment vertical="center"/>
    </xf>
    <xf numFmtId="0" fontId="2" fillId="23" borderId="0" xfId="0" applyFont="1" applyFill="1" applyAlignment="1">
      <alignment vertical="center"/>
    </xf>
    <xf numFmtId="0" fontId="13" fillId="5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165" fontId="2" fillId="2" borderId="0" xfId="0" applyNumberFormat="1" applyFont="1" applyFill="1" applyAlignment="1">
      <alignment vertical="center"/>
    </xf>
    <xf numFmtId="166" fontId="2" fillId="2" borderId="0" xfId="0" applyNumberFormat="1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165" fontId="2" fillId="2" borderId="0" xfId="0" applyNumberFormat="1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14" fontId="16" fillId="2" borderId="0" xfId="0" applyNumberFormat="1" applyFont="1" applyFill="1" applyAlignment="1">
      <alignment vertical="center"/>
    </xf>
    <xf numFmtId="16" fontId="2" fillId="2" borderId="0" xfId="0" applyNumberFormat="1" applyFont="1" applyFill="1" applyAlignment="1">
      <alignment vertical="center"/>
    </xf>
    <xf numFmtId="166" fontId="0" fillId="0" borderId="0" xfId="0" applyNumberFormat="1"/>
    <xf numFmtId="0" fontId="19" fillId="2" borderId="0" xfId="0" applyFont="1" applyFill="1" applyAlignment="1">
      <alignment vertical="center"/>
    </xf>
    <xf numFmtId="0" fontId="16" fillId="2" borderId="17" xfId="0" applyFont="1" applyFill="1" applyBorder="1" applyAlignment="1">
      <alignment horizontal="center" vertical="center"/>
    </xf>
    <xf numFmtId="167" fontId="16" fillId="2" borderId="16" xfId="0" applyNumberFormat="1" applyFont="1" applyFill="1" applyBorder="1" applyAlignment="1">
      <alignment horizontal="center" vertical="center"/>
    </xf>
    <xf numFmtId="0" fontId="16" fillId="2" borderId="17" xfId="0" applyFont="1" applyFill="1" applyBorder="1" applyAlignment="1">
      <alignment horizontal="center" vertical="center" wrapText="1"/>
    </xf>
    <xf numFmtId="167" fontId="16" fillId="2" borderId="17" xfId="0" applyNumberFormat="1" applyFont="1" applyFill="1" applyBorder="1" applyAlignment="1">
      <alignment horizontal="center" vertical="center"/>
    </xf>
    <xf numFmtId="167" fontId="16" fillId="2" borderId="17" xfId="0" applyNumberFormat="1" applyFont="1" applyFill="1" applyBorder="1" applyAlignment="1">
      <alignment horizontal="center" vertical="center" wrapText="1"/>
    </xf>
    <xf numFmtId="165" fontId="16" fillId="2" borderId="18" xfId="0" applyNumberFormat="1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vertical="center"/>
    </xf>
    <xf numFmtId="0" fontId="2" fillId="2" borderId="23" xfId="0" applyFont="1" applyFill="1" applyBorder="1" applyAlignment="1">
      <alignment vertical="center"/>
    </xf>
    <xf numFmtId="167" fontId="16" fillId="2" borderId="22" xfId="0" applyNumberFormat="1" applyFont="1" applyFill="1" applyBorder="1" applyAlignment="1">
      <alignment horizontal="center" vertical="center"/>
    </xf>
    <xf numFmtId="0" fontId="16" fillId="2" borderId="23" xfId="0" applyFont="1" applyFill="1" applyBorder="1" applyAlignment="1">
      <alignment horizontal="center" vertical="center" wrapText="1"/>
    </xf>
    <xf numFmtId="0" fontId="16" fillId="2" borderId="23" xfId="0" applyFont="1" applyFill="1" applyBorder="1" applyAlignment="1">
      <alignment horizontal="center" vertical="center"/>
    </xf>
    <xf numFmtId="167" fontId="16" fillId="2" borderId="23" xfId="0" applyNumberFormat="1" applyFont="1" applyFill="1" applyBorder="1" applyAlignment="1">
      <alignment horizontal="center" vertical="center"/>
    </xf>
    <xf numFmtId="167" fontId="16" fillId="2" borderId="23" xfId="0" applyNumberFormat="1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/>
    </xf>
    <xf numFmtId="167" fontId="16" fillId="2" borderId="28" xfId="0" applyNumberFormat="1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 wrapText="1"/>
    </xf>
    <xf numFmtId="167" fontId="16" fillId="2" borderId="29" xfId="0" applyNumberFormat="1" applyFont="1" applyFill="1" applyBorder="1" applyAlignment="1">
      <alignment horizontal="center" vertical="center"/>
    </xf>
    <xf numFmtId="167" fontId="16" fillId="2" borderId="29" xfId="0" applyNumberFormat="1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vertical="center"/>
    </xf>
    <xf numFmtId="0" fontId="2" fillId="2" borderId="34" xfId="0" applyFont="1" applyFill="1" applyBorder="1" applyAlignment="1">
      <alignment vertical="center"/>
    </xf>
    <xf numFmtId="0" fontId="2" fillId="2" borderId="35" xfId="0" applyFont="1" applyFill="1" applyBorder="1" applyAlignment="1">
      <alignment vertical="center"/>
    </xf>
    <xf numFmtId="167" fontId="16" fillId="2" borderId="34" xfId="0" applyNumberFormat="1" applyFont="1" applyFill="1" applyBorder="1" applyAlignment="1">
      <alignment horizontal="center" vertical="center"/>
    </xf>
    <xf numFmtId="0" fontId="16" fillId="2" borderId="35" xfId="0" applyFont="1" applyFill="1" applyBorder="1" applyAlignment="1">
      <alignment horizontal="center" vertical="center" wrapText="1"/>
    </xf>
    <xf numFmtId="0" fontId="16" fillId="2" borderId="35" xfId="0" applyFont="1" applyFill="1" applyBorder="1" applyAlignment="1">
      <alignment horizontal="center" vertical="center"/>
    </xf>
    <xf numFmtId="167" fontId="16" fillId="2" borderId="35" xfId="0" applyNumberFormat="1" applyFont="1" applyFill="1" applyBorder="1" applyAlignment="1">
      <alignment horizontal="center" vertical="center"/>
    </xf>
    <xf numFmtId="167" fontId="16" fillId="2" borderId="35" xfId="0" applyNumberFormat="1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vertical="center"/>
    </xf>
    <xf numFmtId="0" fontId="2" fillId="2" borderId="37" xfId="0" applyFont="1" applyFill="1" applyBorder="1" applyAlignment="1">
      <alignment vertical="center"/>
    </xf>
    <xf numFmtId="165" fontId="16" fillId="2" borderId="0" xfId="0" applyNumberFormat="1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center" vertical="center"/>
    </xf>
    <xf numFmtId="165" fontId="16" fillId="2" borderId="22" xfId="0" applyNumberFormat="1" applyFont="1" applyFill="1" applyBorder="1" applyAlignment="1">
      <alignment horizontal="center" vertical="center"/>
    </xf>
    <xf numFmtId="165" fontId="16" fillId="2" borderId="34" xfId="0" applyNumberFormat="1" applyFont="1" applyFill="1" applyBorder="1" applyAlignment="1">
      <alignment horizontal="center" vertical="center"/>
    </xf>
    <xf numFmtId="165" fontId="16" fillId="2" borderId="16" xfId="0" applyNumberFormat="1" applyFont="1" applyFill="1" applyBorder="1" applyAlignment="1">
      <alignment horizontal="center" vertical="center"/>
    </xf>
    <xf numFmtId="165" fontId="16" fillId="2" borderId="28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5" fillId="6" borderId="2" xfId="0" applyFont="1" applyFill="1" applyBorder="1" applyAlignment="1">
      <alignment vertical="center"/>
    </xf>
    <xf numFmtId="0" fontId="10" fillId="16" borderId="0" xfId="0" applyFont="1" applyFill="1" applyAlignment="1">
      <alignment horizontal="left" vertical="center"/>
    </xf>
    <xf numFmtId="0" fontId="10" fillId="16" borderId="0" xfId="0" applyFont="1" applyFill="1" applyAlignme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165" fontId="16" fillId="2" borderId="16" xfId="0" applyNumberFormat="1" applyFont="1" applyFill="1" applyBorder="1" applyAlignment="1">
      <alignment horizontal="center" vertical="center"/>
    </xf>
    <xf numFmtId="165" fontId="16" fillId="2" borderId="17" xfId="0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65" fontId="16" fillId="2" borderId="30" xfId="0" applyNumberFormat="1" applyFont="1" applyFill="1" applyBorder="1" applyAlignment="1">
      <alignment horizontal="center" vertical="center"/>
    </xf>
    <xf numFmtId="165" fontId="16" fillId="2" borderId="31" xfId="0" applyNumberFormat="1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165" fontId="16" fillId="2" borderId="24" xfId="0" applyNumberFormat="1" applyFont="1" applyFill="1" applyBorder="1" applyAlignment="1">
      <alignment horizontal="center" vertical="center"/>
    </xf>
    <xf numFmtId="165" fontId="16" fillId="2" borderId="25" xfId="0" applyNumberFormat="1" applyFont="1" applyFill="1" applyBorder="1" applyAlignment="1">
      <alignment horizontal="center" vertical="center"/>
    </xf>
    <xf numFmtId="14" fontId="18" fillId="2" borderId="14" xfId="0" applyNumberFormat="1" applyFont="1" applyFill="1" applyBorder="1" applyAlignment="1">
      <alignment horizontal="center" vertical="center"/>
    </xf>
    <xf numFmtId="14" fontId="18" fillId="2" borderId="15" xfId="0" applyNumberFormat="1" applyFont="1" applyFill="1" applyBorder="1" applyAlignment="1">
      <alignment horizontal="center" vertical="center"/>
    </xf>
    <xf numFmtId="14" fontId="18" fillId="2" borderId="26" xfId="0" applyNumberFormat="1" applyFont="1" applyFill="1" applyBorder="1" applyAlignment="1">
      <alignment horizontal="center" vertical="center"/>
    </xf>
    <xf numFmtId="14" fontId="18" fillId="2" borderId="27" xfId="0" applyNumberFormat="1" applyFont="1" applyFill="1" applyBorder="1" applyAlignment="1">
      <alignment horizontal="center" vertical="center"/>
    </xf>
    <xf numFmtId="14" fontId="18" fillId="2" borderId="32" xfId="0" applyNumberFormat="1" applyFont="1" applyFill="1" applyBorder="1" applyAlignment="1">
      <alignment horizontal="center" vertical="center"/>
    </xf>
    <xf numFmtId="14" fontId="18" fillId="2" borderId="33" xfId="0" applyNumberFormat="1" applyFont="1" applyFill="1" applyBorder="1" applyAlignment="1">
      <alignment horizontal="center" vertical="center"/>
    </xf>
    <xf numFmtId="14" fontId="18" fillId="2" borderId="20" xfId="0" applyNumberFormat="1" applyFont="1" applyFill="1" applyBorder="1" applyAlignment="1">
      <alignment horizontal="center" vertical="center"/>
    </xf>
    <xf numFmtId="14" fontId="18" fillId="2" borderId="21" xfId="0" applyNumberFormat="1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center" vertical="center"/>
    </xf>
    <xf numFmtId="165" fontId="16" fillId="2" borderId="22" xfId="0" applyNumberFormat="1" applyFont="1" applyFill="1" applyBorder="1" applyAlignment="1">
      <alignment horizontal="center" vertical="center"/>
    </xf>
    <xf numFmtId="165" fontId="16" fillId="2" borderId="23" xfId="0" applyNumberFormat="1" applyFont="1" applyFill="1" applyBorder="1" applyAlignment="1">
      <alignment horizontal="center" vertical="center"/>
    </xf>
    <xf numFmtId="0" fontId="17" fillId="2" borderId="34" xfId="0" applyFont="1" applyFill="1" applyBorder="1" applyAlignment="1">
      <alignment horizontal="center" vertical="center"/>
    </xf>
    <xf numFmtId="0" fontId="17" fillId="2" borderId="35" xfId="0" applyFont="1" applyFill="1" applyBorder="1" applyAlignment="1">
      <alignment horizontal="center" vertical="center"/>
    </xf>
    <xf numFmtId="165" fontId="16" fillId="2" borderId="34" xfId="0" applyNumberFormat="1" applyFont="1" applyFill="1" applyBorder="1" applyAlignment="1">
      <alignment horizontal="center" vertical="center"/>
    </xf>
    <xf numFmtId="165" fontId="16" fillId="2" borderId="35" xfId="0" applyNumberFormat="1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0" fontId="17" fillId="2" borderId="17" xfId="0" applyFont="1" applyFill="1" applyBorder="1" applyAlignment="1">
      <alignment horizontal="center" vertical="center"/>
    </xf>
    <xf numFmtId="0" fontId="17" fillId="2" borderId="28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165" fontId="16" fillId="2" borderId="28" xfId="0" applyNumberFormat="1" applyFont="1" applyFill="1" applyBorder="1" applyAlignment="1">
      <alignment horizontal="center" vertical="center"/>
    </xf>
    <xf numFmtId="165" fontId="16" fillId="2" borderId="29" xfId="0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0" fillId="0" borderId="0" xfId="0" applyAlignment="1"/>
    <xf numFmtId="0" fontId="5" fillId="6" borderId="2" xfId="0" applyFont="1" applyFill="1" applyBorder="1" applyAlignment="1">
      <alignment vertical="center"/>
    </xf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</cellXfs>
  <cellStyles count="3">
    <cellStyle name="Hyperlink" xfId="2" xr:uid="{00000000-000B-0000-0000-000008000000}"/>
    <cellStyle name="Normal" xfId="0" builtinId="0"/>
    <cellStyle name="Procent" xfId="1" builtinId="5"/>
  </cellStyles>
  <dxfs count="296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left style="thin">
          <color rgb="FFD9E2F3"/>
        </left>
        <right/>
      </border>
    </dxf>
    <dxf>
      <alignment horizontal="center" vertic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  <border outline="0">
        <right style="thin">
          <color rgb="FFD9E2F3"/>
        </right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</font>
    </dxf>
    <dxf>
      <alignment horizontal="center" vertical="center"/>
    </dxf>
    <dxf>
      <numFmt numFmtId="0" formatCode="General"/>
      <alignment horizontal="center" vertical="center"/>
    </dxf>
    <dxf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fill>
        <patternFill patternType="solid">
          <fgColor indexed="64"/>
          <bgColor rgb="FF17203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334155"/>
        </top>
        <bottom style="thin">
          <color rgb="FF334155"/>
        </bottom>
        <vertical/>
        <horizontal/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numFmt numFmtId="0" formatCode="General"/>
      <fill>
        <patternFill patternType="solid">
          <fgColor indexed="64"/>
          <bgColor rgb="FF111827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rgb="FF334155"/>
        </top>
        <bottom style="thin">
          <color rgb="FF334155"/>
        </bottom>
        <vertical/>
        <horizontal/>
      </border>
    </dxf>
    <dxf>
      <font>
        <color theme="1"/>
      </font>
      <fill>
        <patternFill patternType="solid">
          <bgColor rgb="FFE3C31A"/>
        </patternFill>
      </fill>
    </dxf>
    <dxf>
      <font>
        <color theme="1"/>
      </font>
      <fill>
        <patternFill patternType="solid">
          <bgColor rgb="FFAEB8B3"/>
        </patternFill>
      </fill>
    </dxf>
    <dxf>
      <font>
        <color theme="1"/>
      </font>
      <fill>
        <patternFill patternType="solid">
          <bgColor rgb="FFBA7E34"/>
        </patternFill>
      </fill>
    </dxf>
  </dxfs>
  <tableStyles count="0" defaultTableStyle="TableStyleMedium2" defaultPivotStyle="PivotStyleLight16"/>
  <colors>
    <mruColors>
      <color rgb="FFC9A227"/>
      <color rgb="FFD4AF37"/>
      <color rgb="FFFFC72C"/>
      <color rgb="FF0B1020"/>
      <color rgb="FFBA7E34"/>
      <color rgb="FFAEB8B3"/>
      <color rgb="FFE3C3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Favoriter att vinna VM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'Favoriter &amp; Odds'!$C$1</c:f>
              <c:strCache>
                <c:ptCount val="1"/>
                <c:pt idx="0">
                  <c:v>Vinstchans</c:v>
                </c:pt>
              </c:strCache>
            </c:strRef>
          </c:tx>
          <c:spPr>
            <a:solidFill>
              <a:schemeClr val="tx2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'Favoriter &amp; Odds'!$A$2:$A$21</c:f>
              <c:strCache>
                <c:ptCount val="20"/>
                <c:pt idx="0">
                  <c:v>🥇 🇪🇸 Spanien</c:v>
                </c:pt>
                <c:pt idx="1">
                  <c:v>🥈 🇫🇷 Frankrike</c:v>
                </c:pt>
                <c:pt idx="2">
                  <c:v>🥉 🏴 England</c:v>
                </c:pt>
                <c:pt idx="3">
                  <c:v>🇧🇷 Brasilien</c:v>
                </c:pt>
                <c:pt idx="4">
                  <c:v>🇦🇷 Argentina</c:v>
                </c:pt>
                <c:pt idx="5">
                  <c:v>🇵🇹 Portugal</c:v>
                </c:pt>
                <c:pt idx="6">
                  <c:v>🇩🇪 Tyskland</c:v>
                </c:pt>
                <c:pt idx="7">
                  <c:v>🇳🇱 Nederländerna</c:v>
                </c:pt>
                <c:pt idx="8">
                  <c:v>🇧🇪 Belgien</c:v>
                </c:pt>
                <c:pt idx="9">
                  <c:v>🇳🇴 Norge</c:v>
                </c:pt>
                <c:pt idx="10">
                  <c:v>🇭🇷 Kroatien</c:v>
                </c:pt>
                <c:pt idx="11">
                  <c:v>🇲🇦 Marocko</c:v>
                </c:pt>
                <c:pt idx="12">
                  <c:v>🇺🇾 Uruguay</c:v>
                </c:pt>
                <c:pt idx="13">
                  <c:v>🇺🇸 USA</c:v>
                </c:pt>
                <c:pt idx="14">
                  <c:v>🇲🇽 Mexiko</c:v>
                </c:pt>
                <c:pt idx="15">
                  <c:v>🇯🇵 Japan</c:v>
                </c:pt>
                <c:pt idx="16">
                  <c:v>🇨🇴 Colombia</c:v>
                </c:pt>
                <c:pt idx="17">
                  <c:v>🇩🇰 Danmark</c:v>
                </c:pt>
                <c:pt idx="18">
                  <c:v>🇸🇳 Senegal</c:v>
                </c:pt>
                <c:pt idx="19">
                  <c:v>🇸🇪 Sverige</c:v>
                </c:pt>
              </c:strCache>
            </c:strRef>
          </c:cat>
          <c:val>
            <c:numRef>
              <c:f>'Favoriter &amp; Odds'!$C$2:$C$21</c:f>
              <c:numCache>
                <c:formatCode>0%</c:formatCode>
                <c:ptCount val="20"/>
                <c:pt idx="0">
                  <c:v>0.18181818181818182</c:v>
                </c:pt>
                <c:pt idx="1">
                  <c:v>0.15384615384615385</c:v>
                </c:pt>
                <c:pt idx="2">
                  <c:v>0.13333333333333333</c:v>
                </c:pt>
                <c:pt idx="3">
                  <c:v>0.1111111111111111</c:v>
                </c:pt>
                <c:pt idx="4">
                  <c:v>0.1111111111111111</c:v>
                </c:pt>
                <c:pt idx="5">
                  <c:v>8.3333333333333329E-2</c:v>
                </c:pt>
                <c:pt idx="6">
                  <c:v>6.25E-2</c:v>
                </c:pt>
                <c:pt idx="7">
                  <c:v>0.04</c:v>
                </c:pt>
                <c:pt idx="8">
                  <c:v>3.8461538461538464E-2</c:v>
                </c:pt>
                <c:pt idx="9">
                  <c:v>3.4482758620689655E-2</c:v>
                </c:pt>
                <c:pt idx="10">
                  <c:v>2.4390243902439025E-2</c:v>
                </c:pt>
                <c:pt idx="11">
                  <c:v>1.9607843137254902E-2</c:v>
                </c:pt>
                <c:pt idx="12">
                  <c:v>1.9607843137254902E-2</c:v>
                </c:pt>
                <c:pt idx="13">
                  <c:v>1.4925373134328358E-2</c:v>
                </c:pt>
                <c:pt idx="14">
                  <c:v>1.2345679012345678E-2</c:v>
                </c:pt>
                <c:pt idx="15">
                  <c:v>1.2345679012345678E-2</c:v>
                </c:pt>
                <c:pt idx="16">
                  <c:v>1.2345679012345678E-2</c:v>
                </c:pt>
                <c:pt idx="17">
                  <c:v>9.9009900990099011E-3</c:v>
                </c:pt>
                <c:pt idx="18">
                  <c:v>9.9009900990099011E-3</c:v>
                </c:pt>
                <c:pt idx="19">
                  <c:v>6.6225165562913907E-3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66-4665-B6EC-2F7AB583E8B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318852767"/>
        <c:axId val="318853247"/>
      </c:barChart>
      <c:catAx>
        <c:axId val="3188527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18853247"/>
        <c:crosses val="autoZero"/>
        <c:auto val="1"/>
        <c:lblAlgn val="ctr"/>
        <c:lblOffset val="100"/>
        <c:noMultiLvlLbl val="0"/>
      </c:catAx>
      <c:valAx>
        <c:axId val="318853247"/>
        <c:scaling>
          <c:orientation val="minMax"/>
        </c:scaling>
        <c:delete val="0"/>
        <c:axPos val="t"/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318852767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Favoriter att vinna</a:t>
            </a:r>
            <a:r>
              <a:rPr lang="en-US" baseline="0"/>
              <a:t> skytteligan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0.16722861728704619"/>
          <c:y val="0.1267881712479515"/>
          <c:w val="0.83457311206531737"/>
          <c:h val="0.824093600708470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'Favoriter &amp; Odds'!$R$1</c:f>
              <c:strCache>
                <c:ptCount val="1"/>
                <c:pt idx="0">
                  <c:v>Vinstchans</c:v>
                </c:pt>
              </c:strCache>
            </c:strRef>
          </c:tx>
          <c:spPr>
            <a:solidFill>
              <a:schemeClr val="tx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prstDash val="solid"/>
              <a:round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S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'Favoriter &amp; Odds'!$P$2:$P$21</c:f>
              <c:strCache>
                <c:ptCount val="15"/>
                <c:pt idx="0">
                  <c:v>🥇 🇫🇷 Kylian Mbappé</c:v>
                </c:pt>
                <c:pt idx="1">
                  <c:v>🥈 🏴 Harry Kane</c:v>
                </c:pt>
                <c:pt idx="2">
                  <c:v>🥉 🇦🇷 Lionel Messi</c:v>
                </c:pt>
                <c:pt idx="3">
                  <c:v>🇳🇴 Erling Haaland</c:v>
                </c:pt>
                <c:pt idx="4">
                  <c:v>🇪🇸 Lamine Yamal</c:v>
                </c:pt>
                <c:pt idx="5">
                  <c:v>🇧🇷 Vinícius Júnior</c:v>
                </c:pt>
                <c:pt idx="6">
                  <c:v>🇦🇷 Lautaro Martínez</c:v>
                </c:pt>
                <c:pt idx="7">
                  <c:v>🇫🇷 Ousmane Dembélé</c:v>
                </c:pt>
                <c:pt idx="8">
                  <c:v>🇧🇪 Romelu Lukaku</c:v>
                </c:pt>
                <c:pt idx="9">
                  <c:v>🏴 Bukayo Saka</c:v>
                </c:pt>
                <c:pt idx="10">
                  <c:v>🇦🇷 Julián Álvarez</c:v>
                </c:pt>
                <c:pt idx="11">
                  <c:v>🇫🇷 Michael Olise</c:v>
                </c:pt>
                <c:pt idx="12">
                  <c:v>🇨🇴 Luis Díaz</c:v>
                </c:pt>
                <c:pt idx="13">
                  <c:v>🇵🇹 Cristiano Ronaldo</c:v>
                </c:pt>
                <c:pt idx="14">
                  <c:v>🇧🇷 João Pedro</c:v>
                </c:pt>
              </c:strCache>
            </c:strRef>
          </c:cat>
          <c:val>
            <c:numRef>
              <c:f>'Favoriter &amp; Odds'!$R$2:$R$21</c:f>
              <c:numCache>
                <c:formatCode>0%</c:formatCode>
                <c:ptCount val="20"/>
                <c:pt idx="0">
                  <c:v>0.14285714285714285</c:v>
                </c:pt>
                <c:pt idx="1">
                  <c:v>0.125</c:v>
                </c:pt>
                <c:pt idx="2">
                  <c:v>7.6923076923076927E-2</c:v>
                </c:pt>
                <c:pt idx="3">
                  <c:v>6.6666666666666666E-2</c:v>
                </c:pt>
                <c:pt idx="4">
                  <c:v>6.6666666666666666E-2</c:v>
                </c:pt>
                <c:pt idx="5">
                  <c:v>5.2631578947368418E-2</c:v>
                </c:pt>
                <c:pt idx="6">
                  <c:v>4.7619047619047616E-2</c:v>
                </c:pt>
                <c:pt idx="7">
                  <c:v>4.7619047619047616E-2</c:v>
                </c:pt>
                <c:pt idx="8">
                  <c:v>4.7619047619047616E-2</c:v>
                </c:pt>
                <c:pt idx="9">
                  <c:v>2.9411764705882353E-2</c:v>
                </c:pt>
                <c:pt idx="10">
                  <c:v>2.4390243902439025E-2</c:v>
                </c:pt>
                <c:pt idx="11">
                  <c:v>2.4390243902439025E-2</c:v>
                </c:pt>
                <c:pt idx="12">
                  <c:v>1.9607843137254902E-2</c:v>
                </c:pt>
                <c:pt idx="13">
                  <c:v>1.9607843137254902E-2</c:v>
                </c:pt>
                <c:pt idx="14">
                  <c:v>1.4925373134328358E-2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F8-4FCC-B57A-D1A04834B5C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0"/>
        <c:axId val="518308879"/>
        <c:axId val="518310799"/>
      </c:barChart>
      <c:catAx>
        <c:axId val="51830887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prstDash val="solid"/>
            <a:round/>
          </a:ln>
        </c:spPr>
        <c:txPr>
          <a:bodyPr rot="60000" spcFirstLastPara="1" vertOverflow="ellipsis" vert="horz" wrap="square" anchor="t" anchorCtr="0"/>
          <a:lstStyle/>
          <a:p>
            <a:pPr>
              <a:defRPr sz="900" b="0" i="0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18310799"/>
        <c:crosses val="autoZero"/>
        <c:auto val="1"/>
        <c:lblAlgn val="ctr"/>
        <c:lblOffset val="100"/>
        <c:tickLblSkip val="1"/>
        <c:noMultiLvlLbl val="0"/>
      </c:catAx>
      <c:valAx>
        <c:axId val="518310799"/>
        <c:scaling>
          <c:orientation val="minMax"/>
          <c:max val="0.2"/>
        </c:scaling>
        <c:delete val="0"/>
        <c:axPos val="t"/>
        <c:numFmt formatCode="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518308879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23811</xdr:rowOff>
    </xdr:from>
    <xdr:to>
      <xdr:col>10</xdr:col>
      <xdr:colOff>85726</xdr:colOff>
      <xdr:row>52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85724</xdr:colOff>
      <xdr:row>21</xdr:row>
      <xdr:rowOff>190499</xdr:rowOff>
    </xdr:from>
    <xdr:to>
      <xdr:col>24</xdr:col>
      <xdr:colOff>0</xdr:colOff>
      <xdr:row>52</xdr:row>
      <xdr:rowOff>66674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  <a:ext uri="{147F2762-F138-4A5C-976F-8EAC2B608ADB}">
              <a16:predDERef xmlns:a16="http://schemas.microsoft.com/office/drawing/2014/main" pre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85725</xdr:colOff>
      <xdr:row>0</xdr:row>
      <xdr:rowOff>1</xdr:rowOff>
    </xdr:from>
    <xdr:to>
      <xdr:col>29</xdr:col>
      <xdr:colOff>276225</xdr:colOff>
      <xdr:row>22</xdr:row>
      <xdr:rowOff>1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CEE0AE-2C87-6DDC-3D25-4D41B5DCC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1"/>
          <a:ext cx="6286500" cy="4191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LeaderboardTabell" displayName="LeaderboardTabell" ref="A3:D23">
  <autoFilter ref="A3:D23" xr:uid="{00000000-0009-0000-0100-000005000000}"/>
  <sortState xmlns:xlrd2="http://schemas.microsoft.com/office/spreadsheetml/2017/richdata2" ref="A4:D23">
    <sortCondition ref="A3:A23"/>
  </sortState>
  <tableColumns count="4">
    <tableColumn id="1" xr3:uid="{00000000-0010-0000-0400-000001000000}" name="Placering">
      <calculatedColumnFormula>IF(D4="","",_xlfn.RANK.EQ(D4,$D$4:$D$23,0))</calculatedColumnFormula>
    </tableColumn>
    <tableColumn id="2" xr3:uid="{00000000-0010-0000-0400-000002000000}" name="Namn2"/>
    <tableColumn id="5" xr3:uid="{E6DDC2E5-3717-466D-8DE6-F271A63E2B03}" name="Namn" dataDxfId="292">
      <calculatedColumnFormula>IF(A4&lt;=3,CHOOSE(A4,"🏆 ","🥈 ","🥉 ")&amp;B4,B4)</calculatedColumnFormula>
    </tableColumn>
    <tableColumn id="3" xr3:uid="{00000000-0010-0000-0400-000003000000}" name="Poäng" dataDxfId="291">
      <calculatedColumnFormula>Christofer!B115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ltatMatcher" displayName="ResultatMatcher" ref="E4:N108">
  <autoFilter ref="E4:N108" xr:uid="{00000000-0009-0000-0100-000001000000}"/>
  <tableColumns count="10">
    <tableColumn id="4" xr3:uid="{00000000-0010-0000-0000-000004000000}" name="Tid"/>
    <tableColumn id="1" xr3:uid="{2DA077DF-F334-43B9-A093-6C15E65051CC}" name="Stad" dataDxfId="290"/>
    <tableColumn id="5" xr3:uid="{00000000-0010-0000-0000-000005000000}" name="Fas" dataDxfId="289"/>
    <tableColumn id="6" xr3:uid="{00000000-0010-0000-0000-000006000000}" name="Grupp"/>
    <tableColumn id="7" xr3:uid="{00000000-0010-0000-0000-000007000000}" name="Hemmalag"/>
    <tableColumn id="8" xr3:uid="{00000000-0010-0000-0000-000008000000}" name="Bortalag"/>
    <tableColumn id="9" xr3:uid="{00000000-0010-0000-0000-000009000000}" name="Mål H"/>
    <tableColumn id="10" xr3:uid="{00000000-0010-0000-0000-00000A000000}" name="Mål B"/>
    <tableColumn id="11" xr3:uid="{00000000-0010-0000-0000-00000B000000}" name="Tecken" dataDxfId="288">
      <calculatedColumnFormula>IF(OR(K5="",L5=""),"",IF(K5&gt;L5,"1",IF(K5&lt;L5,"2","X")))</calculatedColumnFormula>
    </tableColumn>
    <tableColumn id="12" xr3:uid="{00000000-0010-0000-0000-00000C000000}" name="Vinnare" dataDxfId="2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7" displayName="Tabell7" ref="P1:R16" totalsRowShown="0">
  <autoFilter ref="P1:R16" xr:uid="{00000000-0009-0000-0100-000002000000}"/>
  <tableColumns count="3">
    <tableColumn id="1" xr3:uid="{00000000-0010-0000-0100-000001000000}" name="Spelare"/>
    <tableColumn id="2" xr3:uid="{00000000-0010-0000-0100-000002000000}" name="Odds"/>
    <tableColumn id="3" xr3:uid="{00000000-0010-0000-0100-000003000000}" name="Vinstchans" dataDxfId="286">
      <calculatedColumnFormula>1/Q2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8" displayName="Tabell8" ref="A1:C21" totalsRowShown="0" headerRowCellStyle="Normal">
  <autoFilter ref="A1:C21" xr:uid="{00000000-0009-0000-0100-000003000000}"/>
  <tableColumns count="3">
    <tableColumn id="1" xr3:uid="{00000000-0010-0000-0200-000001000000}" name="Land"/>
    <tableColumn id="2" xr3:uid="{00000000-0010-0000-0200-000002000000}" name="Odds"/>
    <tableColumn id="3" xr3:uid="{00000000-0010-0000-0200-000003000000}" name="Vinstchans" dataDxfId="285">
      <calculatedColumnFormula>1/B2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psMatcher" displayName="TipsMatcher" ref="A3:T107">
  <autoFilter ref="A3:T107" xr:uid="{00000000-0009-0000-0100-000004000000}"/>
  <tableColumns count="20">
    <tableColumn id="1" xr3:uid="{00000000-0010-0000-0300-000001000000}" name="Matchnr"/>
    <tableColumn id="2" xr3:uid="{00000000-0010-0000-0300-000002000000}" name="Fas" dataDxfId="284"/>
    <tableColumn id="3" xr3:uid="{00000000-0010-0000-0300-000003000000}" name="Grupp" dataDxfId="283"/>
    <tableColumn id="4" xr3:uid="{00000000-0010-0000-0300-000004000000}" name="Hemmalag" dataDxfId="282"/>
    <tableColumn id="5" xr3:uid="{00000000-0010-0000-0300-000005000000}" name="Bortalag" dataDxfId="281"/>
    <tableColumn id="6" xr3:uid="{00000000-0010-0000-0300-000006000000}" name="Tips H" dataDxfId="280"/>
    <tableColumn id="7" xr3:uid="{00000000-0010-0000-0300-000007000000}" name="Tips B" dataDxfId="279"/>
    <tableColumn id="8" xr3:uid="{00000000-0010-0000-0300-000008000000}" name="Tecken" dataDxfId="278">
      <calculatedColumnFormula>IF(OR(F4="",G4=""),"",IF(F4&gt;G4,"1",IF(F4&lt;G4,"2","X")))</calculatedColumnFormula>
    </tableColumn>
    <tableColumn id="9" xr3:uid="{00000000-0010-0000-0300-000009000000}" name="Poäng mål" dataDxfId="277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00000000-0010-0000-0300-00000A000000}" name="Poäng tecken" dataDxfId="276">
      <calculatedColumnFormula>IF(OR(H4="",'📊 Resultat &amp; Tabell'!M5=""),"",IF(H4='📊 Resultat &amp; Tabell'!M5,2,0))</calculatedColumnFormula>
    </tableColumn>
    <tableColumn id="11" xr3:uid="{00000000-0010-0000-0300-00000B000000}" name="Poäng totalt" dataDxfId="275"/>
    <tableColumn id="12" xr3:uid="{CB7C8378-2B7D-4006-8B4C-B5359E413816}" name="Tippad grupptabell" dataDxfId="274"/>
    <tableColumn id="13" xr3:uid="{C81173A4-0B27-4910-9580-60DD96763D37}" name=" " dataDxfId="273"/>
    <tableColumn id="14" xr3:uid="{C1937515-E561-482E-90F2-9AB42AB4E885}" name=" 2" dataDxfId="272"/>
    <tableColumn id="15" xr3:uid="{B65B1103-CD2F-40CD-AB55-7067042D8841}" name=" 3" dataDxfId="271"/>
    <tableColumn id="16" xr3:uid="{29A40CB2-61F9-43D1-90C2-A6F6B0534FA0}" name=" 4" dataDxfId="270"/>
    <tableColumn id="17" xr3:uid="{420AFD99-D1D3-4542-A649-79F16217ED16}" name=" 5" dataDxfId="269"/>
    <tableColumn id="18" xr3:uid="{0C9EF74A-993F-4736-BDC8-FE54D17D1385}" name=" 6" dataDxfId="268"/>
    <tableColumn id="19" xr3:uid="{4E621984-7900-4E00-B18C-E626D72CA856}" name=" 7" dataDxfId="267"/>
    <tableColumn id="20" xr3:uid="{BD60B9FA-5C95-4095-BEB8-5BCF5C90D5CE}" name=" 8" dataDxfId="26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3C513CF-E2C9-4711-A10A-1609C503A70F}" name="TipsMatcher15" displayName="TipsMatcher15" ref="A3:T107">
  <autoFilter ref="A3:T107" xr:uid="{23C513CF-E2C9-4711-A10A-1609C503A70F}"/>
  <tableColumns count="20">
    <tableColumn id="1" xr3:uid="{2DAF6224-C1E7-4E08-A990-9C783A6D92F7}" name="Matchnr"/>
    <tableColumn id="2" xr3:uid="{0BC2A7E1-D09D-42A4-A312-F041D5983208}" name="Fas" dataDxfId="265"/>
    <tableColumn id="3" xr3:uid="{08A6498F-288C-4905-9C8A-237E3903E28C}" name="Grupp" dataDxfId="264"/>
    <tableColumn id="4" xr3:uid="{7480CCFD-23A9-4515-8D02-337B5711900D}" name="Hemmalag" dataDxfId="263"/>
    <tableColumn id="5" xr3:uid="{E3ED5FB4-A1CF-4AEF-BF26-98D7A9F6F306}" name="Bortalag" dataDxfId="262"/>
    <tableColumn id="6" xr3:uid="{E7493A7F-9691-47FA-A36C-8A57CBD30894}" name="Tips H" dataDxfId="261"/>
    <tableColumn id="7" xr3:uid="{0914C088-1186-48AD-9078-306DFC8CBF8F}" name="Tips B" dataDxfId="260"/>
    <tableColumn id="8" xr3:uid="{8F247B10-B852-4FAD-A002-8CC1797DF2FE}" name="Tecken" dataDxfId="259">
      <calculatedColumnFormula>IF(OR(F4="",G4=""),"",IF(F4&gt;G4,"1",IF(F4&lt;G4,"2","X")))</calculatedColumnFormula>
    </tableColumn>
    <tableColumn id="9" xr3:uid="{7A5CCA3F-C311-46A1-85E8-7B50A345B8E3}" name="Poäng mål" dataDxfId="258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563DB171-1052-4451-92E9-22BBDE7A6D18}" name="Poäng tecken" dataDxfId="257">
      <calculatedColumnFormula>IF(OR(H4="",'📊 Resultat &amp; Tabell'!M5=""),"",IF(H4='📊 Resultat &amp; Tabell'!M5,2,0))</calculatedColumnFormula>
    </tableColumn>
    <tableColumn id="11" xr3:uid="{B6ABB38C-4CD7-477D-94DB-F4DBA00C449C}" name="Poäng totalt" dataDxfId="256">
      <calculatedColumnFormula>IF(AND(I4="",J4=""),"",N(I4)+N(J4))</calculatedColumnFormula>
    </tableColumn>
    <tableColumn id="12" xr3:uid="{B0C2C175-509D-47F5-B7AC-55B15F5C663A}" name="Tippad grupptabell" dataDxfId="255"/>
    <tableColumn id="13" xr3:uid="{D2D9D68F-B23E-47B6-BFF1-15AB8BBDDEAD}" name=" " dataDxfId="254"/>
    <tableColumn id="14" xr3:uid="{87A15369-8E1B-4FB7-B3AF-08027B19A355}" name=" 2" dataDxfId="253"/>
    <tableColumn id="15" xr3:uid="{2F954F8A-732D-4014-97F6-D444AD098B18}" name=" 3" dataDxfId="252"/>
    <tableColumn id="16" xr3:uid="{031FCCB7-DD97-4282-A91D-1792290997E7}" name=" 4" dataDxfId="251"/>
    <tableColumn id="17" xr3:uid="{5ACFE1C5-78D7-42EF-97D5-F8FC3D777671}" name=" 5" dataDxfId="250"/>
    <tableColumn id="18" xr3:uid="{E825B84F-4030-4DB3-82B6-4FDAE626B59A}" name=" 6" dataDxfId="249"/>
    <tableColumn id="19" xr3:uid="{9619CDC8-821D-4557-B875-5D869CAB2B68}" name=" 7" dataDxfId="248"/>
    <tableColumn id="20" xr3:uid="{1A9D3734-9189-4CD0-BA07-389B05085C83}" name=" 8" dataDxfId="247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B4D628E2-647C-436A-BB83-6E31B992C47B}" name="TipsMatcher16" displayName="TipsMatcher16" ref="A3:T107">
  <autoFilter ref="A3:T107" xr:uid="{B4D628E2-647C-436A-BB83-6E31B992C47B}"/>
  <tableColumns count="20">
    <tableColumn id="1" xr3:uid="{3CB2BA6B-3A97-42CF-A207-3BAD5A9D6063}" name="Matchnr"/>
    <tableColumn id="2" xr3:uid="{6D0B88F7-E8AD-4B27-8800-E4A9C654C3B5}" name="Fas" dataDxfId="246"/>
    <tableColumn id="3" xr3:uid="{3092FDE8-2872-42E0-824C-AC984F646EC9}" name="Grupp" dataDxfId="245"/>
    <tableColumn id="4" xr3:uid="{6C988A2D-2FEA-43AC-8686-A51994FCF163}" name="Hemmalag" dataDxfId="244"/>
    <tableColumn id="5" xr3:uid="{8C19D144-00B8-41F2-AF28-A99FB151D55E}" name="Bortalag" dataDxfId="243"/>
    <tableColumn id="6" xr3:uid="{05C52657-7C3B-4D8C-82AC-D9983014E28F}" name="Tips H" dataDxfId="242"/>
    <tableColumn id="7" xr3:uid="{93C047D6-F50B-4816-B1BB-5B9BC7FD196B}" name="Tips B" dataDxfId="241"/>
    <tableColumn id="8" xr3:uid="{CA60E492-856F-40DB-892F-9D4958FA28D6}" name="Tecken" dataDxfId="240">
      <calculatedColumnFormula>IF(OR(F4="",G4=""),"",IF(F4&gt;G4,"1",IF(F4&lt;G4,"2","X")))</calculatedColumnFormula>
    </tableColumn>
    <tableColumn id="9" xr3:uid="{C4EA96BD-A023-4EB8-A644-DAF3C9128C8C}" name="Poäng mål" dataDxfId="239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DAAC1090-5C93-408F-A021-7BBAC3AB3397}" name="Poäng tecken" dataDxfId="238">
      <calculatedColumnFormula>IF(OR(H4="",'📊 Resultat &amp; Tabell'!M5=""),"",IF(H4='📊 Resultat &amp; Tabell'!M5,2,0))</calculatedColumnFormula>
    </tableColumn>
    <tableColumn id="11" xr3:uid="{B81B96C9-9AE8-421B-B345-47295BD89474}" name="Poäng totalt" dataDxfId="237">
      <calculatedColumnFormula>IF(AND(I4="",J4=""),"",N(I4)+N(J4))</calculatedColumnFormula>
    </tableColumn>
    <tableColumn id="12" xr3:uid="{08506854-4AD2-4119-8831-0BAB412DB93C}" name="Tippad grupptabell" dataDxfId="236"/>
    <tableColumn id="13" xr3:uid="{BBBADB38-75E3-4800-81F4-D41B1927CDD4}" name=" " dataDxfId="235"/>
    <tableColumn id="14" xr3:uid="{A27E01AD-415B-4BF0-8EF9-FC504AA93A26}" name=" 2" dataDxfId="234"/>
    <tableColumn id="15" xr3:uid="{AEBDB279-182B-43C8-82D4-05EB7EBB897A}" name=" 3" dataDxfId="233"/>
    <tableColumn id="16" xr3:uid="{FCF216D2-B9C8-4D0B-AF64-651D548CC54B}" name=" 4" dataDxfId="232"/>
    <tableColumn id="17" xr3:uid="{67516745-4F39-4663-9FD0-776E5399371F}" name=" 5" dataDxfId="231"/>
    <tableColumn id="18" xr3:uid="{E67472B2-69F2-4BD7-A75D-8585D65B5372}" name=" 6" dataDxfId="230"/>
    <tableColumn id="19" xr3:uid="{9B4584E6-D536-468F-890F-8FC6F9B1BA07}" name=" 7" dataDxfId="229"/>
    <tableColumn id="20" xr3:uid="{E9521ABC-15DA-4521-A393-B1F4724A4C1E}" name=" 8" dataDxfId="22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B2FC83-3971-4D99-9E65-226FBB14DACB}" name="TipsMatcher9" displayName="TipsMatcher9" ref="A3:T107">
  <autoFilter ref="A3:T107" xr:uid="{28B2FC83-3971-4D99-9E65-226FBB14DACB}"/>
  <tableColumns count="20">
    <tableColumn id="1" xr3:uid="{EC344972-EFE0-4565-8FFB-C93157BEC80C}" name="Matchnr"/>
    <tableColumn id="2" xr3:uid="{EDF4B761-88A7-4906-9F90-2EF4644212C1}" name="Fas" dataDxfId="227"/>
    <tableColumn id="3" xr3:uid="{9649C60E-3EA3-427A-9908-AECDD458BEC8}" name="Grupp" dataDxfId="226"/>
    <tableColumn id="4" xr3:uid="{4DF1C6AD-C71E-4D73-B9D5-09D7A5ED2CD0}" name="Hemmalag" dataDxfId="225"/>
    <tableColumn id="5" xr3:uid="{7564624B-0F89-4BCD-AFD3-7006EF4FEEC5}" name="Bortalag" dataDxfId="224"/>
    <tableColumn id="6" xr3:uid="{6622BF67-4822-4D3C-ADF5-AEFB41FDC7AA}" name="Tips H" dataDxfId="223"/>
    <tableColumn id="7" xr3:uid="{A33FD56A-428D-44CC-BA26-6FD3C2D8A7AF}" name="Tips B" dataDxfId="222"/>
    <tableColumn id="8" xr3:uid="{05BB5510-D40D-489E-93D1-35259F173981}" name="Tecken" dataDxfId="221">
      <calculatedColumnFormula>IF(OR(F4="",G4=""),"",IF(F4&gt;G4,"1",IF(F4&lt;G4,"2","X")))</calculatedColumnFormula>
    </tableColumn>
    <tableColumn id="9" xr3:uid="{9DA080F1-2B8D-487F-BDD2-27CC82CFE93C}" name="Poäng mål" dataDxfId="220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FD4C5C0E-68CF-4AF7-9F03-79456EA1136F}" name="Poäng tecken" dataDxfId="219">
      <calculatedColumnFormula>IF(OR(H4="",'📊 Resultat &amp; Tabell'!M5=""),"",IF(H4='📊 Resultat &amp; Tabell'!M5,2,0))</calculatedColumnFormula>
    </tableColumn>
    <tableColumn id="11" xr3:uid="{9F57D97E-A6F4-4550-B98A-4C8BB7CEB170}" name="Poäng totalt" dataDxfId="218">
      <calculatedColumnFormula>IF(AND(I4="",J4=""),"",N(I4)+N(J4))</calculatedColumnFormula>
    </tableColumn>
    <tableColumn id="12" xr3:uid="{4B6DF904-8BE8-4A5D-BA06-DA283602990F}" name="Tippad grupptabell" dataDxfId="217"/>
    <tableColumn id="13" xr3:uid="{1461AE07-CFB6-4DBF-ACD5-A2FCB600F3A8}" name=" " dataDxfId="216"/>
    <tableColumn id="14" xr3:uid="{413700A6-9FDB-471A-9E8C-5A23C3809368}" name=" 2" dataDxfId="215"/>
    <tableColumn id="15" xr3:uid="{1AE39EA6-0C65-4CC3-96A3-30EE23C2063C}" name=" 3" dataDxfId="214"/>
    <tableColumn id="16" xr3:uid="{EC4E1F30-ACE2-4744-AAD7-478D6592DE6A}" name=" 4" dataDxfId="213"/>
    <tableColumn id="17" xr3:uid="{C56D7E26-71B0-4942-9CD6-346CB070F50F}" name=" 5" dataDxfId="212"/>
    <tableColumn id="18" xr3:uid="{3F097D41-B573-4AD1-B20A-C3006C7B5353}" name=" 6" dataDxfId="211"/>
    <tableColumn id="19" xr3:uid="{3D00042A-F1D9-4AE6-BE04-A7F37D081368}" name=" 7" dataDxfId="210"/>
    <tableColumn id="20" xr3:uid="{BFBE44B3-F482-4D3C-AC26-069332B4BF99}" name=" 8" dataDxfId="209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B04554D-7CF9-46D0-B0FB-3737FF0DD7D1}" name="TipsMatcher8" displayName="TipsMatcher8" ref="A3:T107">
  <autoFilter ref="A3:T107" xr:uid="{AB04554D-7CF9-46D0-B0FB-3737FF0DD7D1}"/>
  <tableColumns count="20">
    <tableColumn id="1" xr3:uid="{89861D56-9DFC-4EAB-AD3B-1DE8C2603C4F}" name="Matchnr"/>
    <tableColumn id="2" xr3:uid="{CD96CD1F-7851-468D-BAA5-9EB166343E16}" name="Fas" dataDxfId="208"/>
    <tableColumn id="3" xr3:uid="{50B08409-9902-4980-8BDD-894270AC48FD}" name="Grupp" dataDxfId="207"/>
    <tableColumn id="4" xr3:uid="{B794E2DF-3771-4783-95BD-111C3637C790}" name="Hemmalag" dataDxfId="206"/>
    <tableColumn id="5" xr3:uid="{7471A369-CC08-47AB-B726-5B13F4C5E7AA}" name="Bortalag" dataDxfId="205"/>
    <tableColumn id="6" xr3:uid="{1FE24FC9-D258-432B-8232-7FD3611C2B16}" name="Tips H" dataDxfId="204"/>
    <tableColumn id="7" xr3:uid="{726872EB-DE07-49D0-8739-F2E6352711DE}" name="Tips B" dataDxfId="203"/>
    <tableColumn id="8" xr3:uid="{163CCA1B-251C-4223-9DBD-6F3708DA6A2D}" name="Tecken" dataDxfId="202">
      <calculatedColumnFormula>IF(OR(F4="",G4=""),"",IF(F4&gt;G4,"1",IF(F4&lt;G4,"2","X")))</calculatedColumnFormula>
    </tableColumn>
    <tableColumn id="9" xr3:uid="{B8EF09D4-F053-443D-BFE9-F1D206F17220}" name="Poäng mål" dataDxfId="201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B2FD9B94-7F7B-47D3-9234-02B865F4B4BF}" name="Poäng tecken" dataDxfId="200">
      <calculatedColumnFormula>IF(OR(H4="",'📊 Resultat &amp; Tabell'!M5=""),"",IF(H4='📊 Resultat &amp; Tabell'!M5,2,0))</calculatedColumnFormula>
    </tableColumn>
    <tableColumn id="11" xr3:uid="{553DD870-7D53-4CA2-BA3E-F338B4DC5128}" name="Poäng totalt" dataDxfId="199">
      <calculatedColumnFormula>IF(AND(I4="",J4=""),"",N(I4)+N(J4))</calculatedColumnFormula>
    </tableColumn>
    <tableColumn id="12" xr3:uid="{9A4562EA-0DE4-434C-93B7-663F952D1FCC}" name="Tippad grupptabell" dataDxfId="198"/>
    <tableColumn id="13" xr3:uid="{45DD7DA0-1C2A-42E4-B2A4-3D4D32C3891A}" name=" " dataDxfId="197"/>
    <tableColumn id="14" xr3:uid="{46EE0947-87F4-42DD-9BCB-E112AD58B4BC}" name=" 2" dataDxfId="196"/>
    <tableColumn id="15" xr3:uid="{4BAAF2BC-18B9-4F3B-A822-B6CED2C62EC5}" name=" 3" dataDxfId="195"/>
    <tableColumn id="16" xr3:uid="{583213AC-1201-41A7-A834-741AB58EB15A}" name=" 4" dataDxfId="194"/>
    <tableColumn id="17" xr3:uid="{36959BBC-8908-4245-B55D-6879BC657803}" name=" 5" dataDxfId="193"/>
    <tableColumn id="18" xr3:uid="{D69C4B3A-7D86-495E-8119-87C51B4AAF7B}" name=" 6" dataDxfId="192"/>
    <tableColumn id="19" xr3:uid="{FE317E36-D327-4657-ACBE-23C0B9CEF83F}" name=" 7" dataDxfId="191"/>
    <tableColumn id="20" xr3:uid="{5D3078F6-0E5D-4103-887B-2238655D3538}" name=" 8" dataDxfId="19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F6F842B1-1CC1-4F4F-8BAB-50E558C9322C}" name="TipsMatcher10" displayName="TipsMatcher10" ref="A3:T107">
  <autoFilter ref="A3:T107" xr:uid="{00000000-0009-0000-0100-000004000000}"/>
  <tableColumns count="20">
    <tableColumn id="1" xr3:uid="{14AD4C29-62BF-6340-8E8A-A53A216FC263}" name="Matchnr"/>
    <tableColumn id="2" xr3:uid="{7895FBF8-54EA-F040-9E61-EA4C4D11F04F}" name="Fas" dataDxfId="189"/>
    <tableColumn id="3" xr3:uid="{A2C092EF-7BFE-464D-BD50-B11F8EDCB6BA}" name="Grupp" dataDxfId="188"/>
    <tableColumn id="4" xr3:uid="{39A758DC-8D0B-8046-BD98-1A0108DEFAA3}" name="Hemmalag" dataDxfId="187"/>
    <tableColumn id="5" xr3:uid="{8636DDAB-838B-4447-A7CD-22F9C5A7D760}" name="Bortalag" dataDxfId="186"/>
    <tableColumn id="6" xr3:uid="{2E672A36-D0E0-6C4D-8833-CA4D61C42D4F}" name="Tips H" dataDxfId="185"/>
    <tableColumn id="7" xr3:uid="{BC2B19E6-BEBA-B949-A064-844B976525DD}" name="Tips B" dataDxfId="184"/>
    <tableColumn id="8" xr3:uid="{8C7A8ADD-D2EC-5A4F-8FD8-D67A6400B41B}" name="Tecken" dataDxfId="183">
      <calculatedColumnFormula>IF(OR(F4="",G4=""),"",IF(F4&gt;G4,"1",IF(F4&lt;G4,"2","X")))</calculatedColumnFormula>
    </tableColumn>
    <tableColumn id="9" xr3:uid="{71A7C4FB-D6CE-054A-87FC-F9FEF4681020}" name="Poäng mål" dataDxfId="182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BB3649B4-2F4A-FC47-BA49-4CF2DB99D797}" name="Poäng tecken" dataDxfId="181">
      <calculatedColumnFormula>IF(OR(H4="",'📊 Resultat &amp; Tabell'!M5=""),"",IF(H4='📊 Resultat &amp; Tabell'!M5,2,0))</calculatedColumnFormula>
    </tableColumn>
    <tableColumn id="11" xr3:uid="{DD910C77-A450-D142-83FB-F165E8AE7C9B}" name="Poäng totalt" dataDxfId="180">
      <calculatedColumnFormula>IF(AND(I4="",J4=""),"",N(I4)+N(J4))</calculatedColumnFormula>
    </tableColumn>
    <tableColumn id="12" xr3:uid="{71D350A7-0D30-EA42-9DFF-E7B0794289D5}" name="Tippad grupptabell" dataDxfId="179"/>
    <tableColumn id="13" xr3:uid="{EBCC5348-F4C8-FA41-B098-0D283D4A88A5}" name=" " dataDxfId="178"/>
    <tableColumn id="14" xr3:uid="{55415B85-E611-6345-A1DB-F11161A3B3A4}" name=" 2" dataDxfId="177"/>
    <tableColumn id="15" xr3:uid="{BCE2CD89-3E7A-DD4B-8489-038A4F278858}" name=" 3" dataDxfId="176"/>
    <tableColumn id="16" xr3:uid="{CA06BBEB-9D5D-C249-97FB-9656BCBC6533}" name=" 4" dataDxfId="175"/>
    <tableColumn id="17" xr3:uid="{EF16AA14-535C-7F45-BB4A-9BE0E1125EAC}" name=" 5" dataDxfId="174"/>
    <tableColumn id="18" xr3:uid="{70EEB9ED-CF37-BC49-A1E3-4FEFAEBA1E3F}" name=" 6" dataDxfId="173"/>
    <tableColumn id="19" xr3:uid="{BA4F5A83-B71E-5D46-8889-216C230680FA}" name=" 7" dataDxfId="172"/>
    <tableColumn id="20" xr3:uid="{EF5156D9-7152-634F-94D7-2761011805C4}" name=" 8" dataDxfId="171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88CD1AA-453A-475C-8BDB-54863BDD4F17}" name="TipsMatcher11" displayName="TipsMatcher11" ref="A3:T107">
  <autoFilter ref="A3:T107" xr:uid="{688CD1AA-453A-475C-8BDB-54863BDD4F17}"/>
  <tableColumns count="20">
    <tableColumn id="1" xr3:uid="{739D99B9-6D7F-4749-A85F-9968CC4FB351}" name="Matchnr"/>
    <tableColumn id="2" xr3:uid="{3F292084-2210-41DB-8627-0491799DC5BD}" name="Fas" dataDxfId="170"/>
    <tableColumn id="3" xr3:uid="{3DA77D67-A47B-404A-81A3-2A6478DB8FA0}" name="Grupp" dataDxfId="169"/>
    <tableColumn id="4" xr3:uid="{B731B913-DCD6-4E18-9377-A8BE4FDB5B77}" name="Hemmalag" dataDxfId="168"/>
    <tableColumn id="5" xr3:uid="{8FBC357D-D220-4FA4-A341-AD6F97DFA04B}" name="Bortalag" dataDxfId="167"/>
    <tableColumn id="6" xr3:uid="{87812A4E-47F8-4048-BF33-7DC2300E64C1}" name="Tips H" dataDxfId="166"/>
    <tableColumn id="7" xr3:uid="{61C6DA72-4857-45A2-9DF5-35F0F00A987A}" name="Tips B" dataDxfId="165"/>
    <tableColumn id="8" xr3:uid="{7FC5A9F8-B0D5-44A0-90B1-1F9EF5614EF9}" name="Tecken" dataDxfId="164">
      <calculatedColumnFormula>IF(OR(F4="",G4=""),"",IF(F4&gt;G4,"1",IF(F4&lt;G4,"2","X")))</calculatedColumnFormula>
    </tableColumn>
    <tableColumn id="9" xr3:uid="{361C0193-8CA7-428E-8D93-82447098071F}" name="Poäng mål" dataDxfId="163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E843D1CB-5447-43D1-AFFB-103D29E98657}" name="Poäng tecken" dataDxfId="162">
      <calculatedColumnFormula>IF(OR(H4="",'📊 Resultat &amp; Tabell'!M5=""),"",IF(H4='📊 Resultat &amp; Tabell'!M5,2,0))</calculatedColumnFormula>
    </tableColumn>
    <tableColumn id="11" xr3:uid="{B436B181-534B-47F2-B73D-431512AF874B}" name="Poäng totalt" dataDxfId="161">
      <calculatedColumnFormula>IF(AND(I4="",J4=""),"",N(I4)+N(J4))</calculatedColumnFormula>
    </tableColumn>
    <tableColumn id="12" xr3:uid="{52EA0571-9422-44EF-BA50-4A06D5557BB2}" name="Tippad grupptabell" dataDxfId="160"/>
    <tableColumn id="13" xr3:uid="{00B408C6-75F4-4F82-8276-E5E73B8F25F5}" name=" " dataDxfId="159"/>
    <tableColumn id="14" xr3:uid="{EE75A79F-FD47-4AE1-A6CA-05B56B7AD81E}" name=" 2" dataDxfId="158"/>
    <tableColumn id="15" xr3:uid="{3E9B7494-846A-4997-AC15-69E30D7CF068}" name=" 3" dataDxfId="157"/>
    <tableColumn id="16" xr3:uid="{51792627-FF7D-4B7E-A602-1F77723F4A26}" name=" 4" dataDxfId="156"/>
    <tableColumn id="17" xr3:uid="{1B68C680-AEF1-40AC-AA8D-8D91D28A44FB}" name=" 5" dataDxfId="155"/>
    <tableColumn id="18" xr3:uid="{9074CFA5-2123-42AC-8693-5FA7A5E7BA66}" name=" 6" dataDxfId="154"/>
    <tableColumn id="19" xr3:uid="{FA302946-0C23-468A-AEBD-90A78F3737B6}" name=" 7" dataDxfId="153"/>
    <tableColumn id="20" xr3:uid="{FDC48EF4-6AC3-445B-947B-FCAD5E443D05}" name=" 8" dataDxfId="15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4C2148-1F7D-4DD7-A970-DE257993D73A}" name="TipsMatcher12" displayName="TipsMatcher12" ref="A3:T107">
  <autoFilter ref="A3:T107" xr:uid="{484C2148-1F7D-4DD7-A970-DE257993D73A}"/>
  <tableColumns count="20">
    <tableColumn id="1" xr3:uid="{7D8051A2-019C-4E78-A26C-1603F52A35DA}" name="Matchnr"/>
    <tableColumn id="2" xr3:uid="{51C07D27-AABC-46A2-AABC-C726934033EC}" name="Fas" dataDxfId="151"/>
    <tableColumn id="3" xr3:uid="{5F1AEE4B-706B-4AD6-80DE-7CFFC68FE427}" name="Grupp" dataDxfId="150"/>
    <tableColumn id="4" xr3:uid="{99942F2B-8F99-406B-9BBD-A4F6F7B0F0D5}" name="Hemmalag" dataDxfId="149"/>
    <tableColumn id="5" xr3:uid="{7B31FF71-DB20-486F-8852-804896504D8B}" name="Bortalag" dataDxfId="148"/>
    <tableColumn id="6" xr3:uid="{9788B773-FF7E-48F2-B3AB-079890E6671A}" name="Tips H" dataDxfId="147"/>
    <tableColumn id="7" xr3:uid="{348B27E3-E9C6-44EA-B8EC-D12769B6A8FA}" name="Tips B" dataDxfId="146"/>
    <tableColumn id="8" xr3:uid="{B98DE038-E617-4422-8FA4-96D6D94D4FC7}" name="Tecken" dataDxfId="145">
      <calculatedColumnFormula>IF(OR(F4="",G4=""),"",IF(F4&gt;G4,"1",IF(F4&lt;G4,"2","X")))</calculatedColumnFormula>
    </tableColumn>
    <tableColumn id="9" xr3:uid="{36714E88-5491-42AB-B866-3820227396AB}" name="Poäng mål" dataDxfId="144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E5FF5C93-AE23-4879-8A95-7BDF9D7891A6}" name="Poäng tecken" dataDxfId="143">
      <calculatedColumnFormula>IF(OR(H4="",'📊 Resultat &amp; Tabell'!M5=""),"",IF(H4='📊 Resultat &amp; Tabell'!M5,2,0))</calculatedColumnFormula>
    </tableColumn>
    <tableColumn id="11" xr3:uid="{C496FCC6-70D8-4756-9661-BBB81511B028}" name="Poäng totalt" dataDxfId="142">
      <calculatedColumnFormula>IF(AND(I4="",J4=""),"",N(I4)+N(J4))</calculatedColumnFormula>
    </tableColumn>
    <tableColumn id="12" xr3:uid="{96FF48DD-3499-4E3E-BAAD-0E7C01ABAD64}" name="Tippad grupptabell" dataDxfId="141"/>
    <tableColumn id="13" xr3:uid="{C24591E5-E517-4E4D-9A11-9BF75539839B}" name=" " dataDxfId="140"/>
    <tableColumn id="14" xr3:uid="{DD66F31F-0034-4B72-A257-D29B06E513E9}" name=" 2" dataDxfId="139"/>
    <tableColumn id="15" xr3:uid="{BDB8BA09-50F9-4740-BC44-33D766205D17}" name=" 3" dataDxfId="138"/>
    <tableColumn id="16" xr3:uid="{3E13FB8B-112E-453D-B5F8-625272C398F7}" name=" 4" dataDxfId="137"/>
    <tableColumn id="17" xr3:uid="{78ECEA63-7B9A-4A6B-A52E-25AE065D4509}" name=" 5" dataDxfId="136"/>
    <tableColumn id="18" xr3:uid="{59E4D9CE-57DB-44C6-8225-2D60525905AE}" name=" 6" dataDxfId="135"/>
    <tableColumn id="19" xr3:uid="{B535C872-D7A3-4406-A497-9F4DF9FF6124}" name=" 7" dataDxfId="134"/>
    <tableColumn id="20" xr3:uid="{E5B32287-54EB-45B7-8A65-76DC98BA7EFC}" name=" 8" dataDxfId="13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B3E2108-86D6-4E40-891C-019E96C6662A}" name="TipsMatcher14" displayName="TipsMatcher14" ref="A3:T107">
  <autoFilter ref="A3:T107" xr:uid="{7B3E2108-86D6-4E40-891C-019E96C6662A}"/>
  <tableColumns count="20">
    <tableColumn id="1" xr3:uid="{DDE215D8-BEDF-402E-81C3-2C8C4D47A020}" name="Matchnr"/>
    <tableColumn id="2" xr3:uid="{BD656CE2-F0C0-419B-8E7B-63F23CEBAED1}" name="Fas" dataDxfId="132"/>
    <tableColumn id="3" xr3:uid="{F5CD2554-FDB1-4B00-A898-192DF6B2CD45}" name="Grupp" dataDxfId="131"/>
    <tableColumn id="4" xr3:uid="{15095BDB-C6B0-4F5D-8AED-4A61F3D55307}" name="Hemmalag" dataDxfId="130"/>
    <tableColumn id="5" xr3:uid="{09D46DBC-1362-4137-974F-94DD721A127B}" name="Bortalag" dataDxfId="129"/>
    <tableColumn id="6" xr3:uid="{13C500E4-47E3-4DAB-A078-66A2373FDD72}" name="Tips H" dataDxfId="128"/>
    <tableColumn id="7" xr3:uid="{69DA98B3-D991-412A-98FF-F09D83B55EE5}" name="Tips B" dataDxfId="127"/>
    <tableColumn id="8" xr3:uid="{EA1816BA-53BD-4C4E-A56A-FE2BDF3563C7}" name="Tecken" dataDxfId="126">
      <calculatedColumnFormula>IF(OR(F4="",G4=""),"",IF(F4&gt;G4,"1",IF(F4&lt;G4,"2","X")))</calculatedColumnFormula>
    </tableColumn>
    <tableColumn id="9" xr3:uid="{854547F9-A4D8-4BA3-9EE8-D3A3CA5EAC5C}" name="Poäng mål" dataDxfId="125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380CC239-1C25-456C-8F35-EBD1C5ABA42A}" name="Poäng tecken" dataDxfId="124">
      <calculatedColumnFormula>IF(OR(H4="",'📊 Resultat &amp; Tabell'!M5=""),"",IF(H4='📊 Resultat &amp; Tabell'!M5,2,0))</calculatedColumnFormula>
    </tableColumn>
    <tableColumn id="11" xr3:uid="{C6E3DEBB-E33C-4BBB-8817-EF4920F76E7B}" name="Poäng totalt" dataDxfId="123">
      <calculatedColumnFormula>IF(AND(I4="",J4=""),"",N(I4)+N(J4))</calculatedColumnFormula>
    </tableColumn>
    <tableColumn id="12" xr3:uid="{C94CABFA-0883-41C8-8A91-F7A9D97C5D48}" name="Tippad grupptabell" dataDxfId="122"/>
    <tableColumn id="13" xr3:uid="{3D56C856-9A58-45F0-9897-D83D1C23CE7A}" name=" " dataDxfId="121"/>
    <tableColumn id="14" xr3:uid="{9FE27C5A-6313-499D-8703-0AE9D003AD11}" name=" 2" dataDxfId="120"/>
    <tableColumn id="15" xr3:uid="{5DD77D24-192D-4639-B4FB-FDE94998F55F}" name=" 3" dataDxfId="119"/>
    <tableColumn id="16" xr3:uid="{66940FE6-C550-45DF-9F03-54A71CAFFC70}" name=" 4" dataDxfId="118"/>
    <tableColumn id="17" xr3:uid="{F8C45F05-EE3B-4056-84EA-C2B5847C6D25}" name=" 5" dataDxfId="117"/>
    <tableColumn id="18" xr3:uid="{D9D37D0C-7150-4E3B-A310-FD7C36E6F063}" name=" 6" dataDxfId="116"/>
    <tableColumn id="19" xr3:uid="{AE9231A2-CEDA-4B57-8ECF-79B042F0666D}" name=" 7" dataDxfId="115"/>
    <tableColumn id="20" xr3:uid="{905E05D0-60A0-4842-892D-1ECA296A7C88}" name=" 8" dataDxfId="11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9F18F7B-AD4D-4D1C-8598-48A13FF7033E}" name="TipsMatcher18" displayName="TipsMatcher18" ref="A3:T107">
  <autoFilter ref="A3:T107" xr:uid="{09F18F7B-AD4D-4D1C-8598-48A13FF7033E}"/>
  <tableColumns count="20">
    <tableColumn id="1" xr3:uid="{F1D30FAC-204F-4C09-8750-F75D774AB209}" name="Matchnr"/>
    <tableColumn id="2" xr3:uid="{5650F6BD-F9D4-416B-AC7C-6D2651E2DDD0}" name="Fas" dataDxfId="113"/>
    <tableColumn id="3" xr3:uid="{0A7443BC-F25E-4A88-BEF1-971BB6540CAB}" name="Grupp" dataDxfId="112"/>
    <tableColumn id="4" xr3:uid="{973B4D24-5278-4D46-BF00-747CBD533537}" name="Hemmalag" dataDxfId="111"/>
    <tableColumn id="5" xr3:uid="{C4672F49-AE37-4D92-B3BF-31B60F21B564}" name="Bortalag" dataDxfId="110"/>
    <tableColumn id="6" xr3:uid="{60319018-D0DC-4465-B530-C5E53CABACFB}" name="Tips H" dataDxfId="109"/>
    <tableColumn id="7" xr3:uid="{EE65DF7F-CDD3-4434-9877-A5699213B7DD}" name="Tips B" dataDxfId="108"/>
    <tableColumn id="8" xr3:uid="{721FECE3-D39C-40FA-9EBB-83A144F1BE9D}" name="Tecken" dataDxfId="107">
      <calculatedColumnFormula>IF(OR(F4="",G4=""),"",IF(F4&gt;G4,"1",IF(F4&lt;G4,"2","X")))</calculatedColumnFormula>
    </tableColumn>
    <tableColumn id="9" xr3:uid="{68944EA3-0A31-4BF8-B1E9-D3C0286E4834}" name="Poäng mål" dataDxfId="106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84709064-9DD5-4711-BD72-2DF6C670DE83}" name="Poäng tecken" dataDxfId="105">
      <calculatedColumnFormula>IF(OR(H4="",'📊 Resultat &amp; Tabell'!M5=""),"",IF(H4='📊 Resultat &amp; Tabell'!M5,2,0))</calculatedColumnFormula>
    </tableColumn>
    <tableColumn id="11" xr3:uid="{1784584F-C836-4615-A5AE-C87C5AE0537A}" name="Poäng totalt" dataDxfId="104">
      <calculatedColumnFormula>IF(AND(I4="",J4=""),"",N(I4)+N(J4))</calculatedColumnFormula>
    </tableColumn>
    <tableColumn id="12" xr3:uid="{17AECE8A-7875-4346-AF9E-F10B1C79E3B7}" name="Tippad grupptabell" dataDxfId="103"/>
    <tableColumn id="13" xr3:uid="{8F448AEE-45D4-44A3-B513-FF2E62723F93}" name=" " dataDxfId="102"/>
    <tableColumn id="14" xr3:uid="{8DE33989-B251-41FC-9360-36AAD68B33A8}" name=" 2" dataDxfId="101"/>
    <tableColumn id="15" xr3:uid="{8A2A4EEE-6C0C-46E0-BD6A-19D27233A735}" name=" 3" dataDxfId="100"/>
    <tableColumn id="16" xr3:uid="{5662C2F2-E5F3-46AF-BA0A-EC2252DE6550}" name=" 4" dataDxfId="99"/>
    <tableColumn id="17" xr3:uid="{94F24122-2553-425E-AC8A-5A3693B5B3E9}" name=" 5" dataDxfId="98"/>
    <tableColumn id="18" xr3:uid="{53803D3D-1427-4478-95F1-D49599E95AA6}" name=" 6" dataDxfId="97"/>
    <tableColumn id="19" xr3:uid="{F4EC5DB4-B4D0-4116-AFFE-F5C685A7035F}" name=" 7" dataDxfId="96"/>
    <tableColumn id="20" xr3:uid="{86281AEA-1E01-4A1F-B17F-885C1BCA5703}" name=" 8" dataDxfId="9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952BAAF9-AFF0-4C5A-B82D-1DB9FA0863B9}" name="TipsMatcher19" displayName="TipsMatcher19" ref="A3:T107">
  <autoFilter ref="A3:T107" xr:uid="{952BAAF9-AFF0-4C5A-B82D-1DB9FA0863B9}"/>
  <tableColumns count="20">
    <tableColumn id="1" xr3:uid="{F7940D51-2001-4B14-B46B-C52145702A16}" name="Matchnr"/>
    <tableColumn id="2" xr3:uid="{F55812A1-E51B-45E5-A67E-17B04568F51F}" name="Fas" dataDxfId="94"/>
    <tableColumn id="3" xr3:uid="{6CF7246F-C492-4762-B2B9-4860A492F635}" name="Grupp" dataDxfId="93"/>
    <tableColumn id="4" xr3:uid="{1BDD9C6C-7810-4716-9ED5-603C8CE4A27D}" name="Hemmalag" dataDxfId="92"/>
    <tableColumn id="5" xr3:uid="{20CCCAA8-17C0-4C5D-BF76-F124CDF9619F}" name="Bortalag" dataDxfId="91"/>
    <tableColumn id="6" xr3:uid="{5219D14D-4CFE-4DA9-A8B9-9A118D2CACC9}" name="Tips H" dataDxfId="90"/>
    <tableColumn id="7" xr3:uid="{EB7E0B50-AFC0-47DC-8B1E-6C6C0A284A07}" name="Tips B" dataDxfId="89"/>
    <tableColumn id="8" xr3:uid="{4B162465-8A67-4B8C-933A-24736CDDBBFB}" name="Tecken" dataDxfId="88">
      <calculatedColumnFormula>IF(OR(F4="",G4=""),"",IF(F4&gt;G4,"1",IF(F4&lt;G4,"2","X")))</calculatedColumnFormula>
    </tableColumn>
    <tableColumn id="9" xr3:uid="{6A9CA723-D3FA-4702-A341-5DE0A02468C7}" name="Poäng mål" dataDxfId="87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69CC5E59-54CA-4EF6-912E-CAAD06BB5CBA}" name="Poäng tecken" dataDxfId="86">
      <calculatedColumnFormula>IF(OR(H4="",'📊 Resultat &amp; Tabell'!M5=""),"",IF(H4='📊 Resultat &amp; Tabell'!M5,2,0))</calculatedColumnFormula>
    </tableColumn>
    <tableColumn id="11" xr3:uid="{8F1C9EB5-D246-4D17-89D9-723202956A62}" name="Poäng totalt" dataDxfId="85">
      <calculatedColumnFormula>IF(AND(I4="",J4=""),"",N(I4)+N(J4))</calculatedColumnFormula>
    </tableColumn>
    <tableColumn id="12" xr3:uid="{DC152566-85DD-4D01-AEDD-585C40F06923}" name="Tippad grupptabell" dataDxfId="84"/>
    <tableColumn id="13" xr3:uid="{5D05E603-726C-4806-B389-B317639492C5}" name=" " dataDxfId="83"/>
    <tableColumn id="14" xr3:uid="{39CBA384-CDEE-4518-8BBC-4CAAECC829E3}" name=" 2" dataDxfId="82"/>
    <tableColumn id="15" xr3:uid="{83550AA0-7BAE-443E-ACEF-9C2AD3173428}" name=" 3" dataDxfId="81"/>
    <tableColumn id="16" xr3:uid="{2021895B-2850-4380-BDE1-B3B95337B04C}" name=" 4" dataDxfId="80"/>
    <tableColumn id="17" xr3:uid="{3A76C4A8-600B-47E6-B9E4-B9DEB3150CBB}" name=" 5" dataDxfId="79"/>
    <tableColumn id="18" xr3:uid="{CF9A5D5F-324C-4D37-BDEC-A96E9B1E1606}" name=" 6" dataDxfId="78"/>
    <tableColumn id="19" xr3:uid="{67AF80AA-8CB4-4CCE-BDC4-1447C2ECDA14}" name=" 7" dataDxfId="77"/>
    <tableColumn id="20" xr3:uid="{E8DCF157-99B0-4C39-9418-956F88E55B5C}" name=" 8" dataDxfId="7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BB5C6C3-8697-45D5-B1C1-1F9DABA50B36}" name="TipsMatcher17" displayName="TipsMatcher17" ref="A3:T107">
  <autoFilter ref="A3:T107" xr:uid="{3BB5C6C3-8697-45D5-B1C1-1F9DABA50B36}"/>
  <tableColumns count="20">
    <tableColumn id="1" xr3:uid="{0E41B1CC-F44D-4E51-84A2-B254A4F2E0F5}" name="Matchnr"/>
    <tableColumn id="2" xr3:uid="{AF404BE5-365A-465B-B9E6-1DE8B0FA11EC}" name="Fas" dataDxfId="75"/>
    <tableColumn id="3" xr3:uid="{8C1EEE3C-B804-423C-BE7B-2A2133F7A08A}" name="Grupp" dataDxfId="74"/>
    <tableColumn id="4" xr3:uid="{AB5C93C8-A274-411B-98EA-B5144073F32C}" name="Hemmalag" dataDxfId="73"/>
    <tableColumn id="5" xr3:uid="{F232FC13-4AC2-4582-AB2C-FBA13C9FDFC0}" name="Bortalag" dataDxfId="72"/>
    <tableColumn id="6" xr3:uid="{BDE571D1-CE29-4BB8-A5AD-E21FB43D9EB5}" name="Tips H" dataDxfId="71"/>
    <tableColumn id="7" xr3:uid="{31184042-FBC6-4222-87BA-88122D51EEAB}" name="Tips B" dataDxfId="70"/>
    <tableColumn id="8" xr3:uid="{7A1601EE-9EEB-41B0-B7FE-A7D5B68F7241}" name="Tecken" dataDxfId="69">
      <calculatedColumnFormula>IF(OR(F4="",G4=""),"",IF(F4&gt;G4,"1",IF(F4&lt;G4,"2","X")))</calculatedColumnFormula>
    </tableColumn>
    <tableColumn id="9" xr3:uid="{DB3309B4-3C11-48BF-8642-E7E18A11FBC1}" name="Poäng mål" dataDxfId="68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F292E04D-C161-4242-89EE-2A4AA1993512}" name="Poäng tecken" dataDxfId="67">
      <calculatedColumnFormula>IF(OR(H4="",'📊 Resultat &amp; Tabell'!M5=""),"",IF(H4='📊 Resultat &amp; Tabell'!M5,2,0))</calculatedColumnFormula>
    </tableColumn>
    <tableColumn id="11" xr3:uid="{3417BB56-4954-4588-8ED3-EEC4FF7450CD}" name="Poäng totalt" dataDxfId="66">
      <calculatedColumnFormula>IF(AND(I4="",J4=""),"",N(I4)+N(J4))</calculatedColumnFormula>
    </tableColumn>
    <tableColumn id="12" xr3:uid="{D1A87DA0-5A27-40A8-B993-D11C7E998D19}" name="Tippad grupptabell" dataDxfId="65"/>
    <tableColumn id="13" xr3:uid="{0B72D29E-A30C-4C41-B474-18E6E000662E}" name=" " dataDxfId="64"/>
    <tableColumn id="14" xr3:uid="{3F830B6F-522C-4345-A04C-C25E4EAC3109}" name=" 2" dataDxfId="63"/>
    <tableColumn id="15" xr3:uid="{7EC1A8EF-08EA-465D-B136-C1740125379A}" name=" 3" dataDxfId="62"/>
    <tableColumn id="16" xr3:uid="{DD6D5578-2F7D-4A9C-BAB8-25E8FC08FC52}" name=" 4" dataDxfId="61"/>
    <tableColumn id="17" xr3:uid="{59EC2209-BC13-43A5-91BC-B66738D25516}" name=" 5" dataDxfId="60"/>
    <tableColumn id="18" xr3:uid="{7D2019E9-8E5E-4AF7-B8DB-9A56FB1A6461}" name=" 6" dataDxfId="59"/>
    <tableColumn id="19" xr3:uid="{617EA775-2765-498A-BB1D-1ED59893F83D}" name=" 7" dataDxfId="58"/>
    <tableColumn id="20" xr3:uid="{0C717410-28BB-49FE-9B26-17947173D769}" name=" 8" dataDxfId="5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9907BD0-C6AB-9F41-83F3-AA80618A582C}" name="TipsMatcher7" displayName="TipsMatcher7" ref="A3:T107">
  <autoFilter ref="A3:T107" xr:uid="{00000000-0009-0000-0100-000004000000}"/>
  <tableColumns count="20">
    <tableColumn id="1" xr3:uid="{6F56D030-3804-8743-B216-EE80053F1E6F}" name="Matchnr"/>
    <tableColumn id="2" xr3:uid="{9038460F-F553-D346-A025-5B59BB628FE6}" name="Fas" dataDxfId="56"/>
    <tableColumn id="3" xr3:uid="{8B34455C-D603-824F-B157-4837F24CF0F8}" name="Grupp" dataDxfId="55"/>
    <tableColumn id="4" xr3:uid="{53E69645-D8F7-5446-B1EF-909297397120}" name="Hemmalag" dataDxfId="54"/>
    <tableColumn id="5" xr3:uid="{9BF1B7C5-995F-1B47-94A3-79AFF4D3DFED}" name="Bortalag" dataDxfId="53"/>
    <tableColumn id="6" xr3:uid="{9A9844D8-D1DC-AE49-8C2A-36601F765E0F}" name="Tips H" dataDxfId="52"/>
    <tableColumn id="7" xr3:uid="{B2AA7525-31F1-2A4E-A727-DB9CA457C3F0}" name="Tips B" dataDxfId="51"/>
    <tableColumn id="8" xr3:uid="{C93BA5B8-6E34-2240-8C89-8EE565CA5C89}" name="Tecken" dataDxfId="50">
      <calculatedColumnFormula>IF(OR(F4="",G4=""),"",IF(F4&gt;G4,"1",IF(F4&lt;G4,"2","X")))</calculatedColumnFormula>
    </tableColumn>
    <tableColumn id="9" xr3:uid="{ED07CF4E-5226-964D-A972-CC738B5C7BBC}" name="Poäng mål" dataDxfId="49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0F69FE75-B8F5-1941-914A-23190D9D8888}" name="Poäng tecken" dataDxfId="48">
      <calculatedColumnFormula>IF(OR(H4="",'📊 Resultat &amp; Tabell'!M5=""),"",IF(H4='📊 Resultat &amp; Tabell'!M5,2,0))</calculatedColumnFormula>
    </tableColumn>
    <tableColumn id="11" xr3:uid="{FE066FF3-4D79-E24E-B1FB-06B4B7AC627F}" name="Poäng totalt" dataDxfId="47">
      <calculatedColumnFormula>IF(AND(I4="",J4=""),"",N(I4)+N(J4))</calculatedColumnFormula>
    </tableColumn>
    <tableColumn id="12" xr3:uid="{FCE2FA3D-45EC-304B-8F21-0869E62CDA5B}" name="Tippad grupptabell" dataDxfId="46"/>
    <tableColumn id="13" xr3:uid="{6E1A8142-B8B2-114C-885A-7A2FE1A4A50D}" name=" " dataDxfId="45"/>
    <tableColumn id="14" xr3:uid="{71F9CE35-790A-554C-98F6-4324C5919358}" name=" 2" dataDxfId="44"/>
    <tableColumn id="15" xr3:uid="{A3B2DF9F-8D50-BB49-B551-3C57736D8338}" name=" 3" dataDxfId="43"/>
    <tableColumn id="16" xr3:uid="{27B593AC-3902-A044-8459-E099B69633F2}" name=" 4" dataDxfId="42"/>
    <tableColumn id="17" xr3:uid="{FD82B149-12E5-EA4B-BD60-B0CD4077F528}" name=" 5" dataDxfId="41"/>
    <tableColumn id="18" xr3:uid="{162B0D33-46BC-7849-AA39-014E531A9FDB}" name=" 6" dataDxfId="40"/>
    <tableColumn id="19" xr3:uid="{F8CC1BE5-AC97-9246-B949-18D1280623D4}" name=" 7" dataDxfId="39"/>
    <tableColumn id="20" xr3:uid="{139F1B5F-10D3-FD41-B07A-2D656F3B3C5F}" name=" 8" dataDxfId="3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34974A7-D2FF-4FBF-91D7-AAF6C6C739E0}" name="TipsMatcher13" displayName="TipsMatcher13" ref="A3:T107">
  <autoFilter ref="A3:T107" xr:uid="{F34974A7-D2FF-4FBF-91D7-AAF6C6C739E0}"/>
  <tableColumns count="20">
    <tableColumn id="1" xr3:uid="{12B39C95-B4EB-47A3-997C-3BD42014BCA9}" name="Matchnr"/>
    <tableColumn id="2" xr3:uid="{C2CA132B-6FBB-43B6-9D61-C5E697016E52}" name="Fas" dataDxfId="37"/>
    <tableColumn id="3" xr3:uid="{807FEB90-9315-4385-9218-C90654167437}" name="Grupp" dataDxfId="36"/>
    <tableColumn id="4" xr3:uid="{112BCC44-957D-42F4-B7DB-AA7E79095444}" name="Hemmalag" dataDxfId="35"/>
    <tableColumn id="5" xr3:uid="{2C35A5A7-EF3F-4D9D-B32A-B0D2BCC68136}" name="Bortalag" dataDxfId="34"/>
    <tableColumn id="6" xr3:uid="{66CAB0B8-8BEE-4D41-B511-6776C01F2D7F}" name="Tips H" dataDxfId="33"/>
    <tableColumn id="7" xr3:uid="{11C6969F-0231-4A40-9D0F-AC54C8E4C8DD}" name="Tips B" dataDxfId="32"/>
    <tableColumn id="8" xr3:uid="{D8824DB2-65B3-48D4-B9A4-4B104FF07A5E}" name="Tecken" dataDxfId="31">
      <calculatedColumnFormula>IF(OR(F4="",G4=""),"",IF(F4&gt;G4,"1",IF(F4&lt;G4,"2","X")))</calculatedColumnFormula>
    </tableColumn>
    <tableColumn id="9" xr3:uid="{09D5CB54-C4A0-4C28-A5BB-E681CF512933}" name="Poäng mål" dataDxfId="30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BC33B772-C21C-4564-AF5A-B537814873ED}" name="Poäng tecken" dataDxfId="29">
      <calculatedColumnFormula>IF(OR(H4="",'📊 Resultat &amp; Tabell'!M5=""),"",IF(H4='📊 Resultat &amp; Tabell'!M5,2,0))</calculatedColumnFormula>
    </tableColumn>
    <tableColumn id="11" xr3:uid="{195FB8A3-0014-47DD-858E-34AF261056F7}" name="Poäng totalt" dataDxfId="28">
      <calculatedColumnFormula>IF(AND(I4="",J4=""),"",N(I4)+N(J4))</calculatedColumnFormula>
    </tableColumn>
    <tableColumn id="12" xr3:uid="{1611113E-DA7A-4399-9D39-9CC496A93F20}" name="Tippad grupptabell" dataDxfId="27"/>
    <tableColumn id="13" xr3:uid="{8A1C0016-DEDD-4985-B12A-F1473992F3AE}" name=" " dataDxfId="26"/>
    <tableColumn id="14" xr3:uid="{A24F1D80-2E88-49DD-BBCE-1E13903E5FF0}" name=" 2" dataDxfId="25"/>
    <tableColumn id="15" xr3:uid="{E870E1E4-2E57-4CA6-A0A0-D2183A511FCC}" name=" 3" dataDxfId="24"/>
    <tableColumn id="16" xr3:uid="{0B8FEDF2-3432-4379-A108-C48E29E7BBFE}" name=" 4" dataDxfId="23"/>
    <tableColumn id="17" xr3:uid="{498ACC86-6F33-48D4-B96B-C60FDF7435D4}" name=" 5" dataDxfId="22"/>
    <tableColumn id="18" xr3:uid="{3FD2551F-B0B3-4C47-BE38-4E5973C6B32B}" name=" 6" dataDxfId="21"/>
    <tableColumn id="19" xr3:uid="{0A2F9AA0-CD45-473E-B888-AE1F756AD2A9}" name=" 7" dataDxfId="20"/>
    <tableColumn id="20" xr3:uid="{27182B2E-E84D-473C-B509-2C77B669E271}" name=" 8" dataDxfId="19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D43524-FB8F-4AE3-B634-5733879BB882}" name="TipsMatcher20" displayName="TipsMatcher20" ref="A3:T107">
  <autoFilter ref="A3:T107" xr:uid="{00000000-0009-0000-0100-000004000000}"/>
  <tableColumns count="20">
    <tableColumn id="1" xr3:uid="{F6B7894B-4A49-40C5-98B4-AC530516C4CF}" name="Matchnr"/>
    <tableColumn id="2" xr3:uid="{889CDB60-33C2-4B82-B30B-8B3F4F2475FE}" name="Fas" dataDxfId="18"/>
    <tableColumn id="3" xr3:uid="{DDD13225-E0D6-4362-BEC2-B547636FE92D}" name="Grupp" dataDxfId="17"/>
    <tableColumn id="4" xr3:uid="{DB1E34A3-CE5E-45A6-B4B3-CC80E7AD6366}" name="Hemmalag" dataDxfId="16"/>
    <tableColumn id="5" xr3:uid="{79F048BA-42D2-4FF9-BED5-122C6597A32C}" name="Bortalag" dataDxfId="15"/>
    <tableColumn id="6" xr3:uid="{AE2100B1-BEDB-435D-AA0D-1EA2611F1990}" name="Tips H" dataDxfId="14"/>
    <tableColumn id="7" xr3:uid="{CE505076-C78D-4BDC-8E2E-A352C20E8B3C}" name="Tips B" dataDxfId="13"/>
    <tableColumn id="8" xr3:uid="{D7327CC6-A388-4357-B9DD-A9B79464710E}" name="Tecken" dataDxfId="12">
      <calculatedColumnFormula>IF(OR(F4="",G4=""),"",IF(F4&gt;G4,"1",IF(F4&lt;G4,"2","X")))</calculatedColumnFormula>
    </tableColumn>
    <tableColumn id="9" xr3:uid="{43972C8E-E1DF-4CEE-B17E-7A381C364A5E}" name="Poäng mål" dataDxfId="11">
      <calculatedColumnFormula>IF(OR(F4="",G4="",'📊 Resultat &amp; Tabell'!K5="",'📊 Resultat &amp; Tabell'!L5=""),"",IF(F4='📊 Resultat &amp; Tabell'!K5,2,0)+IF(G4='📊 Resultat &amp; Tabell'!L5,2,0))</calculatedColumnFormula>
    </tableColumn>
    <tableColumn id="10" xr3:uid="{2AD69BBB-88B7-49E7-B22B-BCE1C2A21DBE}" name="Poäng tecken" dataDxfId="10">
      <calculatedColumnFormula>IF(OR(H4="",'📊 Resultat &amp; Tabell'!M5=""),"",IF(H4='📊 Resultat &amp; Tabell'!M5,2,0))</calculatedColumnFormula>
    </tableColumn>
    <tableColumn id="11" xr3:uid="{759CA86E-FE3C-43C4-BE7F-9D131CB46330}" name="Poäng totalt" dataDxfId="9">
      <calculatedColumnFormula>IF(AND(I4="",J4=""),"",N(I4)+N(J4))</calculatedColumnFormula>
    </tableColumn>
    <tableColumn id="12" xr3:uid="{0B1D6818-B85E-4110-82F4-B2FD6A151234}" name="Tippad grupptabell" dataDxfId="8"/>
    <tableColumn id="13" xr3:uid="{F5195F29-9E74-49F5-A8DF-2D71C4E37385}" name=" " dataDxfId="7"/>
    <tableColumn id="14" xr3:uid="{12F05ED8-6A52-4035-87BE-7CB675BDFDDC}" name=" 2" dataDxfId="6"/>
    <tableColumn id="15" xr3:uid="{9F74BD9E-E32B-4CB6-BC40-65126F539819}" name=" 3" dataDxfId="5"/>
    <tableColumn id="16" xr3:uid="{971568CF-E8FB-4307-8B3D-48CDF81A39DB}" name=" 4" dataDxfId="4"/>
    <tableColumn id="17" xr3:uid="{B67B8C12-D4E7-4B6D-9509-1A74AC7D33EB}" name=" 5" dataDxfId="3"/>
    <tableColumn id="18" xr3:uid="{7204583F-2B36-4A15-ADAE-2509114C5A64}" name=" 6" dataDxfId="2"/>
    <tableColumn id="19" xr3:uid="{6F351C21-A8D5-45E0-B6F5-752C2BA17CDB}" name=" 7" dataDxfId="1"/>
    <tableColumn id="20" xr3:uid="{A87140AC-6A5E-4443-AC60-DCE79B86C782}" name=" 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3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7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2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1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6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5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4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9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=OMFEL(INDEX($Z$4:$Z$15;PASSA(MAX(OM(&#196;RTAL(PASSA(@$W$4:$W$15;%7b%22D%22\%22E%22\%22I%22\%22J%22\%22L%22%7d;0))*(@$AC$4:$AC$15%3c=8)*(ANTAL.OM($D$76:E89;@$Z$4:$Z$15)=0);$AA$4:$AA$15));$AA$4:$AA$15;0));%22%22)" TargetMode="External"/><Relationship Id="rId3" Type="http://schemas.openxmlformats.org/officeDocument/2006/relationships/hyperlink" Target="=OMFEL(INDEX($Z$4:$Z$15;PASSA(MAX(OM(&#196;RTAL(PASSA(@$W$4:$W$15;%7b%22C%22\%22E%22\%22F%22\%22H%22\%22I%22%7d;0))*(@$AC$4:$AC$15%3c=8)*(ANTAL.OM($D$76:E81;@$Z$4:$Z$15)=0);$AA$4:$AA$15));$AA$4:$AA$15;0));%22%22)" TargetMode="External"/><Relationship Id="rId7" Type="http://schemas.openxmlformats.org/officeDocument/2006/relationships/hyperlink" Target="=OMFEL(INDEX($Z$4:$Z$15;PASSA(MAX(OM(&#196;RTAL(PASSA(@$W$4:$W$15;%7b%22E%22\%22F%22\%22G%22\%22I%22\%22J%22%7d;0))*(@$AC$4:$AC$15%3c=8)*(ANTAL.OM($D$76:E87;@$Z$4:$Z$15)=0);$AA$4:$AA$15));$AA$4:$AA$15;0));%22%22)" TargetMode="External"/><Relationship Id="rId2" Type="http://schemas.openxmlformats.org/officeDocument/2006/relationships/hyperlink" Target="=OMFEL(INDEX($Z$4:$Z$15;PASSA(MAX(OM(&#196;RTAL(PASSA(@$W$4:$W$15;%7b%22C%22\%22D%22\%22F%22\%22G%22\%22H%22%7d;0))*(@$AC$4:$AC$15%3c=8)*(ANTAL.OM($D$76:E79;@$Z$4:$Z$15)=0);$AA$4:$AA$15));$AA$4:$AA$15;0));%22%22)" TargetMode="External"/><Relationship Id="rId1" Type="http://schemas.openxmlformats.org/officeDocument/2006/relationships/hyperlink" Target="=OMFEL(INDEX($Z$4:$Z$15;PASSA(MAX(OM(&#196;RTAL(PASSA(@$W$4:$W$15;%7b%22A%22\%22B%22\%22C%22\%22D%22\%22F%22%7d;0))*(@$AC$4:$AC$15%3c=8)*(ANTAL.OM($D$76:E76;@$Z$4:$Z$15)=0);$AA$4:$AA$15));$AA$4:$AA$15;0));%22%22)" TargetMode="External"/><Relationship Id="rId6" Type="http://schemas.openxmlformats.org/officeDocument/2006/relationships/hyperlink" Target="=OMFEL(INDEX($Z$4:$Z$15;PASSA(MAX(OM(&#196;RTAL(PASSA(@$W$4:$W$15;%7b%22A%22\%22E%22\%22H%22\%22I%22\%22J%22%7d;0))*(@$AC$4:$AC$15%3c=8)*(ANTAL.OM($D$76:E84;@$Z$4:$Z$15)=0);$AA$4:$AA$15));$AA$4:$AA$15;0));%22%22)" TargetMode="External"/><Relationship Id="rId5" Type="http://schemas.openxmlformats.org/officeDocument/2006/relationships/hyperlink" Target="=OMFEL(INDEX($Z$4:$Z$15;PASSA(MAX(OM(&#196;RTAL(PASSA(@$W$4:$W$15;%7b%22B%22\%22E%22\%22F%22\%22I%22\%22J%22%7d;0))*(@$AC$4:$AC$15%3c=8)*(ANTAL.OM($D$76:E83;@$Z$4:$Z$15)=0);$AA$4:$AA$15));$AA$4:$AA$15;0));%22%22)" TargetMode="External"/><Relationship Id="rId4" Type="http://schemas.openxmlformats.org/officeDocument/2006/relationships/hyperlink" Target="=OMFEL(INDEX($Z$4:$Z$15;PASSA(MAX(OM(&#196;RTAL(PASSA(@$W$4:$W$15;%7b%22E%22\%22H%22\%22I%22\%22J%22\%22K%22%7d;0))*(@$AC$4:$AC$15%3c=8)*(ANTAL.OM($D$76:E82;@$Z$4:$Z$15)=0);$AA$4:$AA$15));$AA$4:$AA$15;0));%22%22)" TargetMode="External"/><Relationship Id="rId9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35"/>
  <sheetViews>
    <sheetView showGridLines="0" workbookViewId="0">
      <pane ySplit="3" topLeftCell="A4" activePane="bottomLeft" state="frozen"/>
      <selection pane="bottomLeft" activeCell="C33" sqref="C33"/>
    </sheetView>
  </sheetViews>
  <sheetFormatPr defaultRowHeight="15"/>
  <cols>
    <col min="1" max="2" width="12.85546875" customWidth="1"/>
    <col min="3" max="3" width="12.85546875" style="82" customWidth="1"/>
    <col min="4" max="5" width="12.85546875" customWidth="1"/>
    <col min="6" max="7" width="18" customWidth="1"/>
    <col min="8" max="9" width="10" customWidth="1"/>
    <col min="10" max="10" width="12" customWidth="1"/>
    <col min="11" max="11" width="18" customWidth="1"/>
    <col min="13" max="13" width="20" customWidth="1"/>
    <col min="14" max="20" width="8" customWidth="1"/>
  </cols>
  <sheetData>
    <row r="1" spans="1:20" ht="27.95" customHeight="1">
      <c r="A1" s="139" t="s">
        <v>0</v>
      </c>
      <c r="B1" s="140"/>
      <c r="C1" s="140"/>
      <c r="D1" s="140"/>
      <c r="E1" s="14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82"/>
      <c r="S1" s="82"/>
      <c r="T1" s="82"/>
    </row>
    <row r="2" spans="1:20">
      <c r="A2" s="141" t="str">
        <f>"👥 "&amp;COUNTA(B4:B100)&amp;" spelare • 🏆 Ledande poäng: "&amp;MAX(D4:D100)</f>
        <v>👥 14 spelare • 🏆 Ledande poäng: 244</v>
      </c>
      <c r="B2" s="141"/>
      <c r="C2" s="141"/>
      <c r="D2" s="14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82"/>
      <c r="S2" s="82"/>
      <c r="T2" s="82"/>
    </row>
    <row r="3" spans="1:20" ht="21.95" customHeight="1">
      <c r="A3" s="36" t="s">
        <v>1</v>
      </c>
      <c r="B3" s="36" t="s">
        <v>2</v>
      </c>
      <c r="C3" s="36" t="s">
        <v>3</v>
      </c>
      <c r="D3" s="37" t="s">
        <v>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82"/>
      <c r="S3" s="82"/>
      <c r="T3" s="82"/>
    </row>
    <row r="4" spans="1:20">
      <c r="A4" s="86">
        <f>IF(D4="","",RANK(D4,$D$4:$D$23,0))</f>
        <v>1</v>
      </c>
      <c r="B4" s="84" t="s">
        <v>5</v>
      </c>
      <c r="C4" s="87" t="str">
        <f>IF(A4&lt;=3,CHOOSE(A4,"🏆 ","🥈 ","🥉 ")&amp;B4,B4)</f>
        <v>🏆 Gina</v>
      </c>
      <c r="D4" s="86">
        <f>Gina!B116</f>
        <v>244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82"/>
      <c r="S4" s="82"/>
      <c r="T4" s="82"/>
    </row>
    <row r="5" spans="1:20">
      <c r="A5" s="86">
        <f>IF(D5="","",RANK(D5,$D$4:$D$23,0))</f>
        <v>2</v>
      </c>
      <c r="B5" s="84" t="s">
        <v>6</v>
      </c>
      <c r="C5" s="87" t="str">
        <f>IF(A5&lt;=3,CHOOSE(A5,"🏆 ","🥈 ","🥉 ")&amp;B5,B5)</f>
        <v>🥈 Erik</v>
      </c>
      <c r="D5" s="86">
        <f>Erik!B116</f>
        <v>230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82"/>
      <c r="S5" s="82"/>
      <c r="T5" s="82"/>
    </row>
    <row r="6" spans="1:20">
      <c r="A6" s="86">
        <f>IF(D6="","",RANK(D6,$D$4:$D$23,0))</f>
        <v>3</v>
      </c>
      <c r="B6" s="87" t="s">
        <v>7</v>
      </c>
      <c r="C6" s="87" t="str">
        <f>IF(A6&lt;=3,CHOOSE(A6,"🏆 ","🥈 ","🥉 ")&amp;B6,B6)</f>
        <v>🥉 Petra</v>
      </c>
      <c r="D6" s="86">
        <f>Petra!B116</f>
        <v>226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82"/>
      <c r="S6" s="82"/>
      <c r="T6" s="82"/>
    </row>
    <row r="7" spans="1:20">
      <c r="A7" s="86">
        <f>IF(D7="","",RANK(D7,$D$4:$D$23,0))</f>
        <v>4</v>
      </c>
      <c r="B7" s="84" t="s">
        <v>8</v>
      </c>
      <c r="C7" s="87" t="str">
        <f>IF(A7&lt;=3,CHOOSE(A7,"🏆 ","🥈 ","🥉 ")&amp;B7,B7)</f>
        <v>ChatGPT</v>
      </c>
      <c r="D7" s="86">
        <f>Chatgpt!B116</f>
        <v>224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82"/>
      <c r="S7" s="82"/>
      <c r="T7" s="82"/>
    </row>
    <row r="8" spans="1:20">
      <c r="A8" s="86">
        <f>IF(D8="","",RANK(D8,$D$4:$D$23,0))</f>
        <v>5</v>
      </c>
      <c r="B8" s="84" t="s">
        <v>9</v>
      </c>
      <c r="C8" s="87" t="str">
        <f>IF(A8&lt;=3,CHOOSE(A8,"🏆 ","🥈 ","🥉 ")&amp;B8,B8)</f>
        <v>Mika</v>
      </c>
      <c r="D8" s="86">
        <f>Mika!B116</f>
        <v>222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82"/>
      <c r="S8" s="82"/>
      <c r="T8" s="82"/>
    </row>
    <row r="9" spans="1:20">
      <c r="A9" s="86">
        <f>IF(D9="","",RANK(D9,$D$4:$D$23,0))</f>
        <v>6</v>
      </c>
      <c r="B9" s="84" t="s">
        <v>10</v>
      </c>
      <c r="C9" s="87" t="str">
        <f>IF(A9&lt;=3,CHOOSE(A9,"🏆 ","🥈 ","🥉 ")&amp;B9,B9)</f>
        <v>Kristian</v>
      </c>
      <c r="D9" s="86">
        <f>Kristian!B116</f>
        <v>220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82"/>
      <c r="S9" s="82"/>
      <c r="T9" s="82"/>
    </row>
    <row r="10" spans="1:20">
      <c r="A10" s="86">
        <f>IF(D10="","",RANK(D10,$D$4:$D$23,0))</f>
        <v>7</v>
      </c>
      <c r="B10" s="84" t="s">
        <v>11</v>
      </c>
      <c r="C10" s="87" t="str">
        <f>IF(A10&lt;=3,CHOOSE(A10,"🏆 ","🥈 ","🥉 ")&amp;B10,B10)</f>
        <v>Mli</v>
      </c>
      <c r="D10" s="86">
        <f>Mli!B116</f>
        <v>214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82"/>
      <c r="S10" s="82"/>
      <c r="T10" s="82"/>
    </row>
    <row r="11" spans="1:20">
      <c r="A11" s="86">
        <f>IF(D11="","",RANK(D11,$D$4:$D$23,0))</f>
        <v>8</v>
      </c>
      <c r="B11" s="84" t="s">
        <v>12</v>
      </c>
      <c r="C11" s="87" t="str">
        <f>IF(A11&lt;=3,CHOOSE(A11,"🏆 ","🥈 ","🥉 ")&amp;B11,B11)</f>
        <v>Lasse P</v>
      </c>
      <c r="D11" s="86">
        <f>Lasse!B116</f>
        <v>210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82"/>
      <c r="S11" s="82"/>
      <c r="T11" s="82"/>
    </row>
    <row r="12" spans="1:20">
      <c r="A12" s="86">
        <f>IF(D12="","",RANK(D12,$D$4:$D$23,0))</f>
        <v>9</v>
      </c>
      <c r="B12" s="84" t="s">
        <v>13</v>
      </c>
      <c r="C12" s="87" t="str">
        <f>IF(A12&lt;=3,CHOOSE(A12,"🏆 ","🥈 ","🥉 ")&amp;B12,B12)</f>
        <v>Gordon</v>
      </c>
      <c r="D12" s="86">
        <f>Gordon!B116</f>
        <v>208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82"/>
      <c r="S12" s="82"/>
      <c r="T12" s="82"/>
    </row>
    <row r="13" spans="1:20">
      <c r="A13" s="86">
        <f>IF(D13="","",RANK(D13,$D$4:$D$23,0))</f>
        <v>10</v>
      </c>
      <c r="B13" s="84" t="s">
        <v>14</v>
      </c>
      <c r="C13" s="87" t="str">
        <f>IF(A13&lt;=3,CHOOSE(A13,"🏆 ","🥈 ","🥉 ")&amp;B13,B13)</f>
        <v>Christofer</v>
      </c>
      <c r="D13" s="86">
        <f>Christofer!B116</f>
        <v>204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82"/>
      <c r="S13" s="82"/>
      <c r="T13" s="82"/>
    </row>
    <row r="14" spans="1:20">
      <c r="A14" s="86">
        <f>IF(D14="","",RANK(D14,$D$4:$D$23,0))</f>
        <v>10</v>
      </c>
      <c r="B14" s="84" t="s">
        <v>15</v>
      </c>
      <c r="C14" s="87" t="str">
        <f>IF(A14&lt;=3,CHOOSE(A14,"🏆 ","🥈 ","🥉 ")&amp;B14,B14)</f>
        <v>Yazmine</v>
      </c>
      <c r="D14" s="86">
        <f>yazmine!B116</f>
        <v>204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82"/>
      <c r="S14" s="82"/>
      <c r="T14" s="82"/>
    </row>
    <row r="15" spans="1:20">
      <c r="A15" s="86">
        <f>IF(D15="","",RANK(D15,$D$4:$D$23,0))</f>
        <v>12</v>
      </c>
      <c r="B15" s="84" t="s">
        <v>16</v>
      </c>
      <c r="C15" s="87" t="str">
        <f>IF(A15&lt;=3,CHOOSE(A15,"🏆 ","🥈 ","🥉 ")&amp;B15,B15)</f>
        <v>Fredde L</v>
      </c>
      <c r="D15" s="86">
        <f>Fredde!B116</f>
        <v>180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82"/>
      <c r="S15" s="82"/>
      <c r="T15" s="82"/>
    </row>
    <row r="16" spans="1:20">
      <c r="A16" s="86">
        <f>IF(D16="","",RANK(D16,$D$4:$D$23,0))</f>
        <v>13</v>
      </c>
      <c r="B16" s="84" t="s">
        <v>17</v>
      </c>
      <c r="C16" s="87" t="str">
        <f>IF(A16&lt;=3,CHOOSE(A16,"🏆 ","🥈 ","🥉 ")&amp;B16,B16)</f>
        <v>Jeppe</v>
      </c>
      <c r="D16" s="86">
        <f>Jeppe!B116</f>
        <v>178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82"/>
      <c r="S16" s="82"/>
      <c r="T16" s="82"/>
    </row>
    <row r="17" spans="1:20">
      <c r="A17" s="86">
        <f>IF(D17="","",RANK(D17,$D$4:$D$23,0))</f>
        <v>14</v>
      </c>
      <c r="B17" s="84" t="s">
        <v>18</v>
      </c>
      <c r="C17" s="87" t="str">
        <f>IF(A17&lt;=3,CHOOSE(A17,"🏆 ","🥈 ","🥉 ")&amp;B17,B17)</f>
        <v>Elliott</v>
      </c>
      <c r="D17" s="86">
        <f>Elliott!B116</f>
        <v>142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82"/>
      <c r="S17" s="82"/>
      <c r="T17" s="82"/>
    </row>
    <row r="18" spans="1:20">
      <c r="A18" s="15" t="str">
        <f>IF(D18="","",RANK(D18,$D$4:$D$23,0))</f>
        <v/>
      </c>
      <c r="B18" s="15"/>
      <c r="C18" s="15"/>
      <c r="D18" s="15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82"/>
      <c r="S18" s="82"/>
      <c r="T18" s="82"/>
    </row>
    <row r="19" spans="1:20">
      <c r="A19" s="12" t="str">
        <f>IF(D19="","",RANK(D19,$D$4:$D$23,0))</f>
        <v/>
      </c>
      <c r="B19" s="12"/>
      <c r="C19" s="12"/>
      <c r="D19" s="12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82"/>
      <c r="S19" s="82"/>
      <c r="T19" s="82"/>
    </row>
    <row r="20" spans="1:20">
      <c r="A20" s="15" t="str">
        <f>IF(D20="","",RANK(D20,$D$4:$D$23,0))</f>
        <v/>
      </c>
      <c r="B20" s="15"/>
      <c r="C20" s="15"/>
      <c r="D20" s="15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82"/>
      <c r="S20" s="82"/>
      <c r="T20" s="82"/>
    </row>
    <row r="21" spans="1:20">
      <c r="A21" s="12" t="str">
        <f>IF(D21="","",RANK(D21,$D$4:$D$23,0))</f>
        <v/>
      </c>
      <c r="B21" s="12"/>
      <c r="C21" s="12"/>
      <c r="D21" s="12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82"/>
      <c r="S21" s="82"/>
      <c r="T21" s="82"/>
    </row>
    <row r="22" spans="1:20">
      <c r="A22" s="15" t="str">
        <f>IF(D22="","",RANK(D22,$D$4:$D$23,0))</f>
        <v/>
      </c>
      <c r="B22" s="15"/>
      <c r="C22" s="15"/>
      <c r="D22" s="15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82"/>
      <c r="S22" s="82"/>
      <c r="T22" s="82"/>
    </row>
    <row r="23" spans="1:20">
      <c r="A23" s="12" t="str">
        <f>IF(D23="","",RANK(D23,$D$4:$D$23,0))</f>
        <v/>
      </c>
      <c r="B23" s="12"/>
      <c r="C23" s="12"/>
      <c r="D23" s="12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82"/>
      <c r="S23" s="82"/>
      <c r="T23" s="82"/>
    </row>
    <row r="24" spans="1:20">
      <c r="A24" s="15"/>
      <c r="B24" s="15"/>
      <c r="C24" s="15"/>
      <c r="D24" s="15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82"/>
      <c r="S24" s="82"/>
      <c r="T24" s="82"/>
    </row>
    <row r="25" spans="1:20">
      <c r="A25" s="12"/>
      <c r="B25" s="12"/>
      <c r="C25" s="12"/>
      <c r="D25" s="12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82"/>
      <c r="S25" s="82"/>
      <c r="T25" s="82"/>
    </row>
    <row r="26" spans="1:20">
      <c r="A26" s="14"/>
      <c r="B26" s="15"/>
      <c r="C26" s="15"/>
      <c r="D26" s="15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82"/>
      <c r="S26" s="82"/>
      <c r="T26" s="82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82"/>
      <c r="S27" s="82"/>
      <c r="T27" s="82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82"/>
      <c r="S28" s="82"/>
      <c r="T28" s="82"/>
    </row>
    <row r="29" spans="1:20">
      <c r="A29" s="1"/>
      <c r="B29" s="1"/>
      <c r="C29" s="1"/>
      <c r="D29" s="85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82"/>
      <c r="S29" s="82"/>
      <c r="T29" s="82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82"/>
      <c r="S30" s="82"/>
      <c r="T30" s="82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82"/>
      <c r="S31" s="82"/>
      <c r="T31" s="82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82"/>
      <c r="S32" s="82"/>
      <c r="T32" s="82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82"/>
      <c r="S33" s="82"/>
      <c r="T33" s="82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82"/>
      <c r="S34" s="82"/>
      <c r="T34" s="82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82"/>
      <c r="S35" s="82"/>
      <c r="T35" s="82"/>
    </row>
  </sheetData>
  <mergeCells count="2">
    <mergeCell ref="A1:E1"/>
    <mergeCell ref="A2:D2"/>
  </mergeCells>
  <conditionalFormatting sqref="A4:D17">
    <cfRule type="expression" dxfId="295" priority="2">
      <formula>$A4=3</formula>
    </cfRule>
    <cfRule type="expression" dxfId="294" priority="3">
      <formula>$A4=2</formula>
    </cfRule>
    <cfRule type="expression" dxfId="293" priority="4">
      <formula>$A4=1</formula>
    </cfRule>
  </conditionalFormatting>
  <conditionalFormatting sqref="D3:D16 D1 D18:D1048576">
    <cfRule type="dataBar" priority="1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{5DAF09DC-DF85-4390-87CA-10CB2393E0B9}</x14:id>
        </ext>
      </extLst>
    </cfRule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{D9B02E79-9637-4345-BF6D-F7DD5413C4F1}</x14:id>
        </ext>
      </extLst>
    </cfRule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{8961DED3-8433-47A7-83B6-9EA3DC0179A4}</x14:id>
        </ext>
      </extLst>
    </cfRule>
  </conditionalFormatting>
  <conditionalFormatting sqref="D4:D16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{0C997A65-150E-45FE-8294-A83DD300B13E}</x14:id>
        </ext>
      </extLst>
    </cfRule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{2CD3CEDB-48F1-44FD-BB54-EDFC6EEE3D51}</x14:id>
        </ext>
      </extLst>
    </cfRule>
  </conditionalFormatting>
  <conditionalFormatting sqref="D4:D1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{55EAF69C-D41B-4A17-963F-88C1A5F47594}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AF09DC-DF85-4390-87CA-10CB2393E0B9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14:cfRule type="dataBar" id="{D9B02E79-9637-4345-BF6D-F7DD5413C4F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61DED3-8433-47A7-83B6-9EA3DC0179A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D3:D16 D1 D18:D1048576</xm:sqref>
        </x14:conditionalFormatting>
        <x14:conditionalFormatting xmlns:xm="http://schemas.microsoft.com/office/excel/2006/main">
          <x14:cfRule type="dataBar" id="{0C997A65-150E-45FE-8294-A83DD300B1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CD3CEDB-48F1-44FD-BB54-EDFC6EEE3D5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D4:D16</xm:sqref>
        </x14:conditionalFormatting>
        <x14:conditionalFormatting xmlns:xm="http://schemas.microsoft.com/office/excel/2006/main">
          <x14:cfRule type="dataBar" id="{55EAF69C-D41B-4A17-963F-88C1A5F475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D4:D17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68F6-C45E-4443-918E-0DF4FD0B7A4E}">
  <dimension ref="A1:BT1048563"/>
  <sheetViews>
    <sheetView workbookViewId="0">
      <selection activeCell="B3" sqref="B3"/>
    </sheetView>
  </sheetViews>
  <sheetFormatPr defaultRowHeight="15"/>
  <cols>
    <col min="1" max="1" width="26.85546875" style="88" customWidth="1"/>
    <col min="2" max="2" width="26" style="88" customWidth="1"/>
    <col min="3" max="3" width="4.42578125" customWidth="1"/>
    <col min="4" max="4" width="27" customWidth="1"/>
    <col min="5" max="5" width="20.7109375" customWidth="1"/>
    <col min="8" max="8" width="21.28515625" bestFit="1" customWidth="1"/>
    <col min="11" max="11" width="36.5703125" bestFit="1" customWidth="1"/>
    <col min="28" max="28" width="16.28515625" customWidth="1"/>
    <col min="29" max="29" width="5.28515625" bestFit="1" customWidth="1"/>
    <col min="30" max="30" width="29.28515625" bestFit="1" customWidth="1"/>
    <col min="71" max="71" width="15.28515625" style="97" customWidth="1"/>
    <col min="72" max="72" width="12.42578125" bestFit="1" customWidth="1"/>
  </cols>
  <sheetData>
    <row r="1" spans="1:72" ht="37.5">
      <c r="A1" s="142" t="s">
        <v>19</v>
      </c>
      <c r="B1" s="142"/>
      <c r="C1" s="142"/>
      <c r="D1" s="142"/>
      <c r="E1" s="142"/>
      <c r="F1" s="142"/>
      <c r="G1" s="14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90"/>
      <c r="BT1" s="44" t="s">
        <v>20</v>
      </c>
    </row>
    <row r="2" spans="1:72" ht="18.75">
      <c r="A2" s="94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90" cm="1">
        <f t="array" ref="BS2:BS108">_xlfn._xlws.SORT(BT2:BT108)</f>
        <v>46184</v>
      </c>
      <c r="BT2" s="45">
        <v>46184</v>
      </c>
    </row>
    <row r="3" spans="1:72" ht="18.75">
      <c r="A3" s="98" t="s">
        <v>21</v>
      </c>
      <c r="B3" s="95">
        <v>46198</v>
      </c>
      <c r="C3" s="1"/>
      <c r="D3" s="1"/>
      <c r="E3" s="1"/>
      <c r="F3" s="96"/>
      <c r="G3" s="96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90">
        <v>46185</v>
      </c>
      <c r="BT3" s="47">
        <v>46185</v>
      </c>
    </row>
    <row r="4" spans="1:7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90">
        <v>46185</v>
      </c>
      <c r="BT4" s="45">
        <v>46191</v>
      </c>
    </row>
    <row r="5" spans="1:7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90">
        <v>46186</v>
      </c>
      <c r="BT5" s="47">
        <v>46192</v>
      </c>
    </row>
    <row r="6" spans="1:7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90">
        <v>46186</v>
      </c>
      <c r="BT6" s="45">
        <v>46198</v>
      </c>
    </row>
    <row r="7" spans="1:72" ht="16.5">
      <c r="A7" s="152" t="s">
        <v>22</v>
      </c>
      <c r="B7" s="153"/>
      <c r="C7" s="1"/>
      <c r="D7" s="156" t="s">
        <v>23</v>
      </c>
      <c r="E7" s="15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90">
        <v>46187</v>
      </c>
      <c r="BT7" s="47">
        <v>46198</v>
      </c>
    </row>
    <row r="8" spans="1:72" ht="18.75">
      <c r="A8" s="168" t="str">
        <f>"⚽ "&amp;INDEX(_xlfn.ANCHORARRAY($AD$9),1)</f>
        <v>⚽ Tjeckien - Mexico</v>
      </c>
      <c r="B8" s="169"/>
      <c r="C8" s="1"/>
      <c r="D8" s="164" t="str">
        <f>IFERROR("⚽ "&amp;INDEX(_xlfn.ANCHORARRAY($AD$9),3),"")</f>
        <v>⚽ Skottland - Brasilien</v>
      </c>
      <c r="E8" s="165"/>
      <c r="F8" s="134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31" t="s">
        <v>24</v>
      </c>
      <c r="AC8" s="31" t="s">
        <v>25</v>
      </c>
      <c r="AD8" s="31" t="s">
        <v>26</v>
      </c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90">
        <v>46187</v>
      </c>
      <c r="BT8" s="45">
        <v>46185</v>
      </c>
    </row>
    <row r="9" spans="1:72" ht="16.5">
      <c r="A9" s="143" t="str">
        <f>"🕒 "&amp;TEXT(INDEX(_xlfn.ANCHORARRAY($AC$9),1),"tt:mm")</f>
        <v>🕒 03:00</v>
      </c>
      <c r="B9" s="144"/>
      <c r="C9" s="89"/>
      <c r="D9" s="166" t="str">
        <f>IFERROR("🕒 "&amp;TEXT(INDEX(_xlfn.ANCHORARRAY($AC$9),3),"tt:mm"),"")</f>
        <v>🕒 00:00</v>
      </c>
      <c r="E9" s="167"/>
      <c r="F9" s="93"/>
      <c r="G9" s="1"/>
      <c r="H9" s="1"/>
      <c r="I9" s="1"/>
      <c r="J9" s="1"/>
      <c r="K9" s="9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 cm="1">
        <f t="array" ref="AB9:AB14">_xlfn._xlws.FILTER('📊 Resultat &amp; Tabell'!C5:C109,'📊 Resultat &amp; Tabell'!D5:D109=$B$3)</f>
        <v>5</v>
      </c>
      <c r="AC9" s="92" cm="1">
        <f t="array" ref="AC9:AC14">_xlfn._xlws.FILTER('📊 Resultat &amp; Tabell'!E5:E109,'📊 Resultat &amp; Tabell'!D5:D109=$B$3)</f>
        <v>0.125</v>
      </c>
      <c r="AD9" s="90" t="str" cm="1">
        <f t="array" ref="AD9:AD14">_xlfn._xlws.FILTER('📊 Resultat &amp; Tabell'!I5:I109&amp;" - "&amp;'📊 Resultat &amp; Tabell'!J5:J109,'📊 Resultat &amp; Tabell'!D5:D109=$B$3)</f>
        <v>Tjeckien - Mexico</v>
      </c>
      <c r="AE9" s="1" t="s">
        <v>13</v>
      </c>
      <c r="AF9" s="1" t="str" cm="1">
        <f t="array" aca="1" ref="AF9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90">
        <v>46187</v>
      </c>
      <c r="BT9" s="47">
        <v>46186</v>
      </c>
    </row>
    <row r="10" spans="1:72" ht="16.5">
      <c r="A10" s="132"/>
      <c r="B10" s="99"/>
      <c r="C10" s="89"/>
      <c r="D10" s="119"/>
      <c r="E10" s="12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>
        <v>6</v>
      </c>
      <c r="AC10" s="92">
        <v>0.125</v>
      </c>
      <c r="AD10" s="90" t="str">
        <v>South Africa - Sydkorea</v>
      </c>
      <c r="AE10" s="1" t="s">
        <v>17</v>
      </c>
      <c r="AF10" s="1" t="str" cm="1">
        <f t="array" aca="1" ref="AF10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90">
        <v>46187</v>
      </c>
      <c r="BT10" s="45">
        <v>46191</v>
      </c>
    </row>
    <row r="11" spans="1:72" ht="16.5">
      <c r="A11" s="100" t="s">
        <v>14</v>
      </c>
      <c r="B11" s="101" t="str">
        <f>_xlfn.XLOOKUP($AB9,Christofer!$A$4:$A$107,Christofer!$F$4:$F$107)&amp;"-"&amp;_xlfn.XLOOKUP($AB9,Christofer!$A$4:$A$107,Christofer!$G$4:$G$107)</f>
        <v>0-1</v>
      </c>
      <c r="C11" s="1"/>
      <c r="D11" s="121" t="s">
        <v>14</v>
      </c>
      <c r="E11" s="122" t="str">
        <f>IFERROR(_xlfn.XLOOKUP($AB11,Christofer!$A$4:$A$107,Christofer!$F$4:$F$107)&amp;"-"&amp;_xlfn.XLOOKUP($AB11,Christofer!$A$4:$A$107,Christofer!$G$4:$G$107),"")</f>
        <v>1-2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>
        <v>17</v>
      </c>
      <c r="AC11" s="92">
        <v>0</v>
      </c>
      <c r="AD11" s="1" t="str">
        <v>Skottland - Brasilien</v>
      </c>
      <c r="AE11" s="1" t="s">
        <v>14</v>
      </c>
      <c r="AF11" s="1" t="str" cm="1">
        <f t="array" aca="1" ref="AF11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90">
        <v>46187</v>
      </c>
      <c r="BT11" s="47">
        <v>46192</v>
      </c>
    </row>
    <row r="12" spans="1:72" ht="16.5">
      <c r="A12" s="100" t="s">
        <v>8</v>
      </c>
      <c r="B12" s="99" t="str">
        <f>_xlfn.XLOOKUP($AB9,Chatgpt!$A$4:$A$107,Chatgpt!$F$4:$F$107)&amp;"-"&amp;_xlfn.XLOOKUP($AB9,Chatgpt!$A$4:$A$107,Chatgpt!$G$4:$G$107)</f>
        <v>1-1</v>
      </c>
      <c r="C12" s="1"/>
      <c r="D12" s="121" t="s">
        <v>8</v>
      </c>
      <c r="E12" s="123" t="str">
        <f>IFERROR(_xlfn.XLOOKUP($AB11,Chatgpt!$A$4:$A$107,Chatgpt!$F$4:$F$107)&amp;"-"&amp;_xlfn.XLOOKUP($AB11,Chatgpt!$A$4:$A$107,Chatgpt!$G$4:$G$107),"")</f>
        <v>1-2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>
        <v>18</v>
      </c>
      <c r="AC12" s="92">
        <v>0</v>
      </c>
      <c r="AD12" s="1" t="str">
        <v>Marocko - Haiti</v>
      </c>
      <c r="AE12" s="1" t="s">
        <v>27</v>
      </c>
      <c r="AF12" s="1" t="str" cm="1">
        <f t="array" aca="1" ref="AF12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90">
        <v>46188</v>
      </c>
      <c r="BT12" s="45">
        <v>46197</v>
      </c>
    </row>
    <row r="13" spans="1:72" ht="16.5">
      <c r="A13" s="100" t="s">
        <v>9</v>
      </c>
      <c r="B13" s="99" t="str">
        <f>_xlfn.XLOOKUP($AB9,Mika!$A$4:$A$107,Mika!$F$4:$F$107)&amp;"-"&amp;_xlfn.XLOOKUP($AB9,Mika!$A$4:$A$107,Mika!$G$4:$G$107)</f>
        <v>1-1</v>
      </c>
      <c r="C13" s="1"/>
      <c r="D13" s="121" t="s">
        <v>9</v>
      </c>
      <c r="E13" s="123" t="str">
        <f>IFERROR(_xlfn.XLOOKUP($AB11,Mika!$A$4:$A$107,Mika!$F$4:$F$107)&amp;"-"&amp;_xlfn.XLOOKUP($AB11,Mika!$A$4:$A$107,Mika!$G$4:$G$107),"")</f>
        <v>0-2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>
        <v>29</v>
      </c>
      <c r="AC13" s="1">
        <v>0.91666666666666663</v>
      </c>
      <c r="AD13" s="1" t="str">
        <v>Ecuador - Tyskland</v>
      </c>
      <c r="AE13" s="1" t="s">
        <v>28</v>
      </c>
      <c r="AF13" s="1" t="str" cm="1">
        <f t="array" aca="1" ref="AF13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90">
        <v>46188</v>
      </c>
      <c r="BT13" s="47">
        <v>46197</v>
      </c>
    </row>
    <row r="14" spans="1:72" ht="16.5">
      <c r="A14" s="100" t="s">
        <v>6</v>
      </c>
      <c r="B14" s="101" t="str">
        <f>_xlfn.XLOOKUP($AB9,Erik!$A$4:$A$107,Erik!$F$4:$F$107)&amp;"-"&amp;_xlfn.XLOOKUP($AB9,Erik!$A$4:$A$107,Erik!$G$4:$G$107)</f>
        <v>1-1</v>
      </c>
      <c r="C14" s="1"/>
      <c r="D14" s="121" t="s">
        <v>6</v>
      </c>
      <c r="E14" s="122" t="str">
        <f>IFERROR(_xlfn.XLOOKUP($AB11,Erik!$A$4:$A$107,Erik!$F$4:$F$107)&amp;"-"&amp;_xlfn.XLOOKUP($AB9,Erik!$A$4:$A$107,Erik!$G$4:$G$107),"")</f>
        <v>1-1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>
        <v>30</v>
      </c>
      <c r="AC14" s="1">
        <v>0.91666666666666663</v>
      </c>
      <c r="AD14" s="1" t="str">
        <v>Curaçao - Elfenbenskusten</v>
      </c>
      <c r="AE14" s="1" t="s">
        <v>11</v>
      </c>
      <c r="AF14" s="1" t="str" cm="1">
        <f t="array" aca="1" ref="AF14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90">
        <v>46188</v>
      </c>
      <c r="BT14" s="45">
        <v>46187</v>
      </c>
    </row>
    <row r="15" spans="1:72" ht="16.5">
      <c r="A15" s="100" t="s">
        <v>5</v>
      </c>
      <c r="B15" s="99" t="str">
        <f>_xlfn.XLOOKUP($AB9,Gina!$A$4:$A$107,Gina!$F$4:$F$107)&amp;"-"&amp;_xlfn.XLOOKUP($AB9,Gina!$A$4:$A$107,Gina!$G$4:$G$107)</f>
        <v>1-2</v>
      </c>
      <c r="C15" s="1"/>
      <c r="D15" s="121" t="s">
        <v>5</v>
      </c>
      <c r="E15" s="123" t="str">
        <f>IFERROR(_xlfn.XLOOKUP($AB11,Gina!$A$4:$A$107,Gina!$F$4:$F$107)&amp;"-"&amp;_xlfn.XLOOKUP($AB11,Gina!$A$4:$A$107,Gina!$G$4:$G$107),"")</f>
        <v>1-3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 t="s">
        <v>9</v>
      </c>
      <c r="AF15" s="1" t="str" cm="1">
        <f t="array" aca="1" ref="AF15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90">
        <v>46188</v>
      </c>
      <c r="BT15" s="47">
        <v>46187</v>
      </c>
    </row>
    <row r="16" spans="1:72" ht="16.5">
      <c r="A16" s="100" t="s">
        <v>15</v>
      </c>
      <c r="B16" s="99" t="str">
        <f>_xlfn.XLOOKUP($AB9,yazmine!$A$4:$A$107,yazmine!$F$4:$F$107)&amp;"-"&amp;_xlfn.XLOOKUP($AB9,yazmine!$A$4:$A$107,yazmine!$G$4:$G$107)</f>
        <v>2-1</v>
      </c>
      <c r="C16" s="1"/>
      <c r="D16" s="121" t="s">
        <v>15</v>
      </c>
      <c r="E16" s="123" t="str">
        <f>IFERROR(_xlfn.XLOOKUP($AB11,yazmine!$A$4:$A$107,yazmine!$F$4:$F$107)&amp;"-"&amp;_xlfn.XLOOKUP($AB9,yazmine!$A$4:$A$107,yazmine!$G$4:$G$107),"")</f>
        <v>2-1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 t="s">
        <v>6</v>
      </c>
      <c r="AF16" s="1" t="str" cm="1">
        <f t="array" aca="1" ref="AF16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90">
        <v>46189</v>
      </c>
      <c r="BT16" s="45">
        <v>46193</v>
      </c>
    </row>
    <row r="17" spans="1:72" ht="16.5">
      <c r="A17" s="100" t="s">
        <v>29</v>
      </c>
      <c r="B17" s="102" t="str">
        <f>_xlfn.XLOOKUP($AB9,Lasse!$A$4:$A$107,Lasse!$F$4:$F$107)&amp;"-"&amp;_xlfn.XLOOKUP($AB9,Lasse!$A$4:$A$107,Lasse!$G$4:$G$107)</f>
        <v>1-2</v>
      </c>
      <c r="C17" s="1"/>
      <c r="D17" s="121" t="s">
        <v>29</v>
      </c>
      <c r="E17" s="124" t="str">
        <f>IFERROR(_xlfn.XLOOKUP($AB11,Lasse!$A$4:$A$107,Lasse!$F$4:$F$107)&amp;"-"&amp;_xlfn.XLOOKUP($AB9,Lasse!$A$4:$A$107,Lasse!$G$4:$G$107),"")</f>
        <v>1-2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 t="s">
        <v>18</v>
      </c>
      <c r="AF17" s="1" t="str" cm="1">
        <f t="array" aca="1" ref="AF17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90">
        <v>46189</v>
      </c>
      <c r="BT17" s="47">
        <v>46193</v>
      </c>
    </row>
    <row r="18" spans="1:72" ht="16.5">
      <c r="A18" s="100" t="s">
        <v>11</v>
      </c>
      <c r="B18" s="103" t="str">
        <f>_xlfn.XLOOKUP($AB9,Mli!$A$4:$A$107,Mli!$F$4:$F$107)&amp;"-"&amp;_xlfn.XLOOKUP($AB9,Mli!$A$4:$A$107,Mli!$G$4:$G$107)</f>
        <v>1-1</v>
      </c>
      <c r="C18" s="1"/>
      <c r="D18" s="121" t="s">
        <v>11</v>
      </c>
      <c r="E18" s="125" t="str">
        <f>IFERROR(_xlfn.XLOOKUP($AB11,Mli!$A$4:$A$107,Mli!$F$4:$F$107)&amp;"-"&amp;_xlfn.XLOOKUP($AB9,Mli!$A$4:$A$107,Mli!$G$4:$G$107),"")</f>
        <v>1-1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 t="s">
        <v>7</v>
      </c>
      <c r="AF18" s="1" t="str" cm="1">
        <f t="array" aca="1" ref="AF18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90">
        <v>46189</v>
      </c>
      <c r="BT18" s="45">
        <v>46198</v>
      </c>
    </row>
    <row r="19" spans="1:72" ht="16.5">
      <c r="A19" s="100" t="s">
        <v>13</v>
      </c>
      <c r="B19" s="102" t="str">
        <f>_xlfn.XLOOKUP($AB9,Gordon!$A$4:$A$107,Gordon!$F$4:$F$107)&amp;"-"&amp;_xlfn.XLOOKUP($AB9,Gordon!$A$4:$A$107,Gordon!$G$4:$G$107)</f>
        <v>1-2</v>
      </c>
      <c r="C19" s="1"/>
      <c r="D19" s="121" t="s">
        <v>13</v>
      </c>
      <c r="E19" s="124" t="str">
        <f>IFERROR(_xlfn.XLOOKUP($AB11,Gordon!$A$4:$A$107,Gordon!$F$4:$F$107)&amp;"-"&amp;_xlfn.XLOOKUP($AB9,Gordon!$A$4:$A$107,Gordon!$G$4:$G$107),"")</f>
        <v>1-2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 t="s">
        <v>30</v>
      </c>
      <c r="AF19" s="1" t="str" cm="1">
        <f t="array" aca="1" ref="AF19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90">
        <v>46190</v>
      </c>
      <c r="BT19" s="47">
        <v>46198</v>
      </c>
    </row>
    <row r="20" spans="1:72" ht="16.5">
      <c r="A20" s="100" t="s">
        <v>17</v>
      </c>
      <c r="B20" s="102" t="str">
        <f>_xlfn.XLOOKUP($AB9,Jeppe!$A$4:$A$107,Jeppe!$F$4:$F$107)&amp;"-"&amp;_xlfn.XLOOKUP($AB9,Jeppe!$A$4:$A$107,Jeppe!$G$4:$G$107)</f>
        <v>2-2</v>
      </c>
      <c r="C20" s="1"/>
      <c r="D20" s="121" t="s">
        <v>17</v>
      </c>
      <c r="E20" s="124" t="str">
        <f>IFERROR(_xlfn.XLOOKUP($AB11,Jeppe!$A$4:$A$107,Jeppe!$F$4:$F$107)&amp;"-"&amp;_xlfn.XLOOKUP($AB9,Jeppe!$A$4:$A$107,Jeppe!$G$4:$G$107),"")</f>
        <v>2-2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 t="s">
        <v>5</v>
      </c>
      <c r="AF20" s="1" t="str" cm="1">
        <f t="array" aca="1" ref="AF20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90">
        <v>46190</v>
      </c>
      <c r="BT20" s="45">
        <v>46186</v>
      </c>
    </row>
    <row r="21" spans="1:72" ht="16.5">
      <c r="A21" s="100" t="s">
        <v>10</v>
      </c>
      <c r="B21" s="99" t="str">
        <f>_xlfn.XLOOKUP($AB9,Kristian!$A$4:$A$107,Kristian!$F$4:$F$107)&amp;"-"&amp;_xlfn.XLOOKUP($AB9,Kristian!$A$4:$A$107,Kristian!$G$4:$G$107)</f>
        <v>1-1</v>
      </c>
      <c r="C21" s="1"/>
      <c r="D21" s="121" t="s">
        <v>10</v>
      </c>
      <c r="E21" s="123" t="str">
        <f>IFERROR(_xlfn.XLOOKUP($AB11,Kristian!$A$4:$A$107,Kristian!$F$4:$F$107)&amp;"-"&amp;_xlfn.XLOOKUP($AB9,Kristian!$A$4:$A$107,Kristian!$G$4:$G$107),"")</f>
        <v>1-1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 t="s">
        <v>31</v>
      </c>
      <c r="AF21" s="1" t="str" cm="1">
        <f t="array" aca="1" ref="AF21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90">
        <v>46190</v>
      </c>
      <c r="BT21" s="47">
        <v>46187</v>
      </c>
    </row>
    <row r="22" spans="1:72" ht="16.5">
      <c r="A22" s="100" t="s">
        <v>18</v>
      </c>
      <c r="B22" s="99" t="str">
        <f>_xlfn.XLOOKUP($AB9,Elliott!$A$4:$A$107,Elliott!$F$4:$F$107)&amp;"-"&amp;_xlfn.XLOOKUP($AB9,Elliott!$A$4:$A$107,Elliott!$G$4:$G$107)</f>
        <v>1-2</v>
      </c>
      <c r="C22" s="1"/>
      <c r="D22" s="121" t="s">
        <v>18</v>
      </c>
      <c r="E22" s="123" t="str">
        <f>IFERROR(_xlfn.XLOOKUP($AB11,Elliott!$A$4:$A$107,Elliott!$F$4:$F$107)&amp;"-"&amp;_xlfn.XLOOKUP($AB9,Elliott!$A$4:$A$107,Elliott!$G$4:$G$107),"")</f>
        <v>2-2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 t="s">
        <v>10</v>
      </c>
      <c r="AF22" s="1" t="str" cm="1">
        <f t="array" aca="1" ref="AF22" ca="1">IFERROR(_xlfn.XLOOKUP($AB$9,INDIRECT("'"&amp;AE9&amp;"'!$A$4:$A$107"),INDIRECT("'"&amp;AE9&amp;"'!$F$4:$F$107"))&amp;"-"&amp;_xlfn.XLOOKUP($AB$9,INDIRECT("'"&amp;AE9&amp;"'!$A$4:$A$107"),INDIRECT("'"&amp;AE9&amp;"'!$G$4:$G$107")),"")</f>
        <v>1-2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90">
        <v>46190</v>
      </c>
      <c r="BT22" s="45">
        <v>46193</v>
      </c>
    </row>
    <row r="23" spans="1:72" ht="16.5">
      <c r="A23" s="100" t="s">
        <v>16</v>
      </c>
      <c r="B23" s="99" t="str">
        <f>_xlfn.XLOOKUP($AB9,Fredde!$A$4:$A$107,Fredde!$F$4:$F$107)&amp;"-"&amp;_xlfn.XLOOKUP($AB9,Fredde!$A$4:$A$107,Fredde!$G$4:$G$107)</f>
        <v>1-3</v>
      </c>
      <c r="C23" s="1"/>
      <c r="D23" s="121" t="s">
        <v>16</v>
      </c>
      <c r="E23" s="123" t="str">
        <f>IFERROR(_xlfn.XLOOKUP($AB11,Fredde!$A$4:$A$107,Fredde!$F$4:$F$107)&amp;"-"&amp;_xlfn.XLOOKUP($AB9,Fredde!$A$4:$A$107,Fredde!$G$4:$G$107),"")</f>
        <v>2-3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90">
        <v>46190</v>
      </c>
      <c r="BT23" s="47">
        <v>46192</v>
      </c>
    </row>
    <row r="24" spans="1:72" ht="16.5">
      <c r="A24" s="132" t="s">
        <v>7</v>
      </c>
      <c r="B24" s="99" t="str">
        <f>_xlfn.XLOOKUP($AB9,Petra!$A$4:$A$107,Petra!$F$4:$F$107)&amp;"-"&amp;_xlfn.XLOOKUP($AB9,Petra!$A$4:$A$107,Petra!$G$4:$G$107)</f>
        <v>2-3</v>
      </c>
      <c r="C24" s="1"/>
      <c r="D24" s="131" t="s">
        <v>7</v>
      </c>
      <c r="E24" s="123" t="str">
        <f>IFERROR(_xlfn.XLOOKUP($AB11,Petra!$A$4:$A$107,Petra!$F$4:$F$107)&amp;"-"&amp;_xlfn.XLOOKUP($AB9,Petra!$A$4:$A$107,Petra!$G$4:$G$107),"")</f>
        <v>0-3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90">
        <v>46191</v>
      </c>
      <c r="BT24" s="45">
        <v>46199</v>
      </c>
    </row>
    <row r="25" spans="1:72" ht="16.5">
      <c r="A25" s="132"/>
      <c r="B25" s="99"/>
      <c r="C25" s="1"/>
      <c r="D25" s="119"/>
      <c r="E25" s="12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90">
        <v>46191</v>
      </c>
      <c r="BT25" s="47">
        <v>46199</v>
      </c>
    </row>
    <row r="26" spans="1:72" ht="16.5">
      <c r="A26" s="143" t="str" cm="1">
        <f t="array" ref="A26">IFERROR("🔥 Folkets tips: "&amp;INDEX(B11:B24,MATCH(MAX(COUNTIF(B11:B24,B11:B24)),COUNTIF(B11:B24,B11:B24),0))&amp;" ("&amp;MAX(COUNTIF(B11:B24,B11:B24))&amp;" personer)","")</f>
        <v>🔥 Folkets tips: 1-1 (5 personer)</v>
      </c>
      <c r="B26" s="144"/>
      <c r="C26" s="1"/>
      <c r="D26" s="148" t="str" cm="1">
        <f t="array" ref="D26">IFERROR("🔥 Folkets tips: "&amp;INDEX(E11:E24,MATCH(MAX(COUNTIF(E11:E24,E11:E24)),COUNTIF(E11:E24,E11:E24),0))&amp;" ("&amp;MAX(COUNTIF(E11:E24,E11:E24))&amp;" personer)","")</f>
        <v>🔥 Folkets tips: 1-2 (4 personer)</v>
      </c>
      <c r="E26" s="149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90">
        <v>46191</v>
      </c>
      <c r="BT26" s="45">
        <v>46187</v>
      </c>
    </row>
    <row r="27" spans="1:72" ht="16.5">
      <c r="A27" s="104"/>
      <c r="B27" s="105"/>
      <c r="C27" s="1"/>
      <c r="D27" s="126"/>
      <c r="E27" s="127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90">
        <v>46191</v>
      </c>
      <c r="BT27" s="47">
        <v>46188</v>
      </c>
    </row>
    <row r="28" spans="1:72" s="82" customFormat="1" ht="16.5">
      <c r="A28" s="128"/>
      <c r="B28" s="129"/>
      <c r="C28" s="1"/>
      <c r="D28" s="118"/>
      <c r="E28" s="118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90">
        <v>46192</v>
      </c>
      <c r="BT28" s="47"/>
    </row>
    <row r="29" spans="1:72" ht="16.5">
      <c r="A29" s="154" t="s">
        <v>32</v>
      </c>
      <c r="B29" s="155"/>
      <c r="C29" s="1"/>
      <c r="D29" s="158" t="s">
        <v>33</v>
      </c>
      <c r="E29" s="159"/>
      <c r="F29" s="145"/>
      <c r="G29" s="145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90">
        <v>46192</v>
      </c>
      <c r="BT29" s="45">
        <v>46194</v>
      </c>
    </row>
    <row r="30" spans="1:72" ht="18.75">
      <c r="A30" s="170" t="str">
        <f>IFERROR("⚽ "&amp;INDEX(_xlfn.ANCHORARRAY($AD$9),2),"")</f>
        <v>⚽ South Africa - Sydkorea</v>
      </c>
      <c r="B30" s="171"/>
      <c r="C30" s="1"/>
      <c r="D30" s="160" t="str">
        <f>IFERROR("⚽ "&amp;INDEX(_xlfn.ANCHORARRAY($AD$9),4),"")</f>
        <v>⚽ Marocko - Haiti</v>
      </c>
      <c r="E30" s="161"/>
      <c r="F30" s="134"/>
      <c r="G30" s="93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90">
        <v>46192</v>
      </c>
      <c r="BT30" s="47">
        <v>46193</v>
      </c>
    </row>
    <row r="31" spans="1:72" ht="16.5">
      <c r="A31" s="172" t="str">
        <f>IFERROR("🕒 "&amp;TEXT(INDEX(_xlfn.ANCHORARRAY($AC$9),2),"tt:mm"),"")</f>
        <v>🕒 03:00</v>
      </c>
      <c r="B31" s="173"/>
      <c r="C31" s="1"/>
      <c r="D31" s="162" t="str">
        <f>IFERROR("🕒 "&amp;TEXT(INDEX(_xlfn.ANCHORARRAY($AC$9),4),"tt:mm"),"")</f>
        <v>🕒 00:00</v>
      </c>
      <c r="E31" s="163"/>
      <c r="F31" s="93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90">
        <v>46193</v>
      </c>
      <c r="BT31" s="45">
        <v>46198</v>
      </c>
    </row>
    <row r="32" spans="1:72" ht="16.5">
      <c r="A32" s="133"/>
      <c r="B32" s="113"/>
      <c r="C32" s="1"/>
      <c r="D32" s="106"/>
      <c r="E32" s="107"/>
      <c r="F32" s="9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90">
        <v>46193</v>
      </c>
      <c r="BT32" s="47">
        <v>46198</v>
      </c>
    </row>
    <row r="33" spans="1:72" ht="16.5">
      <c r="A33" s="114" t="s">
        <v>14</v>
      </c>
      <c r="B33" s="115" t="str">
        <f>IFERROR(_xlfn.XLOOKUP($AB10,Christofer!$A$4:$A$107,Christofer!$F$4:$F$107)&amp;"-"&amp;_xlfn.XLOOKUP($AB10,Christofer!$A$4:$A$107,Christofer!$G$4:$G$107),"")</f>
        <v>1-3</v>
      </c>
      <c r="C33" s="1"/>
      <c r="D33" s="108" t="s">
        <v>14</v>
      </c>
      <c r="E33" s="109" t="str">
        <f>IFERROR(_xlfn.XLOOKUP($AB12,Christofer!$A$4:$A$107,Christofer!$F$4:$F$107)&amp;"-"&amp;_xlfn.XLOOKUP($AB12,Christofer!$A$4:$A$107,Christofer!$G$4:$G$107),"")</f>
        <v>2-0</v>
      </c>
      <c r="F33" s="9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90">
        <v>46193</v>
      </c>
      <c r="BT33" s="45">
        <v>46187</v>
      </c>
    </row>
    <row r="34" spans="1:72" ht="16.5">
      <c r="A34" s="114" t="s">
        <v>8</v>
      </c>
      <c r="B34" s="113" t="str">
        <f>IFERROR(_xlfn.XLOOKUP($AB10,Chatgpt!$A$4:$A$107,Chatgpt!$F$4:$F$107)&amp;"-"&amp;_xlfn.XLOOKUP($AB10,Chatgpt!$A$4:$A$107,Chatgpt!$G$4:$G$107),"")</f>
        <v>2-1</v>
      </c>
      <c r="C34" s="1"/>
      <c r="D34" s="108" t="s">
        <v>8</v>
      </c>
      <c r="E34" s="110" t="str">
        <f>IFERROR(_xlfn.XLOOKUP($AB12,Chatgpt!$A$4:$A$107,Chatgpt!$F$4:$F$107)&amp;"-"&amp;_xlfn.XLOOKUP($AB12,Chatgpt!$A$4:$A$107,Chatgpt!$G$4:$G$107),"")</f>
        <v>2-0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90">
        <v>46193</v>
      </c>
      <c r="BT34" s="47">
        <v>46188</v>
      </c>
    </row>
    <row r="35" spans="1:72" ht="16.5">
      <c r="A35" s="114" t="s">
        <v>9</v>
      </c>
      <c r="B35" s="113" t="str">
        <f>IFERROR(_xlfn.XLOOKUP($AB10,Mika!$A$4:$A$107,Mika!$F$4:$F$107)&amp;"-"&amp;_xlfn.XLOOKUP($AB10,Mika!$A$4:$A$107,Mika!$G$4:$G$107),"")</f>
        <v>0-2</v>
      </c>
      <c r="C35" s="1"/>
      <c r="D35" s="108" t="s">
        <v>9</v>
      </c>
      <c r="E35" s="110" t="str">
        <f>IFERROR(_xlfn.XLOOKUP($AB12,Mika!$A$4:$A$107,Mika!$F$4:$F$107)&amp;"-"&amp;_xlfn.XLOOKUP($AB12,Mika!$A$4:$A$107,Mika!$G$4:$G$107),"")</f>
        <v>2-0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90">
        <v>46193</v>
      </c>
      <c r="BT35" s="45">
        <v>46194</v>
      </c>
    </row>
    <row r="36" spans="1:72" ht="16.5">
      <c r="A36" s="114" t="s">
        <v>6</v>
      </c>
      <c r="B36" s="115" t="str">
        <f>IFERROR(_xlfn.XLOOKUP($AB10,Erik!$A$4:$A$107,Erik!$F$4:$F$107)&amp;"-"&amp;_xlfn.XLOOKUP($AB10,Erik!$A$4:$A$107,Erik!$G$4:$G$107),"")</f>
        <v>2-1</v>
      </c>
      <c r="C36" s="1"/>
      <c r="D36" s="108" t="s">
        <v>6</v>
      </c>
      <c r="E36" s="109" t="str">
        <f>IFERROR(_xlfn.XLOOKUP($AB12,Erik!$A$4:$A$107,Erik!$F$4:$F$107)&amp;"-"&amp;_xlfn.XLOOKUP($AB12,Erik!$A$4:$A$107,Erik!$G$4:$G$107),"")</f>
        <v>2-0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90">
        <v>46194</v>
      </c>
      <c r="BT36" s="47">
        <v>46193</v>
      </c>
    </row>
    <row r="37" spans="1:72" ht="16.5">
      <c r="A37" s="114" t="s">
        <v>5</v>
      </c>
      <c r="B37" s="113" t="str">
        <f>IFERROR(_xlfn.XLOOKUP($AB10,Gina!$A$4:$A$107,Gina!$F$4:$F$107)&amp;"-"&amp;_xlfn.XLOOKUP($AB10,Gina!$A$4:$A$107,Gina!$G$4:$G$107),"")</f>
        <v>1-1</v>
      </c>
      <c r="C37" s="1"/>
      <c r="D37" s="108" t="s">
        <v>5</v>
      </c>
      <c r="E37" s="110" t="str">
        <f>IFERROR(_xlfn.XLOOKUP($AB12,Gina!$A$4:$A$107,Gina!$F$4:$F$107)&amp;"-"&amp;_xlfn.XLOOKUP($AB12,Gina!$A$4:$A$107,Gina!$G$4:$G$107),"")</f>
        <v>3-0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90">
        <v>46194</v>
      </c>
      <c r="BT37" s="45">
        <v>46199</v>
      </c>
    </row>
    <row r="38" spans="1:72" ht="16.5">
      <c r="A38" s="114" t="s">
        <v>15</v>
      </c>
      <c r="B38" s="113" t="str">
        <f>IFERROR(_xlfn.XLOOKUP($AB10,yazmine!$A$4:$A$107,yazmine!$F$4:$F$107)&amp;"-"&amp;_xlfn.XLOOKUP($AB10,yazmine!$A$4:$A$107,yazmine!$G$4:$G$107),"")</f>
        <v>1-0</v>
      </c>
      <c r="C38" s="1"/>
      <c r="D38" s="108" t="s">
        <v>15</v>
      </c>
      <c r="E38" s="110" t="str">
        <f>IFERROR(_xlfn.XLOOKUP($AB12,yazmine!$A$4:$A$107,yazmine!$F$4:$F$107)&amp;"-"&amp;_xlfn.XLOOKUP($AB12,yazmine!$A$4:$A$107,yazmine!$G$4:$G$107),"")</f>
        <v>1-1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90">
        <v>46194</v>
      </c>
      <c r="BT38" s="47">
        <v>46199</v>
      </c>
    </row>
    <row r="39" spans="1:72" ht="16.5">
      <c r="A39" s="114" t="s">
        <v>29</v>
      </c>
      <c r="B39" s="116" t="str">
        <f>IFERROR(_xlfn.XLOOKUP($AB10,Lasse!$A$4:$A$107,Lasse!$F$4:$F$107)&amp;"-"&amp;_xlfn.XLOOKUP($AB10,Lasse!$A$4:$A$107,Lasse!$G$4:$G$107),"")</f>
        <v>1-2</v>
      </c>
      <c r="C39" s="1"/>
      <c r="D39" s="108" t="s">
        <v>29</v>
      </c>
      <c r="E39" s="111" t="str">
        <f>IFERROR(_xlfn.XLOOKUP($AB12,Lasse!$A$4:$A$107,Lasse!$F$4:$F$107)&amp;"-"&amp;_xlfn.XLOOKUP($AB12,Lasse!$A$4:$A$107,Lasse!$G$4:$G$107),"")</f>
        <v>2-0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90">
        <v>46194</v>
      </c>
      <c r="BT39" s="45">
        <v>46188</v>
      </c>
    </row>
    <row r="40" spans="1:72" ht="16.5">
      <c r="A40" s="114" t="s">
        <v>11</v>
      </c>
      <c r="B40" s="117" t="str">
        <f>IFERROR(_xlfn.XLOOKUP($AB10,Mli!$A$4:$A$107,Mli!$F$4:$F$107)&amp;"-"&amp;_xlfn.XLOOKUP($AB10,Mli!$A$4:$A$107,Mli!$G$4:$G$107),"")</f>
        <v>1-2</v>
      </c>
      <c r="C40" s="1"/>
      <c r="D40" s="108" t="s">
        <v>11</v>
      </c>
      <c r="E40" s="112" t="str">
        <f>IFERROR(_xlfn.XLOOKUP($AB12,Mli!$A$4:$A$107,Mli!$F$4:$F$107)&amp;"-"&amp;_xlfn.XLOOKUP($AB12,Mli!$A$4:$A$107,Mli!$G$4:$G$107),"")</f>
        <v>2-0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90">
        <v>46195</v>
      </c>
      <c r="BT40" s="47">
        <v>46189</v>
      </c>
    </row>
    <row r="41" spans="1:72" ht="16.5">
      <c r="A41" s="114" t="s">
        <v>13</v>
      </c>
      <c r="B41" s="116" t="str">
        <f>IFERROR(_xlfn.XLOOKUP($AB10,Gordon!$A$4:$A$107,Gordon!$F$4:$F$107)&amp;"-"&amp;_xlfn.XLOOKUP($AB10,Gordon!$A$4:$A$107,Gordon!$G$4:$G$107),"")</f>
        <v>1-1</v>
      </c>
      <c r="C41" s="1"/>
      <c r="D41" s="108" t="s">
        <v>13</v>
      </c>
      <c r="E41" s="111" t="str">
        <f>IFERROR(_xlfn.XLOOKUP($AB12,Gordon!$A$4:$A$107,Gordon!$F$4:$F$107)&amp;"-"&amp;_xlfn.XLOOKUP($AB12,Gordon!$A$4:$A$107,Gordon!$G$4:$G$107),"")</f>
        <v>3-0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90">
        <v>46195</v>
      </c>
      <c r="BT41" s="45">
        <v>46195</v>
      </c>
    </row>
    <row r="42" spans="1:72" ht="16.5">
      <c r="A42" s="114" t="s">
        <v>17</v>
      </c>
      <c r="B42" s="116" t="str">
        <f>IFERROR(_xlfn.XLOOKUP($AB10,Jeppe!$A$4:$A$107,Jeppe!$F$4:$F$107)&amp;"-"&amp;_xlfn.XLOOKUP($AB10,Jeppe!$A$4:$A$107,Jeppe!$G$4:$G$107),"")</f>
        <v>0-3</v>
      </c>
      <c r="C42" s="1"/>
      <c r="D42" s="108" t="s">
        <v>17</v>
      </c>
      <c r="E42" s="111" t="str">
        <f>IFERROR(_xlfn.XLOOKUP($AB12,Jeppe!$A$4:$A$107,Jeppe!$F$4:$F$107)&amp;"-"&amp;_xlfn.XLOOKUP($AB12,Jeppe!$A$4:$A$107,Jeppe!$G$4:$G$107),"")</f>
        <v>2-0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90">
        <v>46195</v>
      </c>
      <c r="BT42" s="47">
        <v>46194</v>
      </c>
    </row>
    <row r="43" spans="1:72" ht="16.5">
      <c r="A43" s="114" t="s">
        <v>10</v>
      </c>
      <c r="B43" s="113" t="str">
        <f>IFERROR(_xlfn.XLOOKUP($AB10,Kristian!$A$4:$A$107,Kristian!$F$4:$F$107)&amp;"-"&amp;_xlfn.XLOOKUP($AB10,Kristian!$A$4:$A$107,Kristian!$G$4:$G$107),"")</f>
        <v>1-3</v>
      </c>
      <c r="C43" s="1"/>
      <c r="D43" s="108" t="s">
        <v>10</v>
      </c>
      <c r="E43" s="110" t="str">
        <f>IFERROR(_xlfn.XLOOKUP($AB12,Kristian!$A$4:$A$107,Kristian!$F$4:$F$107)&amp;"-"&amp;_xlfn.XLOOKUP($AB12,Kristian!$A$4:$A$107,Kristian!$G$4:$G$107),"")</f>
        <v>2-0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90">
        <v>46195</v>
      </c>
      <c r="BT43" s="45">
        <v>46200</v>
      </c>
    </row>
    <row r="44" spans="1:72" ht="16.5">
      <c r="A44" s="114" t="s">
        <v>18</v>
      </c>
      <c r="B44" s="113" t="str">
        <f>IFERROR(_xlfn.XLOOKUP($AB10,Elliott!$A$4:$A$107,Elliott!$F$4:$F$107)&amp;"-"&amp;_xlfn.XLOOKUP($AB10,Elliott!$A$4:$A$107,Elliott!$G$4:$G$107),"")</f>
        <v>1-1</v>
      </c>
      <c r="C44" s="1"/>
      <c r="D44" s="108" t="s">
        <v>18</v>
      </c>
      <c r="E44" s="110" t="str">
        <f>IFERROR(_xlfn.XLOOKUP($AB12,Elliott!$A$4:$A$107,Elliott!$F$4:$F$107)&amp;"-"&amp;_xlfn.XLOOKUP($AB12,Elliott!$A$4:$A$107,Elliott!$G$4:$G$107),"")</f>
        <v>2-1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90">
        <v>46196</v>
      </c>
      <c r="BT44" s="47">
        <v>46200</v>
      </c>
    </row>
    <row r="45" spans="1:72" ht="16.5">
      <c r="A45" s="114" t="s">
        <v>16</v>
      </c>
      <c r="B45" s="113" t="str">
        <f>IFERROR(_xlfn.XLOOKUP($AB10,Fredde!$A$4:$A$107,Fredde!$F$4:$F$107)&amp;"-"&amp;_xlfn.XLOOKUP($AB10,Fredde!$A$4:$A$107,Fredde!$G$4:$G$107),"")</f>
        <v>1-2</v>
      </c>
      <c r="C45" s="1"/>
      <c r="D45" s="108" t="s">
        <v>16</v>
      </c>
      <c r="E45" s="110" t="str">
        <f>IFERROR(_xlfn.XLOOKUP($AB12,Fredde!$A$4:$A$107,Fredde!$F$4:$F$107)&amp;"-"&amp;_xlfn.XLOOKUP($AB12,Fredde!$A$4:$A$107,Fredde!$G$4:$G$107),"")</f>
        <v>0-1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90">
        <v>46196</v>
      </c>
      <c r="BT45" s="45">
        <v>46188</v>
      </c>
    </row>
    <row r="46" spans="1:72" ht="16.5">
      <c r="A46" s="133" t="s">
        <v>7</v>
      </c>
      <c r="B46" s="113" t="str">
        <f>IFERROR(_xlfn.XLOOKUP($AB10,Petra!$A$4:$A$107,Petra!$F$4:$F$107)&amp;"-"&amp;_xlfn.XLOOKUP($AB10,Petra!$A$4:$A$107,Petra!$G$4:$G$107),"")</f>
        <v>1-0</v>
      </c>
      <c r="C46" s="1"/>
      <c r="D46" s="130" t="s">
        <v>7</v>
      </c>
      <c r="E46" s="110" t="str">
        <f>IFERROR(_xlfn.XLOOKUP($AB12,Petra!$A$4:$A$107,Petra!$F$4:$F$107)&amp;"-"&amp;_xlfn.XLOOKUP($AB12,Petra!$A$4:$A$107,Petra!$G$4:$G$107),"")</f>
        <v>1-1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90">
        <v>46196</v>
      </c>
      <c r="BT46" s="47">
        <v>46189</v>
      </c>
    </row>
    <row r="47" spans="1:72" s="82" customFormat="1" ht="16.5">
      <c r="A47" s="133"/>
      <c r="B47" s="113"/>
      <c r="C47" s="1"/>
      <c r="D47" s="130"/>
      <c r="E47" s="1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90">
        <v>46196</v>
      </c>
      <c r="BT47" s="47"/>
    </row>
    <row r="48" spans="1:72" s="82" customFormat="1" ht="16.5">
      <c r="A48" s="146" t="str" cm="1">
        <f t="array" ref="A48">IFERROR("🔥 Folkets tips: "&amp;INDEX(B33:B46,MATCH(MAX(COUNTIF(B33:B46,B33:B46)),COUNTIF(B33:B46,B33:B46),0))&amp;" ("&amp;MAX(COUNTIF(B33:B46,B33:B46))&amp;" personer)","")</f>
        <v>🔥 Folkets tips: 1-1 (3 personer)</v>
      </c>
      <c r="B48" s="147"/>
      <c r="C48" s="1"/>
      <c r="D48" s="150" t="str" cm="1">
        <f t="array" ref="D48">IFERROR("🔥 Folkets tips: "&amp;INDEX(E33:E46,MATCH(MAX(COUNTIF(E33:E46,E33:E46)),COUNTIF(E33:E46,E33:E46),0))&amp;" ("&amp;MAX(COUNTIF(E33:E46,E33:E46))&amp;" personer)","")</f>
        <v>🔥 Folkets tips: 2-0 (8 personer)</v>
      </c>
      <c r="E48" s="15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90">
        <v>46197</v>
      </c>
      <c r="BT48" s="47"/>
    </row>
    <row r="49" spans="1:72">
      <c r="A49" s="92"/>
      <c r="B49" s="6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90">
        <v>46197</v>
      </c>
      <c r="BT49" s="45">
        <v>46195</v>
      </c>
    </row>
    <row r="50" spans="1:72">
      <c r="A50" s="92"/>
      <c r="B50" s="6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90">
        <v>46197</v>
      </c>
      <c r="BT50" s="47">
        <v>46194</v>
      </c>
    </row>
    <row r="51" spans="1:72">
      <c r="A51" s="92"/>
      <c r="B51" s="6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90">
        <v>46197</v>
      </c>
      <c r="BT51" s="45">
        <v>46200</v>
      </c>
    </row>
    <row r="52" spans="1:72">
      <c r="A52" s="92"/>
      <c r="B52" s="6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90">
        <v>46198</v>
      </c>
      <c r="BT52" s="47">
        <v>46200</v>
      </c>
    </row>
    <row r="53" spans="1:72">
      <c r="A53" s="92"/>
      <c r="B53" s="6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90">
        <v>46198</v>
      </c>
      <c r="BT53" s="45">
        <v>46189</v>
      </c>
    </row>
    <row r="54" spans="1:72">
      <c r="A54" s="92"/>
      <c r="B54" s="6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90">
        <v>46198</v>
      </c>
      <c r="BT54" s="47">
        <v>46190</v>
      </c>
    </row>
    <row r="55" spans="1:72">
      <c r="A55" s="92"/>
      <c r="B55" s="6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90">
        <v>46198</v>
      </c>
      <c r="BT55" s="45">
        <v>46196</v>
      </c>
    </row>
    <row r="56" spans="1:72">
      <c r="A56" s="92"/>
      <c r="B56" s="6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90">
        <v>46198</v>
      </c>
      <c r="BT56" s="47">
        <v>46195</v>
      </c>
    </row>
    <row r="57" spans="1:72">
      <c r="A57" s="92"/>
      <c r="B57" s="6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90">
        <v>46198</v>
      </c>
      <c r="BT57" s="45">
        <v>46199</v>
      </c>
    </row>
    <row r="58" spans="1:72">
      <c r="A58" s="92"/>
      <c r="B58" s="6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90">
        <v>46199</v>
      </c>
      <c r="BT58" s="47">
        <v>46199</v>
      </c>
    </row>
    <row r="59" spans="1:72">
      <c r="A59" s="92"/>
      <c r="B59" s="6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90">
        <v>46199</v>
      </c>
      <c r="BT59" s="45">
        <v>46190</v>
      </c>
    </row>
    <row r="60" spans="1:72">
      <c r="A60" s="92"/>
      <c r="B60" s="6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90">
        <v>46199</v>
      </c>
      <c r="BT60" s="47">
        <v>46190</v>
      </c>
    </row>
    <row r="61" spans="1:72">
      <c r="A61" s="92"/>
      <c r="B61" s="6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90">
        <v>46199</v>
      </c>
      <c r="BT61" s="45">
        <v>46196</v>
      </c>
    </row>
    <row r="62" spans="1:72">
      <c r="A62" s="92"/>
      <c r="B62" s="6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90">
        <v>46199</v>
      </c>
      <c r="BT62" s="47">
        <v>46195</v>
      </c>
    </row>
    <row r="63" spans="1:72">
      <c r="A63" s="92"/>
      <c r="B63" s="6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90">
        <v>46199</v>
      </c>
      <c r="BT63" s="45">
        <v>46201</v>
      </c>
    </row>
    <row r="64" spans="1:72">
      <c r="A64" s="92"/>
      <c r="B64" s="6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90">
        <v>46200</v>
      </c>
      <c r="BT64" s="47">
        <v>46201</v>
      </c>
    </row>
    <row r="65" spans="1:72">
      <c r="A65" s="92"/>
      <c r="B65" s="6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90">
        <v>46200</v>
      </c>
      <c r="BT65" s="45">
        <v>46190</v>
      </c>
    </row>
    <row r="66" spans="1:72">
      <c r="A66" s="92"/>
      <c r="B66" s="6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90">
        <v>46200</v>
      </c>
      <c r="BT66" s="47">
        <v>46191</v>
      </c>
    </row>
    <row r="67" spans="1:72">
      <c r="A67" s="92"/>
      <c r="B67" s="6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90">
        <v>46200</v>
      </c>
      <c r="BT67" s="45">
        <v>46197</v>
      </c>
    </row>
    <row r="68" spans="1:72">
      <c r="A68" s="92"/>
      <c r="B68" s="6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90">
        <v>46200</v>
      </c>
      <c r="BT68" s="47">
        <v>46196</v>
      </c>
    </row>
    <row r="69" spans="1:72">
      <c r="A69" s="92"/>
      <c r="B69" s="6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90">
        <v>46200</v>
      </c>
      <c r="BT69" s="45">
        <v>46201</v>
      </c>
    </row>
    <row r="70" spans="1:72">
      <c r="A70" s="92"/>
      <c r="B70" s="6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90">
        <v>46201</v>
      </c>
      <c r="BT70" s="47">
        <v>46201</v>
      </c>
    </row>
    <row r="71" spans="1:72">
      <c r="A71" s="92"/>
      <c r="B71" s="6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90">
        <v>46201</v>
      </c>
      <c r="BT71" s="45">
        <v>46190</v>
      </c>
    </row>
    <row r="72" spans="1:72">
      <c r="A72" s="92"/>
      <c r="B72" s="6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90">
        <v>46201</v>
      </c>
      <c r="BT72" s="47">
        <v>46191</v>
      </c>
    </row>
    <row r="73" spans="1:72">
      <c r="A73" s="92"/>
      <c r="B73" s="6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90">
        <v>46201</v>
      </c>
      <c r="BT73" s="45">
        <v>46197</v>
      </c>
    </row>
    <row r="74" spans="1:72">
      <c r="A74" s="92"/>
      <c r="B74" s="6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90">
        <v>46201</v>
      </c>
      <c r="BT74" s="47">
        <v>46196</v>
      </c>
    </row>
    <row r="75" spans="1:72">
      <c r="A75" s="62"/>
      <c r="B75" s="6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90">
        <v>46202</v>
      </c>
      <c r="BT75" s="45">
        <v>46200</v>
      </c>
    </row>
    <row r="76" spans="1:72">
      <c r="A76" s="62"/>
      <c r="B76" s="6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90">
        <v>46202</v>
      </c>
      <c r="BT76" s="47">
        <v>46200</v>
      </c>
    </row>
    <row r="77" spans="1:72">
      <c r="A77" s="62"/>
      <c r="B77" s="6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90">
        <v>46203</v>
      </c>
      <c r="BT77" s="45">
        <v>46201</v>
      </c>
    </row>
    <row r="78" spans="1:72">
      <c r="A78" s="62"/>
      <c r="B78" s="6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90">
        <v>46203</v>
      </c>
      <c r="BT78" s="47">
        <v>46202</v>
      </c>
    </row>
    <row r="79" spans="1:72">
      <c r="A79" s="62"/>
      <c r="B79" s="6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90">
        <v>46203</v>
      </c>
      <c r="BT79" s="45">
        <v>46202</v>
      </c>
    </row>
    <row r="80" spans="1:72">
      <c r="A80" s="62"/>
      <c r="B80" s="6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90">
        <v>46204</v>
      </c>
      <c r="BT80" s="47">
        <v>46203</v>
      </c>
    </row>
    <row r="81" spans="1:72">
      <c r="A81" s="62"/>
      <c r="B81" s="6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90">
        <v>46204</v>
      </c>
      <c r="BT81" s="45">
        <v>46203</v>
      </c>
    </row>
    <row r="82" spans="1:72">
      <c r="A82" s="62"/>
      <c r="B82" s="6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90">
        <v>46204</v>
      </c>
      <c r="BT82" s="47">
        <v>46203</v>
      </c>
    </row>
    <row r="83" spans="1:72">
      <c r="A83" s="62"/>
      <c r="B83" s="6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90">
        <v>46204</v>
      </c>
      <c r="BT83" s="45">
        <v>46204</v>
      </c>
    </row>
    <row r="84" spans="1:72">
      <c r="A84" s="62"/>
      <c r="B84" s="6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90">
        <v>46205</v>
      </c>
      <c r="BT84" s="47">
        <v>46204</v>
      </c>
    </row>
    <row r="85" spans="1:72">
      <c r="A85" s="62"/>
      <c r="B85" s="6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90">
        <v>46205</v>
      </c>
      <c r="BT85" s="45">
        <v>46204</v>
      </c>
    </row>
    <row r="86" spans="1:72">
      <c r="A86" s="62"/>
      <c r="B86" s="6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90">
        <v>46205</v>
      </c>
      <c r="BT86" s="47">
        <v>46204</v>
      </c>
    </row>
    <row r="87" spans="1:72">
      <c r="A87" s="62"/>
      <c r="B87" s="6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90">
        <v>46205</v>
      </c>
      <c r="BT87" s="45">
        <v>46205</v>
      </c>
    </row>
    <row r="88" spans="1:72">
      <c r="A88" s="62"/>
      <c r="B88" s="6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90">
        <v>46206</v>
      </c>
      <c r="BT88" s="47">
        <v>46205</v>
      </c>
    </row>
    <row r="89" spans="1:72">
      <c r="A89" s="62"/>
      <c r="B89" s="6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90">
        <v>46206</v>
      </c>
      <c r="BT89" s="45">
        <v>46205</v>
      </c>
    </row>
    <row r="90" spans="1:72">
      <c r="A90" s="62"/>
      <c r="B90" s="6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90">
        <v>46207</v>
      </c>
      <c r="BT90" s="47">
        <v>46205</v>
      </c>
    </row>
    <row r="91" spans="1:72">
      <c r="A91" s="62"/>
      <c r="B91" s="6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90">
        <v>46207</v>
      </c>
      <c r="BT91" s="45">
        <v>46206</v>
      </c>
    </row>
    <row r="92" spans="1:72">
      <c r="A92" s="62"/>
      <c r="B92" s="6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90">
        <v>46208</v>
      </c>
      <c r="BT92" s="47">
        <v>46206</v>
      </c>
    </row>
    <row r="93" spans="1:72">
      <c r="A93" s="62"/>
      <c r="B93" s="6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90">
        <v>46209</v>
      </c>
      <c r="BT93" s="45">
        <v>46207</v>
      </c>
    </row>
    <row r="94" spans="1:72">
      <c r="A94" s="62"/>
      <c r="B94" s="6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90">
        <v>46209</v>
      </c>
      <c r="BT94" s="47">
        <v>46207</v>
      </c>
    </row>
    <row r="95" spans="1:72">
      <c r="A95" s="62"/>
      <c r="B95" s="6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90">
        <v>46210</v>
      </c>
      <c r="BT95" s="45">
        <v>46208</v>
      </c>
    </row>
    <row r="96" spans="1:72">
      <c r="A96" s="62"/>
      <c r="B96" s="6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90">
        <v>46210</v>
      </c>
      <c r="BT96" s="47">
        <v>46209</v>
      </c>
    </row>
    <row r="97" spans="1:72">
      <c r="A97" s="62"/>
      <c r="B97" s="6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90">
        <v>46210</v>
      </c>
      <c r="BT97" s="45">
        <v>46209</v>
      </c>
    </row>
    <row r="98" spans="1:72">
      <c r="A98" s="62"/>
      <c r="B98" s="6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90">
        <v>46212</v>
      </c>
      <c r="BT98" s="47">
        <v>46210</v>
      </c>
    </row>
    <row r="99" spans="1:72">
      <c r="A99" s="62"/>
      <c r="B99" s="6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90">
        <v>46213</v>
      </c>
      <c r="BT99" s="45">
        <v>46210</v>
      </c>
    </row>
    <row r="100" spans="1:72">
      <c r="A100" s="62"/>
      <c r="B100" s="6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90">
        <v>46214</v>
      </c>
      <c r="BT100" s="47">
        <v>46210</v>
      </c>
    </row>
    <row r="101" spans="1:72">
      <c r="A101" s="62"/>
      <c r="B101" s="6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90">
        <v>46215</v>
      </c>
      <c r="BT101" s="45">
        <v>46212</v>
      </c>
    </row>
    <row r="102" spans="1:72">
      <c r="A102" s="62"/>
      <c r="B102" s="6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90">
        <v>46217</v>
      </c>
      <c r="BT102" s="47">
        <v>46213</v>
      </c>
    </row>
    <row r="103" spans="1:72">
      <c r="A103" s="62"/>
      <c r="B103" s="6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90">
        <v>46218</v>
      </c>
      <c r="BT103" s="45">
        <v>46214</v>
      </c>
    </row>
    <row r="104" spans="1:72">
      <c r="A104" s="62"/>
      <c r="B104" s="6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90">
        <v>46221</v>
      </c>
      <c r="BT104" s="47">
        <v>46215</v>
      </c>
    </row>
    <row r="105" spans="1:72">
      <c r="A105" s="62"/>
      <c r="B105" s="6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90">
        <v>46222</v>
      </c>
      <c r="BT105" s="45">
        <v>46217</v>
      </c>
    </row>
    <row r="106" spans="1:72">
      <c r="A106" s="62"/>
      <c r="B106" s="6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90">
        <v>0</v>
      </c>
      <c r="BT106" s="47">
        <v>46218</v>
      </c>
    </row>
    <row r="107" spans="1:72">
      <c r="A107" s="62"/>
      <c r="B107" s="6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90">
        <v>0</v>
      </c>
      <c r="BT107" s="45">
        <v>46221</v>
      </c>
    </row>
    <row r="108" spans="1:72">
      <c r="A108" s="62"/>
      <c r="B108" s="6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90">
        <v>0</v>
      </c>
      <c r="BT108" s="47">
        <v>46222</v>
      </c>
    </row>
    <row r="109" spans="1:72">
      <c r="A109" s="62"/>
      <c r="B109" s="6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90"/>
      <c r="BT109" s="1"/>
    </row>
    <row r="1048563" spans="3:72">
      <c r="C1048563" s="82"/>
      <c r="D1048563" s="82"/>
      <c r="E1048563" s="82"/>
      <c r="F1048563" s="82"/>
      <c r="G1048563" s="82"/>
      <c r="H1048563" s="82"/>
      <c r="I1048563" s="82"/>
      <c r="J1048563" s="82"/>
      <c r="K1048563" s="82"/>
      <c r="L1048563" s="82"/>
      <c r="M1048563" s="82"/>
      <c r="N1048563" s="82"/>
      <c r="O1048563" s="82"/>
      <c r="P1048563" s="82"/>
      <c r="Q1048563" s="82"/>
      <c r="R1048563" s="82"/>
      <c r="S1048563" s="82"/>
      <c r="T1048563" s="82"/>
      <c r="U1048563" s="82"/>
      <c r="V1048563" s="82"/>
      <c r="W1048563" s="82"/>
      <c r="X1048563" s="82"/>
      <c r="Y1048563" s="82"/>
      <c r="Z1048563" s="82"/>
      <c r="AA1048563" s="82"/>
      <c r="AB1048563" s="82"/>
      <c r="AC1048563" s="82"/>
      <c r="AD1048563" s="82"/>
      <c r="AE1048563" s="82"/>
      <c r="AF1048563" s="82"/>
      <c r="AG1048563" s="82"/>
      <c r="AH1048563" s="82"/>
      <c r="AI1048563" s="82"/>
      <c r="AJ1048563" s="82"/>
      <c r="AK1048563" s="82"/>
      <c r="AL1048563" s="82"/>
      <c r="AM1048563" s="82"/>
      <c r="AN1048563" s="82"/>
      <c r="AO1048563" s="82"/>
      <c r="AP1048563" s="82"/>
      <c r="AQ1048563" s="82"/>
      <c r="AR1048563" s="82"/>
      <c r="AS1048563" s="82"/>
      <c r="AT1048563" s="82"/>
      <c r="AU1048563" s="82"/>
      <c r="AV1048563" s="82"/>
      <c r="AW1048563" s="82"/>
      <c r="AX1048563" s="82"/>
      <c r="AY1048563" s="82"/>
      <c r="AZ1048563" s="82"/>
      <c r="BA1048563" s="82"/>
      <c r="BB1048563" s="82"/>
      <c r="BC1048563" s="82"/>
      <c r="BD1048563" s="82"/>
      <c r="BE1048563" s="82"/>
      <c r="BF1048563" s="82"/>
      <c r="BG1048563" s="82"/>
      <c r="BH1048563" s="82"/>
      <c r="BI1048563" s="82"/>
      <c r="BJ1048563" s="82"/>
      <c r="BK1048563" s="82"/>
      <c r="BL1048563" s="82"/>
      <c r="BM1048563" s="82"/>
      <c r="BN1048563" s="82"/>
      <c r="BO1048563" s="82"/>
      <c r="BP1048563" s="82"/>
      <c r="BQ1048563" s="82"/>
      <c r="BR1048563" s="82"/>
      <c r="BT1048563" s="82"/>
    </row>
  </sheetData>
  <mergeCells count="18">
    <mergeCell ref="A30:B30"/>
    <mergeCell ref="A31:B31"/>
    <mergeCell ref="A1:G1"/>
    <mergeCell ref="A26:B26"/>
    <mergeCell ref="F29:G29"/>
    <mergeCell ref="A48:B48"/>
    <mergeCell ref="D26:E26"/>
    <mergeCell ref="D48:E48"/>
    <mergeCell ref="A7:B7"/>
    <mergeCell ref="A29:B29"/>
    <mergeCell ref="D7:E7"/>
    <mergeCell ref="D29:E29"/>
    <mergeCell ref="D30:E30"/>
    <mergeCell ref="D31:E31"/>
    <mergeCell ref="D8:E8"/>
    <mergeCell ref="D9:E9"/>
    <mergeCell ref="A8:B8"/>
    <mergeCell ref="A9:B9"/>
  </mergeCells>
  <dataValidations count="1">
    <dataValidation type="list" showInputMessage="1" showErrorMessage="1" sqref="B3" xr:uid="{550C934D-E6CA-4B46-8B5F-99FA7AD12A90}">
      <formula1>$BS$2:$BS$55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W117"/>
  <sheetViews>
    <sheetView showGridLines="0" tabSelected="1" topLeftCell="C69" workbookViewId="0">
      <selection activeCell="H104" sqref="H104"/>
    </sheetView>
  </sheetViews>
  <sheetFormatPr defaultRowHeight="15"/>
  <cols>
    <col min="1" max="1" width="12.140625" customWidth="1"/>
    <col min="2" max="2" width="21.7109375" bestFit="1" customWidth="1"/>
    <col min="3" max="3" width="22.42578125" customWidth="1"/>
    <col min="4" max="4" width="15.5703125" customWidth="1"/>
    <col min="5" max="5" width="17.42578125" customWidth="1"/>
    <col min="6" max="6" width="33.85546875" bestFit="1" customWidth="1"/>
    <col min="7" max="7" width="16" customWidth="1"/>
    <col min="8" max="8" width="13.7109375" customWidth="1"/>
    <col min="9" max="9" width="20" customWidth="1"/>
    <col min="10" max="10" width="21.28515625" customWidth="1"/>
    <col min="11" max="12" width="8" customWidth="1"/>
    <col min="13" max="13" width="9" customWidth="1"/>
    <col min="14" max="14" width="18" customWidth="1"/>
    <col min="15" max="15" width="14" customWidth="1"/>
    <col min="16" max="16" width="18" customWidth="1"/>
    <col min="17" max="23" width="7" customWidth="1"/>
  </cols>
  <sheetData>
    <row r="1" spans="1:23" ht="27.95" customHeight="1">
      <c r="A1" s="137" t="s">
        <v>34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</row>
    <row r="2" spans="1:23" ht="24.75">
      <c r="A2" s="1"/>
      <c r="B2" s="1"/>
      <c r="C2" s="135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>
      <c r="A3" s="9" t="s">
        <v>35</v>
      </c>
      <c r="B3" s="1"/>
      <c r="C3" s="1"/>
      <c r="D3" s="1"/>
      <c r="E3" s="9" t="s">
        <v>36</v>
      </c>
      <c r="F3" s="4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>
      <c r="A4" s="10" t="s">
        <v>37</v>
      </c>
      <c r="B4" s="1"/>
      <c r="C4" s="31" t="s">
        <v>24</v>
      </c>
      <c r="D4" s="44" t="s">
        <v>20</v>
      </c>
      <c r="E4" s="10" t="s">
        <v>25</v>
      </c>
      <c r="F4" s="10" t="s">
        <v>38</v>
      </c>
      <c r="G4" s="10" t="s">
        <v>39</v>
      </c>
      <c r="H4" s="10" t="s">
        <v>40</v>
      </c>
      <c r="I4" s="10" t="s">
        <v>41</v>
      </c>
      <c r="J4" s="10" t="s">
        <v>42</v>
      </c>
      <c r="K4" s="10" t="s">
        <v>43</v>
      </c>
      <c r="L4" s="10" t="s">
        <v>44</v>
      </c>
      <c r="M4" s="10" t="s">
        <v>45</v>
      </c>
      <c r="N4" s="10" t="s">
        <v>46</v>
      </c>
      <c r="O4" s="1"/>
      <c r="P4" s="10" t="s">
        <v>37</v>
      </c>
      <c r="Q4" s="1"/>
      <c r="R4" s="1"/>
      <c r="S4" s="1"/>
      <c r="T4" s="1"/>
      <c r="U4" s="1"/>
      <c r="V4" s="1"/>
      <c r="W4" s="1"/>
    </row>
    <row r="5" spans="1:23">
      <c r="A5" s="11" t="s">
        <v>47</v>
      </c>
      <c r="B5" s="12" t="s">
        <v>48</v>
      </c>
      <c r="C5" s="15">
        <v>1</v>
      </c>
      <c r="D5" s="45">
        <v>46184</v>
      </c>
      <c r="E5" s="46">
        <v>0.875</v>
      </c>
      <c r="F5" s="49" t="s">
        <v>49</v>
      </c>
      <c r="G5" s="39" t="s">
        <v>50</v>
      </c>
      <c r="H5" s="39" t="s">
        <v>51</v>
      </c>
      <c r="I5" s="12" t="s">
        <v>48</v>
      </c>
      <c r="J5" s="12" t="s">
        <v>52</v>
      </c>
      <c r="K5" s="13">
        <v>2</v>
      </c>
      <c r="L5" s="13">
        <v>0</v>
      </c>
      <c r="M5" s="39" t="str">
        <f t="shared" ref="M5:M36" si="0">IF(OR(K5="",L5=""),"",IF(K5&gt;L5,"1",IF(K5&lt;L5,"2","X")))</f>
        <v>1</v>
      </c>
      <c r="N5" s="39" t="str">
        <f t="shared" ref="N5:N36" si="1">IF(M5="","",IF(M5="1",I5,IF(M5="2",J5,"Oavgjort")))</f>
        <v>Mexico</v>
      </c>
      <c r="O5" s="12"/>
      <c r="P5" s="12" t="s">
        <v>53</v>
      </c>
      <c r="Q5" s="39" t="s">
        <v>54</v>
      </c>
      <c r="R5" s="39" t="s">
        <v>55</v>
      </c>
      <c r="S5" s="39" t="s">
        <v>56</v>
      </c>
      <c r="T5" s="39" t="s">
        <v>57</v>
      </c>
      <c r="U5" s="39" t="s">
        <v>58</v>
      </c>
      <c r="V5" s="39" t="s">
        <v>59</v>
      </c>
      <c r="W5" s="39" t="s">
        <v>60</v>
      </c>
    </row>
    <row r="6" spans="1:23">
      <c r="A6" s="14" t="s">
        <v>61</v>
      </c>
      <c r="B6" s="15" t="s">
        <v>52</v>
      </c>
      <c r="C6" s="12">
        <v>2</v>
      </c>
      <c r="D6" s="47">
        <v>46185</v>
      </c>
      <c r="E6" s="48">
        <v>0.16666666666666666</v>
      </c>
      <c r="F6" s="50" t="s">
        <v>62</v>
      </c>
      <c r="G6" s="38" t="s">
        <v>50</v>
      </c>
      <c r="H6" s="38" t="s">
        <v>51</v>
      </c>
      <c r="I6" s="15" t="s">
        <v>63</v>
      </c>
      <c r="J6" s="15" t="s">
        <v>64</v>
      </c>
      <c r="K6" s="13">
        <v>2</v>
      </c>
      <c r="L6" s="13">
        <v>1</v>
      </c>
      <c r="M6" s="38" t="str">
        <f t="shared" si="0"/>
        <v>1</v>
      </c>
      <c r="N6" s="38" t="str">
        <f t="shared" si="1"/>
        <v>Sydkorea</v>
      </c>
      <c r="O6" s="15"/>
      <c r="P6" s="15" t="str">
        <f>B5</f>
        <v>Mexico</v>
      </c>
      <c r="Q6" s="38">
        <f>SUMPRODUCT(($H$5:$H$76="A")*($I$5:$I$76=P6)*($K$5:$K$76&lt;&gt;"")*($K$5:$K$76&gt;$L$5:$L$76))+SUMPRODUCT(($H$5:$H$76="A")*($J$5:$J$76=P6)*($L$5:$L$76&lt;&gt;"")*($L$5:$L$76&gt;$K$5:$K$76))</f>
        <v>3</v>
      </c>
      <c r="R6" s="38">
        <f>SUMPRODUCT(($H$5:$H$76="A")*(($I$5:$I$76=P6)+($J$5:$J$76=P6))*($K$5:$K$76&lt;&gt;"")*($K$5:$K$76=$L$5:$L$76))</f>
        <v>0</v>
      </c>
      <c r="S6" s="38">
        <f>SUMPRODUCT(($H$5:$H$76="A")*($I$5:$I$76=P6)*($K$5:$K$76&lt;&gt;"")*($K$5:$K$76&lt;$L$5:$L$76))+SUMPRODUCT(($H$5:$H$76="A")*($J$5:$J$76=P6)*($L$5:$L$76&lt;&gt;"")*($L$5:$L$76&lt;$K$5:$K$76))</f>
        <v>0</v>
      </c>
      <c r="T6" s="38">
        <f>SUMIFS($K$5:$K$76,$H$5:$H$76,"A",$I$5:$I$76,P6)+SUMIFS($L$5:$L$76,$H$5:$H$76,"A",$J$5:$J$76,P6)</f>
        <v>6</v>
      </c>
      <c r="U6" s="38">
        <f>SUMIFS($L$5:$L$76,$H$5:$H$76,"A",$I$5:$I$76,P6)+SUMIFS($K$5:$K$76,$H$5:$H$76,"A",$J$5:$J$76,P6)</f>
        <v>0</v>
      </c>
      <c r="V6" s="38">
        <f>T6-U6</f>
        <v>6</v>
      </c>
      <c r="W6" s="38">
        <f>Q6*3+R6</f>
        <v>9</v>
      </c>
    </row>
    <row r="7" spans="1:23">
      <c r="A7" s="11" t="s">
        <v>65</v>
      </c>
      <c r="B7" s="12" t="s">
        <v>63</v>
      </c>
      <c r="C7" s="15">
        <v>3</v>
      </c>
      <c r="D7" s="45">
        <v>46191</v>
      </c>
      <c r="E7" s="46">
        <v>0.75</v>
      </c>
      <c r="F7" s="49" t="s">
        <v>66</v>
      </c>
      <c r="G7" s="39" t="s">
        <v>50</v>
      </c>
      <c r="H7" s="39" t="s">
        <v>51</v>
      </c>
      <c r="I7" s="12" t="s">
        <v>64</v>
      </c>
      <c r="J7" s="12" t="s">
        <v>52</v>
      </c>
      <c r="K7" s="13">
        <v>1</v>
      </c>
      <c r="L7" s="13">
        <v>1</v>
      </c>
      <c r="M7" s="39" t="str">
        <f t="shared" si="0"/>
        <v>X</v>
      </c>
      <c r="N7" s="39" t="str">
        <f t="shared" si="1"/>
        <v>Oavgjort</v>
      </c>
      <c r="O7" s="12"/>
      <c r="P7" s="12" t="str">
        <f>B6</f>
        <v>South Africa</v>
      </c>
      <c r="Q7" s="39">
        <f>SUMPRODUCT(($H$5:$H$76="A")*($I$5:$I$76=P7)*($K$5:$K$76&lt;&gt;"")*($K$5:$K$76&gt;$L$5:$L$76))+SUMPRODUCT(($H$5:$H$76="A")*($J$5:$J$76=P7)*($L$5:$L$76&lt;&gt;"")*($L$5:$L$76&gt;$K$5:$K$76))</f>
        <v>1</v>
      </c>
      <c r="R7" s="39">
        <f>SUMPRODUCT(($H$5:$H$76="A")*(($I$5:$I$76=P7)+($J$5:$J$76=P7))*($K$5:$K$76&lt;&gt;"")*($K$5:$K$76=$L$5:$L$76))</f>
        <v>1</v>
      </c>
      <c r="S7" s="39">
        <f>SUMPRODUCT(($H$5:$H$76="A")*($I$5:$I$76=P7)*($K$5:$K$76&lt;&gt;"")*($K$5:$K$76&lt;$L$5:$L$76))+SUMPRODUCT(($H$5:$H$76="A")*($J$5:$J$76=P7)*($L$5:$L$76&lt;&gt;"")*($L$5:$L$76&lt;$K$5:$K$76))</f>
        <v>1</v>
      </c>
      <c r="T7" s="39">
        <f>SUMIFS($K$5:$K$76,$H$5:$H$76,"A",$I$5:$I$76,P7)+SUMIFS($L$5:$L$76,$H$5:$H$76,"A",$J$5:$J$76,P7)</f>
        <v>2</v>
      </c>
      <c r="U7" s="39">
        <f>SUMIFS($L$5:$L$76,$H$5:$H$76,"A",$I$5:$I$76,P7)+SUMIFS($K$5:$K$76,$H$5:$H$76,"A",$J$5:$J$76,P7)</f>
        <v>3</v>
      </c>
      <c r="V7" s="39">
        <f>T7-U7</f>
        <v>-1</v>
      </c>
      <c r="W7" s="39">
        <f>Q7*3+R7</f>
        <v>4</v>
      </c>
    </row>
    <row r="8" spans="1:23">
      <c r="A8" s="14" t="s">
        <v>67</v>
      </c>
      <c r="B8" s="15" t="s">
        <v>64</v>
      </c>
      <c r="C8" s="12">
        <v>4</v>
      </c>
      <c r="D8" s="47">
        <v>46192</v>
      </c>
      <c r="E8" s="48">
        <v>0.125</v>
      </c>
      <c r="F8" s="50" t="s">
        <v>62</v>
      </c>
      <c r="G8" s="38" t="s">
        <v>50</v>
      </c>
      <c r="H8" s="38" t="s">
        <v>51</v>
      </c>
      <c r="I8" s="15" t="s">
        <v>48</v>
      </c>
      <c r="J8" s="15" t="s">
        <v>63</v>
      </c>
      <c r="K8" s="13">
        <v>1</v>
      </c>
      <c r="L8" s="13">
        <v>0</v>
      </c>
      <c r="M8" s="38" t="str">
        <f t="shared" si="0"/>
        <v>1</v>
      </c>
      <c r="N8" s="38" t="str">
        <f t="shared" si="1"/>
        <v>Mexico</v>
      </c>
      <c r="O8" s="15"/>
      <c r="P8" s="15" t="str">
        <f>B7</f>
        <v>Sydkorea</v>
      </c>
      <c r="Q8" s="38">
        <f>SUMPRODUCT(($H$5:$H$76="A")*($I$5:$I$76=P8)*($K$5:$K$76&lt;&gt;"")*($K$5:$K$76&gt;$L$5:$L$76))+SUMPRODUCT(($H$5:$H$76="A")*($J$5:$J$76=P8)*($L$5:$L$76&lt;&gt;"")*($L$5:$L$76&gt;$K$5:$K$76))</f>
        <v>1</v>
      </c>
      <c r="R8" s="38">
        <f>SUMPRODUCT(($H$5:$H$76="A")*(($I$5:$I$76=P8)+($J$5:$J$76=P8))*($K$5:$K$76&lt;&gt;"")*($K$5:$K$76=$L$5:$L$76))</f>
        <v>0</v>
      </c>
      <c r="S8" s="38">
        <f>SUMPRODUCT(($H$5:$H$76="A")*($I$5:$I$76=P8)*($K$5:$K$76&lt;&gt;"")*($K$5:$K$76&lt;$L$5:$L$76))+SUMPRODUCT(($H$5:$H$76="A")*($J$5:$J$76=P8)*($L$5:$L$76&lt;&gt;"")*($L$5:$L$76&lt;$K$5:$K$76))</f>
        <v>2</v>
      </c>
      <c r="T8" s="38">
        <f>SUMIFS($K$5:$K$76,$H$5:$H$76,"A",$I$5:$I$76,P8)+SUMIFS($L$5:$L$76,$H$5:$H$76,"A",$J$5:$J$76,P8)</f>
        <v>2</v>
      </c>
      <c r="U8" s="38">
        <f>SUMIFS($L$5:$L$76,$H$5:$H$76,"A",$I$5:$I$76,P8)+SUMIFS($K$5:$K$76,$H$5:$H$76,"A",$J$5:$J$76,P8)</f>
        <v>3</v>
      </c>
      <c r="V8" s="38">
        <f>T8-U8</f>
        <v>-1</v>
      </c>
      <c r="W8" s="38">
        <f>Q8*3+R8</f>
        <v>3</v>
      </c>
    </row>
    <row r="9" spans="1:23">
      <c r="A9" s="11" t="s">
        <v>68</v>
      </c>
      <c r="B9" s="1"/>
      <c r="C9" s="15">
        <v>5</v>
      </c>
      <c r="D9" s="45">
        <v>46198</v>
      </c>
      <c r="E9" s="46">
        <v>0.125</v>
      </c>
      <c r="F9" s="49" t="s">
        <v>49</v>
      </c>
      <c r="G9" s="39" t="s">
        <v>50</v>
      </c>
      <c r="H9" s="39" t="s">
        <v>51</v>
      </c>
      <c r="I9" s="12" t="s">
        <v>64</v>
      </c>
      <c r="J9" s="12" t="s">
        <v>48</v>
      </c>
      <c r="K9" s="13">
        <v>0</v>
      </c>
      <c r="L9" s="13">
        <v>3</v>
      </c>
      <c r="M9" s="39" t="str">
        <f t="shared" si="0"/>
        <v>2</v>
      </c>
      <c r="N9" s="39" t="str">
        <f t="shared" si="1"/>
        <v>Mexico</v>
      </c>
      <c r="O9" s="12"/>
      <c r="P9" s="12" t="str">
        <f>B8</f>
        <v>Tjeckien</v>
      </c>
      <c r="Q9" s="39">
        <f>SUMPRODUCT(($H$5:$H$76="A")*($I$5:$I$76=P9)*($K$5:$K$76&lt;&gt;"")*($K$5:$K$76&gt;$L$5:$L$76))+SUMPRODUCT(($H$5:$H$76="A")*($J$5:$J$76=P9)*($L$5:$L$76&lt;&gt;"")*($L$5:$L$76&gt;$K$5:$K$76))</f>
        <v>0</v>
      </c>
      <c r="R9" s="39">
        <f>SUMPRODUCT(($H$5:$H$76="A")*(($I$5:$I$76=P9)+($J$5:$J$76=P9))*($K$5:$K$76&lt;&gt;"")*($K$5:$K$76=$L$5:$L$76))</f>
        <v>1</v>
      </c>
      <c r="S9" s="39">
        <f>SUMPRODUCT(($H$5:$H$76="A")*($I$5:$I$76=P9)*($K$5:$K$76&lt;&gt;"")*($K$5:$K$76&lt;$L$5:$L$76))+SUMPRODUCT(($H$5:$H$76="A")*($J$5:$J$76=P9)*($L$5:$L$76&lt;&gt;"")*($L$5:$L$76&lt;$K$5:$K$76))</f>
        <v>2</v>
      </c>
      <c r="T9" s="39">
        <f>SUMIFS($K$5:$K$76,$H$5:$H$76,"A",$I$5:$I$76,P9)+SUMIFS($L$5:$L$76,$H$5:$H$76,"A",$J$5:$J$76,P9)</f>
        <v>2</v>
      </c>
      <c r="U9" s="39">
        <f>SUMIFS($L$5:$L$76,$H$5:$H$76,"A",$I$5:$I$76,P9)+SUMIFS($K$5:$K$76,$H$5:$H$76,"A",$J$5:$J$76,P9)</f>
        <v>6</v>
      </c>
      <c r="V9" s="39">
        <f>T9-U9</f>
        <v>-4</v>
      </c>
      <c r="W9" s="39">
        <f>Q9*3+R9</f>
        <v>1</v>
      </c>
    </row>
    <row r="10" spans="1:23">
      <c r="A10" s="14" t="s">
        <v>69</v>
      </c>
      <c r="B10" s="15" t="s">
        <v>70</v>
      </c>
      <c r="C10" s="12">
        <v>6</v>
      </c>
      <c r="D10" s="47">
        <v>46198</v>
      </c>
      <c r="E10" s="48">
        <v>0.125</v>
      </c>
      <c r="F10" s="50" t="s">
        <v>71</v>
      </c>
      <c r="G10" s="38" t="s">
        <v>50</v>
      </c>
      <c r="H10" s="38" t="s">
        <v>51</v>
      </c>
      <c r="I10" s="15" t="s">
        <v>52</v>
      </c>
      <c r="J10" s="15" t="s">
        <v>63</v>
      </c>
      <c r="K10" s="13">
        <v>1</v>
      </c>
      <c r="L10" s="13">
        <v>0</v>
      </c>
      <c r="M10" s="38" t="str">
        <f t="shared" si="0"/>
        <v>1</v>
      </c>
      <c r="N10" s="38" t="str">
        <f t="shared" si="1"/>
        <v>South Africa</v>
      </c>
      <c r="O10" s="15"/>
      <c r="P10" s="15"/>
      <c r="Q10" s="15"/>
      <c r="R10" s="15"/>
      <c r="S10" s="15"/>
      <c r="T10" s="15"/>
      <c r="U10" s="15"/>
      <c r="V10" s="15"/>
      <c r="W10" s="15"/>
    </row>
    <row r="11" spans="1:23">
      <c r="A11" s="11" t="s">
        <v>72</v>
      </c>
      <c r="B11" s="12" t="s">
        <v>73</v>
      </c>
      <c r="C11" s="15">
        <v>7</v>
      </c>
      <c r="D11" s="45">
        <v>46185</v>
      </c>
      <c r="E11" s="46">
        <v>0.875</v>
      </c>
      <c r="F11" s="49" t="s">
        <v>74</v>
      </c>
      <c r="G11" s="39" t="s">
        <v>50</v>
      </c>
      <c r="H11" s="39" t="s">
        <v>75</v>
      </c>
      <c r="I11" s="12" t="s">
        <v>70</v>
      </c>
      <c r="J11" s="12" t="s">
        <v>73</v>
      </c>
      <c r="K11" s="13">
        <v>1</v>
      </c>
      <c r="L11" s="13">
        <v>1</v>
      </c>
      <c r="M11" s="39" t="str">
        <f t="shared" si="0"/>
        <v>X</v>
      </c>
      <c r="N11" s="39" t="str">
        <f t="shared" si="1"/>
        <v>Oavgjort</v>
      </c>
      <c r="O11" s="12"/>
      <c r="P11" s="10" t="s">
        <v>68</v>
      </c>
      <c r="Q11" s="12"/>
      <c r="R11" s="12"/>
      <c r="S11" s="12"/>
      <c r="T11" s="12"/>
      <c r="U11" s="12"/>
      <c r="V11" s="12"/>
      <c r="W11" s="12"/>
    </row>
    <row r="12" spans="1:23">
      <c r="A12" s="14" t="s">
        <v>76</v>
      </c>
      <c r="B12" s="15" t="s">
        <v>77</v>
      </c>
      <c r="C12" s="12">
        <v>8</v>
      </c>
      <c r="D12" s="47">
        <v>46186</v>
      </c>
      <c r="E12" s="48">
        <v>0.875</v>
      </c>
      <c r="F12" s="50" t="s">
        <v>78</v>
      </c>
      <c r="G12" s="38" t="s">
        <v>50</v>
      </c>
      <c r="H12" s="38" t="s">
        <v>75</v>
      </c>
      <c r="I12" s="15" t="s">
        <v>77</v>
      </c>
      <c r="J12" s="15" t="s">
        <v>79</v>
      </c>
      <c r="K12" s="13">
        <v>1</v>
      </c>
      <c r="L12" s="13">
        <v>1</v>
      </c>
      <c r="M12" s="38" t="str">
        <f t="shared" si="0"/>
        <v>X</v>
      </c>
      <c r="N12" s="38" t="str">
        <f t="shared" si="1"/>
        <v>Oavgjort</v>
      </c>
      <c r="O12" s="15"/>
      <c r="P12" s="15" t="s">
        <v>53</v>
      </c>
      <c r="Q12" s="38" t="s">
        <v>54</v>
      </c>
      <c r="R12" s="38" t="s">
        <v>55</v>
      </c>
      <c r="S12" s="38" t="s">
        <v>56</v>
      </c>
      <c r="T12" s="38" t="s">
        <v>57</v>
      </c>
      <c r="U12" s="38" t="s">
        <v>58</v>
      </c>
      <c r="V12" s="38" t="s">
        <v>59</v>
      </c>
      <c r="W12" s="38" t="s">
        <v>60</v>
      </c>
    </row>
    <row r="13" spans="1:23">
      <c r="A13" s="11" t="s">
        <v>80</v>
      </c>
      <c r="B13" s="12" t="s">
        <v>79</v>
      </c>
      <c r="C13" s="15">
        <v>9</v>
      </c>
      <c r="D13" s="45">
        <v>46191</v>
      </c>
      <c r="E13" s="46">
        <v>0.875</v>
      </c>
      <c r="F13" s="49" t="s">
        <v>81</v>
      </c>
      <c r="G13" s="39" t="s">
        <v>50</v>
      </c>
      <c r="H13" s="39" t="s">
        <v>75</v>
      </c>
      <c r="I13" s="12" t="s">
        <v>79</v>
      </c>
      <c r="J13" s="12" t="s">
        <v>73</v>
      </c>
      <c r="K13" s="13">
        <v>4</v>
      </c>
      <c r="L13" s="13">
        <v>1</v>
      </c>
      <c r="M13" s="39" t="str">
        <f t="shared" si="0"/>
        <v>1</v>
      </c>
      <c r="N13" s="39" t="str">
        <f t="shared" si="1"/>
        <v>Schweiz</v>
      </c>
      <c r="O13" s="12"/>
      <c r="P13" s="12" t="str">
        <f>B10</f>
        <v>Kanada</v>
      </c>
      <c r="Q13" s="39">
        <f>SUMPRODUCT(($H$5:$H$76="B")*($I$5:$I$76=P13)*($K$5:$K$76&lt;&gt;"")*($K$5:$K$76&gt;$L$5:$L$76))+SUMPRODUCT(($H$5:$H$76="B")*($J$5:$J$76=P13)*($L$5:$L$76&lt;&gt;"")*($L$5:$L$76&gt;$K$5:$K$76))</f>
        <v>1</v>
      </c>
      <c r="R13" s="39">
        <f>SUMPRODUCT(($H$5:$H$76="B")*(($I$5:$I$76=P13)+($J$5:$J$76=P13))*($K$5:$K$76&lt;&gt;"")*($K$5:$K$76=$L$5:$L$76))</f>
        <v>1</v>
      </c>
      <c r="S13" s="39">
        <f>SUMPRODUCT(($H$5:$H$76="B")*($I$5:$I$76=P13)*($K$5:$K$76&lt;&gt;"")*($K$5:$K$76&lt;$L$5:$L$76))+SUMPRODUCT(($H$5:$H$76="B")*($J$5:$J$76=P13)*($L$5:$L$76&lt;&gt;"")*($L$5:$L$76&lt;$K$5:$K$76))</f>
        <v>1</v>
      </c>
      <c r="T13" s="39">
        <f>SUMIFS($K$5:$K$76,$H$5:$H$76,"B",$I$5:$I$76,P13)+SUMIFS($L$5:$L$76,$H$5:$H$76,"B",$J$5:$J$76,P13)</f>
        <v>8</v>
      </c>
      <c r="U13" s="39">
        <f>SUMIFS($L$5:$L$76,$H$5:$H$76,"B",$I$5:$I$76,P13)+SUMIFS($K$5:$K$76,$H$5:$H$76,"B",$J$5:$J$76,P13)</f>
        <v>3</v>
      </c>
      <c r="V13" s="39">
        <f>T13-U13</f>
        <v>5</v>
      </c>
      <c r="W13" s="39">
        <f>Q13*3+R13</f>
        <v>4</v>
      </c>
    </row>
    <row r="14" spans="1:23">
      <c r="A14" s="14" t="s">
        <v>82</v>
      </c>
      <c r="B14" s="1"/>
      <c r="C14" s="12">
        <v>10</v>
      </c>
      <c r="D14" s="47">
        <v>46192</v>
      </c>
      <c r="E14" s="48">
        <v>0</v>
      </c>
      <c r="F14" s="50" t="s">
        <v>83</v>
      </c>
      <c r="G14" s="38" t="s">
        <v>50</v>
      </c>
      <c r="H14" s="38" t="s">
        <v>75</v>
      </c>
      <c r="I14" s="15" t="s">
        <v>70</v>
      </c>
      <c r="J14" s="15" t="s">
        <v>77</v>
      </c>
      <c r="K14" s="13">
        <v>6</v>
      </c>
      <c r="L14" s="13">
        <v>0</v>
      </c>
      <c r="M14" s="38" t="str">
        <f t="shared" si="0"/>
        <v>1</v>
      </c>
      <c r="N14" s="38" t="str">
        <f t="shared" si="1"/>
        <v>Kanada</v>
      </c>
      <c r="O14" s="15"/>
      <c r="P14" s="15" t="str">
        <f>B11</f>
        <v>Bosnien och Hercegovina</v>
      </c>
      <c r="Q14" s="38">
        <f>SUMPRODUCT(($H$5:$H$76="B")*($I$5:$I$76=P14)*($K$5:$K$76&lt;&gt;"")*($K$5:$K$76&gt;$L$5:$L$76))+SUMPRODUCT(($H$5:$H$76="B")*($J$5:$J$76=P14)*($L$5:$L$76&lt;&gt;"")*($L$5:$L$76&gt;$K$5:$K$76))</f>
        <v>1</v>
      </c>
      <c r="R14" s="38">
        <f>SUMPRODUCT(($H$5:$H$76="B")*(($I$5:$I$76=P14)+($J$5:$J$76=P14))*($K$5:$K$76&lt;&gt;"")*($K$5:$K$76=$L$5:$L$76))</f>
        <v>1</v>
      </c>
      <c r="S14" s="38">
        <f>SUMPRODUCT(($H$5:$H$76="B")*($I$5:$I$76=P14)*($K$5:$K$76&lt;&gt;"")*($K$5:$K$76&lt;$L$5:$L$76))+SUMPRODUCT(($H$5:$H$76="B")*($J$5:$J$76=P14)*($L$5:$L$76&lt;&gt;"")*($L$5:$L$76&lt;$K$5:$K$76))</f>
        <v>1</v>
      </c>
      <c r="T14" s="38">
        <f>SUMIFS($K$5:$K$76,$H$5:$H$76,"B",$I$5:$I$76,P14)+SUMIFS($L$5:$L$76,$H$5:$H$76,"B",$J$5:$J$76,P14)</f>
        <v>5</v>
      </c>
      <c r="U14" s="38">
        <f>SUMIFS($L$5:$L$76,$H$5:$H$76,"B",$I$5:$I$76,P14)+SUMIFS($K$5:$K$76,$H$5:$H$76,"B",$J$5:$J$76,P14)</f>
        <v>6</v>
      </c>
      <c r="V14" s="38">
        <f>T14-U14</f>
        <v>-1</v>
      </c>
      <c r="W14" s="38">
        <f>Q14*3+R14</f>
        <v>4</v>
      </c>
    </row>
    <row r="15" spans="1:23">
      <c r="A15" s="11" t="s">
        <v>84</v>
      </c>
      <c r="B15" s="12" t="s">
        <v>85</v>
      </c>
      <c r="C15" s="15">
        <v>11</v>
      </c>
      <c r="D15" s="45">
        <v>46197</v>
      </c>
      <c r="E15" s="46">
        <v>0.875</v>
      </c>
      <c r="F15" s="49" t="s">
        <v>83</v>
      </c>
      <c r="G15" s="39" t="s">
        <v>50</v>
      </c>
      <c r="H15" s="39" t="s">
        <v>75</v>
      </c>
      <c r="I15" s="12" t="s">
        <v>79</v>
      </c>
      <c r="J15" s="12" t="s">
        <v>70</v>
      </c>
      <c r="K15" s="13">
        <v>2</v>
      </c>
      <c r="L15" s="13">
        <v>1</v>
      </c>
      <c r="M15" s="39" t="str">
        <f t="shared" si="0"/>
        <v>1</v>
      </c>
      <c r="N15" s="39" t="str">
        <f t="shared" si="1"/>
        <v>Schweiz</v>
      </c>
      <c r="O15" s="12"/>
      <c r="P15" s="12" t="str">
        <f>B12</f>
        <v>Qatar</v>
      </c>
      <c r="Q15" s="39">
        <f>SUMPRODUCT(($H$5:$H$76="B")*($I$5:$I$76=P15)*($K$5:$K$76&lt;&gt;"")*($K$5:$K$76&gt;$L$5:$L$76))+SUMPRODUCT(($H$5:$H$76="B")*($J$5:$J$76=P15)*($L$5:$L$76&lt;&gt;"")*($L$5:$L$76&gt;$K$5:$K$76))</f>
        <v>0</v>
      </c>
      <c r="R15" s="39">
        <f>SUMPRODUCT(($H$5:$H$76="B")*(($I$5:$I$76=P15)+($J$5:$J$76=P15))*($K$5:$K$76&lt;&gt;"")*($K$5:$K$76=$L$5:$L$76))</f>
        <v>1</v>
      </c>
      <c r="S15" s="39">
        <f>SUMPRODUCT(($H$5:$H$76="B")*($I$5:$I$76=P15)*($K$5:$K$76&lt;&gt;"")*($K$5:$K$76&lt;$L$5:$L$76))+SUMPRODUCT(($H$5:$H$76="B")*($J$5:$J$76=P15)*($L$5:$L$76&lt;&gt;"")*($L$5:$L$76&lt;$K$5:$K$76))</f>
        <v>2</v>
      </c>
      <c r="T15" s="39">
        <f>SUMIFS($K$5:$K$76,$H$5:$H$76,"B",$I$5:$I$76,P15)+SUMIFS($L$5:$L$76,$H$5:$H$76,"B",$J$5:$J$76,P15)</f>
        <v>2</v>
      </c>
      <c r="U15" s="39">
        <f>SUMIFS($L$5:$L$76,$H$5:$H$76,"B",$I$5:$I$76,P15)+SUMIFS($K$5:$K$76,$H$5:$H$76,"B",$J$5:$J$76,P15)</f>
        <v>10</v>
      </c>
      <c r="V15" s="39">
        <f>T15-U15</f>
        <v>-8</v>
      </c>
      <c r="W15" s="39">
        <f>Q15*3+R15</f>
        <v>1</v>
      </c>
    </row>
    <row r="16" spans="1:23">
      <c r="A16" s="14" t="s">
        <v>86</v>
      </c>
      <c r="B16" s="15" t="s">
        <v>87</v>
      </c>
      <c r="C16" s="12">
        <v>12</v>
      </c>
      <c r="D16" s="47">
        <v>46197</v>
      </c>
      <c r="E16" s="48">
        <v>0.875</v>
      </c>
      <c r="F16" s="50" t="s">
        <v>88</v>
      </c>
      <c r="G16" s="38" t="s">
        <v>50</v>
      </c>
      <c r="H16" s="38" t="s">
        <v>75</v>
      </c>
      <c r="I16" s="15" t="s">
        <v>73</v>
      </c>
      <c r="J16" s="15" t="s">
        <v>77</v>
      </c>
      <c r="K16" s="13">
        <v>3</v>
      </c>
      <c r="L16" s="13">
        <v>1</v>
      </c>
      <c r="M16" s="38" t="str">
        <f t="shared" si="0"/>
        <v>1</v>
      </c>
      <c r="N16" s="38" t="str">
        <f t="shared" si="1"/>
        <v>Bosnien och Hercegovina</v>
      </c>
      <c r="O16" s="15"/>
      <c r="P16" s="15" t="str">
        <f>B13</f>
        <v>Schweiz</v>
      </c>
      <c r="Q16" s="38">
        <f>SUMPRODUCT(($H$5:$H$76="B")*($I$5:$I$76=P16)*($K$5:$K$76&lt;&gt;"")*($K$5:$K$76&gt;$L$5:$L$76))+SUMPRODUCT(($H$5:$H$76="B")*($J$5:$J$76=P16)*($L$5:$L$76&lt;&gt;"")*($L$5:$L$76&gt;$K$5:$K$76))</f>
        <v>2</v>
      </c>
      <c r="R16" s="38">
        <f>SUMPRODUCT(($H$5:$H$76="B")*(($I$5:$I$76=P16)+($J$5:$J$76=P16))*($K$5:$K$76&lt;&gt;"")*($K$5:$K$76=$L$5:$L$76))</f>
        <v>1</v>
      </c>
      <c r="S16" s="38">
        <f>SUMPRODUCT(($H$5:$H$76="B")*($I$5:$I$76=P16)*($K$5:$K$76&lt;&gt;"")*($K$5:$K$76&lt;$L$5:$L$76))+SUMPRODUCT(($H$5:$H$76="B")*($J$5:$J$76=P16)*($L$5:$L$76&lt;&gt;"")*($L$5:$L$76&lt;$K$5:$K$76))</f>
        <v>0</v>
      </c>
      <c r="T16" s="38">
        <f>SUMIFS($K$5:$K$76,$H$5:$H$76,"B",$I$5:$I$76,P16)+SUMIFS($L$5:$L$76,$H$5:$H$76,"B",$J$5:$J$76,P16)</f>
        <v>7</v>
      </c>
      <c r="U16" s="38">
        <f>SUMIFS($L$5:$L$76,$H$5:$H$76,"B",$I$5:$I$76,P16)+SUMIFS($K$5:$K$76,$H$5:$H$76,"B",$J$5:$J$76,P16)</f>
        <v>3</v>
      </c>
      <c r="V16" s="38">
        <f>T16-U16</f>
        <v>4</v>
      </c>
      <c r="W16" s="38">
        <f>Q16*3+R16</f>
        <v>7</v>
      </c>
    </row>
    <row r="17" spans="1:23">
      <c r="A17" s="11" t="s">
        <v>89</v>
      </c>
      <c r="B17" s="12" t="s">
        <v>90</v>
      </c>
      <c r="C17" s="15">
        <v>13</v>
      </c>
      <c r="D17" s="45">
        <v>46187</v>
      </c>
      <c r="E17" s="46">
        <v>0</v>
      </c>
      <c r="F17" s="49" t="s">
        <v>91</v>
      </c>
      <c r="G17" s="39" t="s">
        <v>50</v>
      </c>
      <c r="H17" s="39" t="s">
        <v>92</v>
      </c>
      <c r="I17" s="12" t="s">
        <v>85</v>
      </c>
      <c r="J17" s="12" t="s">
        <v>87</v>
      </c>
      <c r="K17" s="13">
        <v>1</v>
      </c>
      <c r="L17" s="13">
        <v>1</v>
      </c>
      <c r="M17" s="39" t="str">
        <f t="shared" si="0"/>
        <v>X</v>
      </c>
      <c r="N17" s="39" t="str">
        <f t="shared" si="1"/>
        <v>Oavgjort</v>
      </c>
      <c r="O17" s="12"/>
      <c r="P17" s="12"/>
      <c r="Q17" s="12"/>
      <c r="R17" s="12"/>
      <c r="S17" s="12"/>
      <c r="T17" s="12"/>
      <c r="U17" s="12"/>
      <c r="V17" s="12"/>
      <c r="W17" s="12"/>
    </row>
    <row r="18" spans="1:23">
      <c r="A18" s="14" t="s">
        <v>93</v>
      </c>
      <c r="B18" s="15" t="s">
        <v>94</v>
      </c>
      <c r="C18" s="12">
        <v>14</v>
      </c>
      <c r="D18" s="47">
        <v>46187</v>
      </c>
      <c r="E18" s="48">
        <v>0.125</v>
      </c>
      <c r="F18" s="50" t="s">
        <v>95</v>
      </c>
      <c r="G18" s="38" t="s">
        <v>50</v>
      </c>
      <c r="H18" s="38" t="s">
        <v>92</v>
      </c>
      <c r="I18" s="15" t="s">
        <v>90</v>
      </c>
      <c r="J18" s="15" t="s">
        <v>94</v>
      </c>
      <c r="K18" s="13">
        <v>0</v>
      </c>
      <c r="L18" s="13">
        <v>1</v>
      </c>
      <c r="M18" s="38" t="str">
        <f t="shared" si="0"/>
        <v>2</v>
      </c>
      <c r="N18" s="38" t="str">
        <f t="shared" si="1"/>
        <v>Skottland</v>
      </c>
      <c r="O18" s="15"/>
      <c r="P18" s="10" t="s">
        <v>82</v>
      </c>
      <c r="Q18" s="15"/>
      <c r="R18" s="15"/>
      <c r="S18" s="15"/>
      <c r="T18" s="15"/>
      <c r="U18" s="15"/>
      <c r="V18" s="15"/>
      <c r="W18" s="15"/>
    </row>
    <row r="19" spans="1:23">
      <c r="A19" s="11" t="s">
        <v>96</v>
      </c>
      <c r="B19" s="1"/>
      <c r="C19" s="15">
        <v>15</v>
      </c>
      <c r="D19" s="45">
        <v>46193</v>
      </c>
      <c r="E19" s="46">
        <v>0</v>
      </c>
      <c r="F19" s="49" t="s">
        <v>95</v>
      </c>
      <c r="G19" s="39" t="s">
        <v>50</v>
      </c>
      <c r="H19" s="39" t="s">
        <v>92</v>
      </c>
      <c r="I19" s="12" t="s">
        <v>94</v>
      </c>
      <c r="J19" s="12" t="s">
        <v>87</v>
      </c>
      <c r="K19" s="13">
        <v>0</v>
      </c>
      <c r="L19" s="13">
        <v>1</v>
      </c>
      <c r="M19" s="39" t="str">
        <f t="shared" si="0"/>
        <v>2</v>
      </c>
      <c r="N19" s="39" t="str">
        <f t="shared" si="1"/>
        <v>Marocko</v>
      </c>
      <c r="O19" s="12"/>
      <c r="P19" s="12" t="s">
        <v>53</v>
      </c>
      <c r="Q19" s="39" t="s">
        <v>54</v>
      </c>
      <c r="R19" s="39" t="s">
        <v>55</v>
      </c>
      <c r="S19" s="39" t="s">
        <v>56</v>
      </c>
      <c r="T19" s="39" t="s">
        <v>57</v>
      </c>
      <c r="U19" s="39" t="s">
        <v>58</v>
      </c>
      <c r="V19" s="39" t="s">
        <v>59</v>
      </c>
      <c r="W19" s="39" t="s">
        <v>60</v>
      </c>
    </row>
    <row r="20" spans="1:23">
      <c r="A20" s="14" t="s">
        <v>97</v>
      </c>
      <c r="B20" s="15" t="s">
        <v>98</v>
      </c>
      <c r="C20" s="12">
        <v>16</v>
      </c>
      <c r="D20" s="47">
        <v>46193</v>
      </c>
      <c r="E20" s="48">
        <v>0.97916666666666663</v>
      </c>
      <c r="F20" s="50" t="s">
        <v>99</v>
      </c>
      <c r="G20" s="38" t="s">
        <v>50</v>
      </c>
      <c r="H20" s="38" t="s">
        <v>92</v>
      </c>
      <c r="I20" s="15" t="s">
        <v>85</v>
      </c>
      <c r="J20" s="15" t="s">
        <v>90</v>
      </c>
      <c r="K20" s="13">
        <v>3</v>
      </c>
      <c r="L20" s="13">
        <v>0</v>
      </c>
      <c r="M20" s="38" t="str">
        <f t="shared" si="0"/>
        <v>1</v>
      </c>
      <c r="N20" s="38" t="str">
        <f t="shared" si="1"/>
        <v>Brasilien</v>
      </c>
      <c r="O20" s="15"/>
      <c r="P20" s="15" t="str">
        <f>B15</f>
        <v>Brasilien</v>
      </c>
      <c r="Q20" s="38">
        <f>SUMPRODUCT(($H$5:$H$76="C")*($I$5:$I$76=P20)*($K$5:$K$76&lt;&gt;"")*($K$5:$K$76&gt;$L$5:$L$76))+SUMPRODUCT(($H$5:$H$76="C")*($J$5:$J$76=P20)*($L$5:$L$76&lt;&gt;"")*($L$5:$L$76&gt;$K$5:$K$76))</f>
        <v>2</v>
      </c>
      <c r="R20" s="38">
        <f>SUMPRODUCT(($H$5:$H$76="C")*(($I$5:$I$76=P20)+($J$5:$J$76=P20))*($K$5:$K$76&lt;&gt;"")*($K$5:$K$76=$L$5:$L$76))</f>
        <v>1</v>
      </c>
      <c r="S20" s="38">
        <f>SUMPRODUCT(($H$5:$H$76="C")*($I$5:$I$76=P20)*($K$5:$K$76&lt;&gt;"")*($K$5:$K$76&lt;$L$5:$L$76))+SUMPRODUCT(($H$5:$H$76="C")*($J$5:$J$76=P20)*($L$5:$L$76&lt;&gt;"")*($L$5:$L$76&lt;$K$5:$K$76))</f>
        <v>0</v>
      </c>
      <c r="T20" s="38">
        <f>SUMIFS($K$5:$K$76,$H$5:$H$76,"C",$I$5:$I$76,P20)+SUMIFS($L$5:$L$76,$H$5:$H$76,"C",$J$5:$J$76,P20)</f>
        <v>7</v>
      </c>
      <c r="U20" s="38">
        <f>SUMIFS($L$5:$L$76,$H$5:$H$76,"C",$I$5:$I$76,P20)+SUMIFS($K$5:$K$76,$H$5:$H$76,"C",$J$5:$J$76,P20)</f>
        <v>1</v>
      </c>
      <c r="V20" s="38">
        <f>T20-U20</f>
        <v>6</v>
      </c>
      <c r="W20" s="38">
        <f>Q20*3+R20</f>
        <v>7</v>
      </c>
    </row>
    <row r="21" spans="1:23">
      <c r="A21" s="11" t="s">
        <v>100</v>
      </c>
      <c r="B21" s="12" t="s">
        <v>101</v>
      </c>
      <c r="C21" s="15">
        <v>17</v>
      </c>
      <c r="D21" s="45">
        <v>46198</v>
      </c>
      <c r="E21" s="46">
        <v>0</v>
      </c>
      <c r="F21" s="49" t="s">
        <v>102</v>
      </c>
      <c r="G21" s="39" t="s">
        <v>50</v>
      </c>
      <c r="H21" s="39" t="s">
        <v>92</v>
      </c>
      <c r="I21" s="12" t="s">
        <v>94</v>
      </c>
      <c r="J21" s="12" t="s">
        <v>85</v>
      </c>
      <c r="K21" s="13">
        <v>0</v>
      </c>
      <c r="L21" s="13">
        <v>3</v>
      </c>
      <c r="M21" s="39" t="str">
        <f t="shared" si="0"/>
        <v>2</v>
      </c>
      <c r="N21" s="39" t="str">
        <f t="shared" si="1"/>
        <v>Brasilien</v>
      </c>
      <c r="O21" s="12"/>
      <c r="P21" s="12" t="str">
        <f>B16</f>
        <v>Marocko</v>
      </c>
      <c r="Q21" s="39">
        <f>SUMPRODUCT(($H$5:$H$76="C")*($I$5:$I$76=P21)*($K$5:$K$76&lt;&gt;"")*($K$5:$K$76&gt;$L$5:$L$76))+SUMPRODUCT(($H$5:$H$76="C")*($J$5:$J$76=P21)*($L$5:$L$76&lt;&gt;"")*($L$5:$L$76&gt;$K$5:$K$76))</f>
        <v>2</v>
      </c>
      <c r="R21" s="39">
        <f>SUMPRODUCT(($H$5:$H$76="C")*(($I$5:$I$76=P21)+($J$5:$J$76=P21))*($K$5:$K$76&lt;&gt;"")*($K$5:$K$76=$L$5:$L$76))</f>
        <v>1</v>
      </c>
      <c r="S21" s="39">
        <f>SUMPRODUCT(($H$5:$H$76="C")*($I$5:$I$76=P21)*($K$5:$K$76&lt;&gt;"")*($K$5:$K$76&lt;$L$5:$L$76))+SUMPRODUCT(($H$5:$H$76="C")*($J$5:$J$76=P21)*($L$5:$L$76&lt;&gt;"")*($L$5:$L$76&lt;$K$5:$K$76))</f>
        <v>0</v>
      </c>
      <c r="T21" s="39">
        <f>SUMIFS($K$5:$K$76,$H$5:$H$76,"C",$I$5:$I$76,P21)+SUMIFS($L$5:$L$76,$H$5:$H$76,"C",$J$5:$J$76,P21)</f>
        <v>6</v>
      </c>
      <c r="U21" s="39">
        <f>SUMIFS($L$5:$L$76,$H$5:$H$76,"C",$I$5:$I$76,P21)+SUMIFS($K$5:$K$76,$H$5:$H$76,"C",$J$5:$J$76,P21)</f>
        <v>3</v>
      </c>
      <c r="V21" s="39">
        <f>T21-U21</f>
        <v>3</v>
      </c>
      <c r="W21" s="39">
        <f>Q21*3+R21</f>
        <v>7</v>
      </c>
    </row>
    <row r="22" spans="1:23">
      <c r="A22" s="14" t="s">
        <v>103</v>
      </c>
      <c r="B22" s="15" t="s">
        <v>104</v>
      </c>
      <c r="C22" s="12">
        <v>18</v>
      </c>
      <c r="D22" s="47">
        <v>46198</v>
      </c>
      <c r="E22" s="48">
        <v>0</v>
      </c>
      <c r="F22" s="50" t="s">
        <v>66</v>
      </c>
      <c r="G22" s="38" t="s">
        <v>50</v>
      </c>
      <c r="H22" s="38" t="s">
        <v>92</v>
      </c>
      <c r="I22" s="15" t="s">
        <v>87</v>
      </c>
      <c r="J22" s="15" t="s">
        <v>90</v>
      </c>
      <c r="K22" s="13">
        <v>4</v>
      </c>
      <c r="L22" s="13">
        <v>2</v>
      </c>
      <c r="M22" s="38" t="str">
        <f t="shared" si="0"/>
        <v>1</v>
      </c>
      <c r="N22" s="38" t="str">
        <f t="shared" si="1"/>
        <v>Marocko</v>
      </c>
      <c r="O22" s="15"/>
      <c r="P22" s="15" t="str">
        <f>B17</f>
        <v>Haiti</v>
      </c>
      <c r="Q22" s="38">
        <f>SUMPRODUCT(($H$5:$H$76="C")*($I$5:$I$76=P22)*($K$5:$K$76&lt;&gt;"")*($K$5:$K$76&gt;$L$5:$L$76))+SUMPRODUCT(($H$5:$H$76="C")*($J$5:$J$76=P22)*($L$5:$L$76&lt;&gt;"")*($L$5:$L$76&gt;$K$5:$K$76))</f>
        <v>0</v>
      </c>
      <c r="R22" s="38">
        <f>SUMPRODUCT(($H$5:$H$76="C")*(($I$5:$I$76=P22)+($J$5:$J$76=P22))*($K$5:$K$76&lt;&gt;"")*($K$5:$K$76=$L$5:$L$76))</f>
        <v>0</v>
      </c>
      <c r="S22" s="38">
        <f>SUMPRODUCT(($H$5:$H$76="C")*($I$5:$I$76=P22)*($K$5:$K$76&lt;&gt;"")*($K$5:$K$76&lt;$L$5:$L$76))+SUMPRODUCT(($H$5:$H$76="C")*($J$5:$J$76=P22)*($L$5:$L$76&lt;&gt;"")*($L$5:$L$76&lt;$K$5:$K$76))</f>
        <v>3</v>
      </c>
      <c r="T22" s="38">
        <f>SUMIFS($K$5:$K$76,$H$5:$H$76,"C",$I$5:$I$76,P22)+SUMIFS($L$5:$L$76,$H$5:$H$76,"C",$J$5:$J$76,P22)</f>
        <v>2</v>
      </c>
      <c r="U22" s="38">
        <f>SUMIFS($L$5:$L$76,$H$5:$H$76,"C",$I$5:$I$76,P22)+SUMIFS($K$5:$K$76,$H$5:$H$76,"C",$J$5:$J$76,P22)</f>
        <v>8</v>
      </c>
      <c r="V22" s="38">
        <f>T22-U22</f>
        <v>-6</v>
      </c>
      <c r="W22" s="38">
        <f>Q22*3+R22</f>
        <v>0</v>
      </c>
    </row>
    <row r="23" spans="1:23">
      <c r="A23" s="11" t="s">
        <v>105</v>
      </c>
      <c r="B23" s="12" t="s">
        <v>106</v>
      </c>
      <c r="C23" s="15">
        <v>19</v>
      </c>
      <c r="D23" s="45">
        <v>46186</v>
      </c>
      <c r="E23" s="46">
        <v>0.125</v>
      </c>
      <c r="F23" s="49" t="s">
        <v>81</v>
      </c>
      <c r="G23" s="39" t="s">
        <v>50</v>
      </c>
      <c r="H23" s="39" t="s">
        <v>107</v>
      </c>
      <c r="I23" s="12" t="s">
        <v>98</v>
      </c>
      <c r="J23" s="12" t="s">
        <v>101</v>
      </c>
      <c r="K23" s="13">
        <v>4</v>
      </c>
      <c r="L23" s="13">
        <v>1</v>
      </c>
      <c r="M23" s="39" t="str">
        <f t="shared" si="0"/>
        <v>1</v>
      </c>
      <c r="N23" s="39" t="str">
        <f t="shared" si="1"/>
        <v>USA</v>
      </c>
      <c r="O23" s="12"/>
      <c r="P23" s="12" t="str">
        <f>B18</f>
        <v>Skottland</v>
      </c>
      <c r="Q23" s="39">
        <f>SUMPRODUCT(($H$5:$H$76="C")*($I$5:$I$76=P23)*($K$5:$K$76&lt;&gt;"")*($K$5:$K$76&gt;$L$5:$L$76))+SUMPRODUCT(($H$5:$H$76="C")*($J$5:$J$76=P23)*($L$5:$L$76&lt;&gt;"")*($L$5:$L$76&gt;$K$5:$K$76))</f>
        <v>1</v>
      </c>
      <c r="R23" s="39">
        <f>SUMPRODUCT(($H$5:$H$76="C")*(($I$5:$I$76=P23)+($J$5:$J$76=P23))*($K$5:$K$76&lt;&gt;"")*($K$5:$K$76=$L$5:$L$76))</f>
        <v>0</v>
      </c>
      <c r="S23" s="39">
        <f>SUMPRODUCT(($H$5:$H$76="C")*($I$5:$I$76=P23)*($K$5:$K$76&lt;&gt;"")*($K$5:$K$76&lt;$L$5:$L$76))+SUMPRODUCT(($H$5:$H$76="C")*($J$5:$J$76=P23)*($L$5:$L$76&lt;&gt;"")*($L$5:$L$76&lt;$K$5:$K$76))</f>
        <v>2</v>
      </c>
      <c r="T23" s="39">
        <f>SUMIFS($K$5:$K$76,$H$5:$H$76,"C",$I$5:$I$76,P23)+SUMIFS($L$5:$L$76,$H$5:$H$76,"C",$J$5:$J$76,P23)</f>
        <v>1</v>
      </c>
      <c r="U23" s="39">
        <f>SUMIFS($L$5:$L$76,$H$5:$H$76,"C",$I$5:$I$76,P23)+SUMIFS($K$5:$K$76,$H$5:$H$76,"C",$J$5:$J$76,P23)</f>
        <v>4</v>
      </c>
      <c r="V23" s="39">
        <f>T23-U23</f>
        <v>-3</v>
      </c>
      <c r="W23" s="39">
        <f>Q23*3+R23</f>
        <v>3</v>
      </c>
    </row>
    <row r="24" spans="1:23">
      <c r="A24" s="14" t="s">
        <v>108</v>
      </c>
      <c r="B24" s="1"/>
      <c r="C24" s="12">
        <v>20</v>
      </c>
      <c r="D24" s="47">
        <v>46187</v>
      </c>
      <c r="E24" s="48">
        <v>0.25</v>
      </c>
      <c r="F24" s="50" t="s">
        <v>83</v>
      </c>
      <c r="G24" s="38" t="s">
        <v>50</v>
      </c>
      <c r="H24" s="38" t="s">
        <v>107</v>
      </c>
      <c r="I24" s="15" t="s">
        <v>104</v>
      </c>
      <c r="J24" s="15" t="s">
        <v>106</v>
      </c>
      <c r="K24" s="13">
        <v>2</v>
      </c>
      <c r="L24" s="13">
        <v>0</v>
      </c>
      <c r="M24" s="38" t="str">
        <f t="shared" si="0"/>
        <v>1</v>
      </c>
      <c r="N24" s="38" t="str">
        <f t="shared" si="1"/>
        <v>Australien</v>
      </c>
      <c r="O24" s="15"/>
      <c r="P24" s="15"/>
      <c r="Q24" s="15"/>
      <c r="R24" s="15"/>
      <c r="S24" s="15"/>
      <c r="T24" s="15"/>
      <c r="U24" s="15"/>
      <c r="V24" s="15"/>
      <c r="W24" s="15"/>
    </row>
    <row r="25" spans="1:23">
      <c r="A25" s="11" t="s">
        <v>109</v>
      </c>
      <c r="B25" s="12" t="s">
        <v>110</v>
      </c>
      <c r="C25" s="15">
        <v>21</v>
      </c>
      <c r="D25" s="45">
        <v>46193</v>
      </c>
      <c r="E25" s="46">
        <v>0.875</v>
      </c>
      <c r="F25" s="49" t="s">
        <v>78</v>
      </c>
      <c r="G25" s="39" t="s">
        <v>50</v>
      </c>
      <c r="H25" s="39" t="s">
        <v>107</v>
      </c>
      <c r="I25" s="12" t="s">
        <v>106</v>
      </c>
      <c r="J25" s="12" t="s">
        <v>101</v>
      </c>
      <c r="K25" s="13">
        <v>0</v>
      </c>
      <c r="L25" s="13">
        <v>1</v>
      </c>
      <c r="M25" s="39" t="str">
        <f t="shared" si="0"/>
        <v>2</v>
      </c>
      <c r="N25" s="39" t="str">
        <f t="shared" si="1"/>
        <v>Paraguay</v>
      </c>
      <c r="O25" s="12"/>
      <c r="P25" s="10" t="s">
        <v>96</v>
      </c>
      <c r="Q25" s="12"/>
      <c r="R25" s="12"/>
      <c r="S25" s="12"/>
      <c r="T25" s="12"/>
      <c r="U25" s="12"/>
      <c r="V25" s="12"/>
      <c r="W25" s="12"/>
    </row>
    <row r="26" spans="1:23">
      <c r="A26" s="14" t="s">
        <v>111</v>
      </c>
      <c r="B26" s="15" t="s">
        <v>112</v>
      </c>
      <c r="C26" s="12">
        <v>22</v>
      </c>
      <c r="D26" s="47">
        <v>46192</v>
      </c>
      <c r="E26" s="48">
        <v>0.20833333333333334</v>
      </c>
      <c r="F26" s="50" t="s">
        <v>88</v>
      </c>
      <c r="G26" s="38" t="s">
        <v>50</v>
      </c>
      <c r="H26" s="38" t="s">
        <v>107</v>
      </c>
      <c r="I26" s="15" t="s">
        <v>98</v>
      </c>
      <c r="J26" s="15" t="s">
        <v>104</v>
      </c>
      <c r="K26" s="13">
        <v>2</v>
      </c>
      <c r="L26" s="13">
        <v>0</v>
      </c>
      <c r="M26" s="38" t="str">
        <f t="shared" si="0"/>
        <v>1</v>
      </c>
      <c r="N26" s="38" t="str">
        <f t="shared" si="1"/>
        <v>USA</v>
      </c>
      <c r="O26" s="15"/>
      <c r="P26" s="15" t="s">
        <v>53</v>
      </c>
      <c r="Q26" s="38" t="s">
        <v>54</v>
      </c>
      <c r="R26" s="38" t="s">
        <v>55</v>
      </c>
      <c r="S26" s="38" t="s">
        <v>56</v>
      </c>
      <c r="T26" s="38" t="s">
        <v>57</v>
      </c>
      <c r="U26" s="38" t="s">
        <v>58</v>
      </c>
      <c r="V26" s="38" t="s">
        <v>59</v>
      </c>
      <c r="W26" s="38" t="s">
        <v>60</v>
      </c>
    </row>
    <row r="27" spans="1:23">
      <c r="A27" s="11" t="s">
        <v>113</v>
      </c>
      <c r="B27" s="12" t="s">
        <v>114</v>
      </c>
      <c r="C27" s="15">
        <v>23</v>
      </c>
      <c r="D27" s="45">
        <v>46199</v>
      </c>
      <c r="E27" s="46">
        <v>0.16666666666666666</v>
      </c>
      <c r="F27" s="49" t="s">
        <v>81</v>
      </c>
      <c r="G27" s="39" t="s">
        <v>50</v>
      </c>
      <c r="H27" s="39" t="s">
        <v>107</v>
      </c>
      <c r="I27" s="12" t="s">
        <v>106</v>
      </c>
      <c r="J27" s="12" t="s">
        <v>98</v>
      </c>
      <c r="K27" s="13">
        <v>3</v>
      </c>
      <c r="L27" s="13">
        <v>2</v>
      </c>
      <c r="M27" s="39" t="str">
        <f t="shared" si="0"/>
        <v>1</v>
      </c>
      <c r="N27" s="39" t="str">
        <f t="shared" si="1"/>
        <v>Turkiet</v>
      </c>
      <c r="O27" s="12"/>
      <c r="P27" s="12" t="str">
        <f>B20</f>
        <v>USA</v>
      </c>
      <c r="Q27" s="39">
        <f>SUMPRODUCT(($H$5:$H$76="D")*($I$5:$I$76=P27)*($K$5:$K$76&lt;&gt;"")*($K$5:$K$76&gt;$L$5:$L$76))+SUMPRODUCT(($H$5:$H$76="D")*($J$5:$J$76=P27)*($L$5:$L$76&lt;&gt;"")*($L$5:$L$76&gt;$K$5:$K$76))</f>
        <v>2</v>
      </c>
      <c r="R27" s="39">
        <f>SUMPRODUCT(($H$5:$H$76="D")*(($I$5:$I$76=P27)+($J$5:$J$76=P27))*($K$5:$K$76&lt;&gt;"")*($K$5:$K$76=$L$5:$L$76))</f>
        <v>0</v>
      </c>
      <c r="S27" s="39">
        <f>SUMPRODUCT(($H$5:$H$76="D")*($I$5:$I$76=P27)*($K$5:$K$76&lt;&gt;"")*($K$5:$K$76&lt;$L$5:$L$76))+SUMPRODUCT(($H$5:$H$76="D")*($J$5:$J$76=P27)*($L$5:$L$76&lt;&gt;"")*($L$5:$L$76&lt;$K$5:$K$76))</f>
        <v>1</v>
      </c>
      <c r="T27" s="39">
        <f>SUMIFS($K$5:$K$76,$H$5:$H$76,"D",$I$5:$I$76,P27)+SUMIFS($L$5:$L$76,$H$5:$H$76,"D",$J$5:$J$76,P27)</f>
        <v>8</v>
      </c>
      <c r="U27" s="39">
        <f>SUMIFS($L$5:$L$76,$H$5:$H$76,"D",$I$5:$I$76,P27)+SUMIFS($K$5:$K$76,$H$5:$H$76,"D",$J$5:$J$76,P27)</f>
        <v>4</v>
      </c>
      <c r="V27" s="39">
        <f>T27-U27</f>
        <v>4</v>
      </c>
      <c r="W27" s="39">
        <f>Q27*3+R27</f>
        <v>6</v>
      </c>
    </row>
    <row r="28" spans="1:23">
      <c r="A28" s="14" t="s">
        <v>115</v>
      </c>
      <c r="B28" s="15" t="s">
        <v>116</v>
      </c>
      <c r="C28" s="12">
        <v>24</v>
      </c>
      <c r="D28" s="47">
        <v>46199</v>
      </c>
      <c r="E28" s="48">
        <v>0.16666666666666666</v>
      </c>
      <c r="F28" s="50" t="s">
        <v>78</v>
      </c>
      <c r="G28" s="38" t="s">
        <v>50</v>
      </c>
      <c r="H28" s="38" t="s">
        <v>107</v>
      </c>
      <c r="I28" s="15" t="s">
        <v>101</v>
      </c>
      <c r="J28" s="15" t="s">
        <v>104</v>
      </c>
      <c r="K28" s="13">
        <v>0</v>
      </c>
      <c r="L28" s="13">
        <v>0</v>
      </c>
      <c r="M28" s="38" t="str">
        <f t="shared" si="0"/>
        <v>X</v>
      </c>
      <c r="N28" s="38" t="str">
        <f t="shared" si="1"/>
        <v>Oavgjort</v>
      </c>
      <c r="O28" s="15"/>
      <c r="P28" s="15" t="str">
        <f>B21</f>
        <v>Paraguay</v>
      </c>
      <c r="Q28" s="38">
        <f>SUMPRODUCT(($H$5:$H$76="D")*($I$5:$I$76=P28)*($K$5:$K$76&lt;&gt;"")*($K$5:$K$76&gt;$L$5:$L$76))+SUMPRODUCT(($H$5:$H$76="D")*($J$5:$J$76=P28)*($L$5:$L$76&lt;&gt;"")*($L$5:$L$76&gt;$K$5:$K$76))</f>
        <v>1</v>
      </c>
      <c r="R28" s="38">
        <f>SUMPRODUCT(($H$5:$H$76="D")*(($I$5:$I$76=P28)+($J$5:$J$76=P28))*($K$5:$K$76&lt;&gt;"")*($K$5:$K$76=$L$5:$L$76))</f>
        <v>1</v>
      </c>
      <c r="S28" s="38">
        <f>SUMPRODUCT(($H$5:$H$76="D")*($I$5:$I$76=P28)*($K$5:$K$76&lt;&gt;"")*($K$5:$K$76&lt;$L$5:$L$76))+SUMPRODUCT(($H$5:$H$76="D")*($J$5:$J$76=P28)*($L$5:$L$76&lt;&gt;"")*($L$5:$L$76&lt;$K$5:$K$76))</f>
        <v>1</v>
      </c>
      <c r="T28" s="38">
        <f>SUMIFS($K$5:$K$76,$H$5:$H$76,"D",$I$5:$I$76,P28)+SUMIFS($L$5:$L$76,$H$5:$H$76,"D",$J$5:$J$76,P28)</f>
        <v>2</v>
      </c>
      <c r="U28" s="38">
        <f>SUMIFS($L$5:$L$76,$H$5:$H$76,"D",$I$5:$I$76,P28)+SUMIFS($K$5:$K$76,$H$5:$H$76,"D",$J$5:$J$76,P28)</f>
        <v>4</v>
      </c>
      <c r="V28" s="38">
        <f>T28-U28</f>
        <v>-2</v>
      </c>
      <c r="W28" s="38">
        <f>Q28*3+R28</f>
        <v>4</v>
      </c>
    </row>
    <row r="29" spans="1:23">
      <c r="A29" s="11" t="s">
        <v>117</v>
      </c>
      <c r="B29" s="1"/>
      <c r="C29" s="15">
        <v>25</v>
      </c>
      <c r="D29" s="45">
        <v>46187</v>
      </c>
      <c r="E29" s="46">
        <v>0.79166666666666663</v>
      </c>
      <c r="F29" s="49" t="s">
        <v>118</v>
      </c>
      <c r="G29" s="39" t="s">
        <v>50</v>
      </c>
      <c r="H29" s="39" t="s">
        <v>119</v>
      </c>
      <c r="I29" s="12" t="s">
        <v>110</v>
      </c>
      <c r="J29" s="12" t="s">
        <v>112</v>
      </c>
      <c r="K29" s="13">
        <v>7</v>
      </c>
      <c r="L29" s="13">
        <v>1</v>
      </c>
      <c r="M29" s="39" t="str">
        <f t="shared" si="0"/>
        <v>1</v>
      </c>
      <c r="N29" s="39" t="str">
        <f t="shared" si="1"/>
        <v>Tyskland</v>
      </c>
      <c r="O29" s="12"/>
      <c r="P29" s="12" t="str">
        <f>B22</f>
        <v>Australien</v>
      </c>
      <c r="Q29" s="39">
        <f>SUMPRODUCT(($H$5:$H$76="D")*($I$5:$I$76=P29)*($K$5:$K$76&lt;&gt;"")*($K$5:$K$76&gt;$L$5:$L$76))+SUMPRODUCT(($H$5:$H$76="D")*($J$5:$J$76=P29)*($L$5:$L$76&lt;&gt;"")*($L$5:$L$76&gt;$K$5:$K$76))</f>
        <v>1</v>
      </c>
      <c r="R29" s="39">
        <f>SUMPRODUCT(($H$5:$H$76="D")*(($I$5:$I$76=P29)+($J$5:$J$76=P29))*($K$5:$K$76&lt;&gt;"")*($K$5:$K$76=$L$5:$L$76))</f>
        <v>1</v>
      </c>
      <c r="S29" s="39">
        <f>SUMPRODUCT(($H$5:$H$76="D")*($I$5:$I$76=P29)*($K$5:$K$76&lt;&gt;"")*($K$5:$K$76&lt;$L$5:$L$76))+SUMPRODUCT(($H$5:$H$76="D")*($J$5:$J$76=P29)*($L$5:$L$76&lt;&gt;"")*($L$5:$L$76&lt;$K$5:$K$76))</f>
        <v>1</v>
      </c>
      <c r="T29" s="39">
        <f>SUMIFS($K$5:$K$76,$H$5:$H$76,"D",$I$5:$I$76,P29)+SUMIFS($L$5:$L$76,$H$5:$H$76,"D",$J$5:$J$76,P29)</f>
        <v>2</v>
      </c>
      <c r="U29" s="39">
        <f>SUMIFS($L$5:$L$76,$H$5:$H$76,"D",$I$5:$I$76,P29)+SUMIFS($K$5:$K$76,$H$5:$H$76,"D",$J$5:$J$76,P29)</f>
        <v>2</v>
      </c>
      <c r="V29" s="39">
        <f>T29-U29</f>
        <v>0</v>
      </c>
      <c r="W29" s="39">
        <f>Q29*3+R29</f>
        <v>4</v>
      </c>
    </row>
    <row r="30" spans="1:23">
      <c r="A30" s="14" t="s">
        <v>120</v>
      </c>
      <c r="B30" s="15" t="s">
        <v>121</v>
      </c>
      <c r="C30" s="12">
        <v>26</v>
      </c>
      <c r="D30" s="47">
        <v>46188</v>
      </c>
      <c r="E30" s="48">
        <v>4.1666666666666664E-2</v>
      </c>
      <c r="F30" s="50" t="s">
        <v>99</v>
      </c>
      <c r="G30" s="38" t="s">
        <v>50</v>
      </c>
      <c r="H30" s="38" t="s">
        <v>119</v>
      </c>
      <c r="I30" s="15" t="s">
        <v>114</v>
      </c>
      <c r="J30" s="15" t="s">
        <v>116</v>
      </c>
      <c r="K30" s="13">
        <v>1</v>
      </c>
      <c r="L30" s="13">
        <v>0</v>
      </c>
      <c r="M30" s="38" t="str">
        <f t="shared" si="0"/>
        <v>1</v>
      </c>
      <c r="N30" s="38" t="str">
        <f t="shared" si="1"/>
        <v>Elfenbenskusten</v>
      </c>
      <c r="O30" s="15"/>
      <c r="P30" s="15" t="str">
        <f>B23</f>
        <v>Turkiet</v>
      </c>
      <c r="Q30" s="38">
        <f>SUMPRODUCT(($H$5:$H$76="D")*($I$5:$I$76=P30)*($K$5:$K$76&lt;&gt;"")*($K$5:$K$76&gt;$L$5:$L$76))+SUMPRODUCT(($H$5:$H$76="D")*($J$5:$J$76=P30)*($L$5:$L$76&lt;&gt;"")*($L$5:$L$76&gt;$K$5:$K$76))</f>
        <v>1</v>
      </c>
      <c r="R30" s="38">
        <f>SUMPRODUCT(($H$5:$H$76="D")*(($I$5:$I$76=P30)+($J$5:$J$76=P30))*($K$5:$K$76&lt;&gt;"")*($K$5:$K$76=$L$5:$L$76))</f>
        <v>0</v>
      </c>
      <c r="S30" s="38">
        <f>SUMPRODUCT(($H$5:$H$76="D")*($I$5:$I$76=P30)*($K$5:$K$76&lt;&gt;"")*($K$5:$K$76&lt;$L$5:$L$76))+SUMPRODUCT(($H$5:$H$76="D")*($J$5:$J$76=P30)*($L$5:$L$76&lt;&gt;"")*($L$5:$L$76&lt;$K$5:$K$76))</f>
        <v>2</v>
      </c>
      <c r="T30" s="38">
        <f>SUMIFS($K$5:$K$76,$H$5:$H$76,"D",$I$5:$I$76,P30)+SUMIFS($L$5:$L$76,$H$5:$H$76,"D",$J$5:$J$76,P30)</f>
        <v>3</v>
      </c>
      <c r="U30" s="38">
        <f>SUMIFS($L$5:$L$76,$H$5:$H$76,"D",$I$5:$I$76,P30)+SUMIFS($K$5:$K$76,$H$5:$H$76,"D",$J$5:$J$76,P30)</f>
        <v>5</v>
      </c>
      <c r="V30" s="38">
        <f>T30-U30</f>
        <v>-2</v>
      </c>
      <c r="W30" s="38">
        <f>Q30*3+R30</f>
        <v>3</v>
      </c>
    </row>
    <row r="31" spans="1:23">
      <c r="A31" s="11" t="s">
        <v>122</v>
      </c>
      <c r="B31" s="12" t="s">
        <v>123</v>
      </c>
      <c r="C31" s="15">
        <v>27</v>
      </c>
      <c r="D31" s="45">
        <v>46194</v>
      </c>
      <c r="E31" s="46">
        <v>8.3333333333333329E-2</v>
      </c>
      <c r="F31" s="49" t="s">
        <v>124</v>
      </c>
      <c r="G31" s="39" t="s">
        <v>50</v>
      </c>
      <c r="H31" s="39" t="s">
        <v>119</v>
      </c>
      <c r="I31" s="12" t="s">
        <v>116</v>
      </c>
      <c r="J31" s="12" t="s">
        <v>112</v>
      </c>
      <c r="K31" s="13">
        <v>0</v>
      </c>
      <c r="L31" s="13">
        <v>0</v>
      </c>
      <c r="M31" s="39" t="str">
        <f t="shared" si="0"/>
        <v>X</v>
      </c>
      <c r="N31" s="39" t="str">
        <f t="shared" si="1"/>
        <v>Oavgjort</v>
      </c>
      <c r="O31" s="12"/>
      <c r="P31" s="12"/>
      <c r="Q31" s="12"/>
      <c r="R31" s="12"/>
      <c r="S31" s="12"/>
      <c r="T31" s="12"/>
      <c r="U31" s="12"/>
      <c r="V31" s="12"/>
      <c r="W31" s="12"/>
    </row>
    <row r="32" spans="1:23">
      <c r="A32" s="14" t="s">
        <v>125</v>
      </c>
      <c r="B32" s="15" t="s">
        <v>126</v>
      </c>
      <c r="C32" s="12">
        <v>28</v>
      </c>
      <c r="D32" s="47">
        <v>46193</v>
      </c>
      <c r="E32" s="48">
        <v>0.91666666666666663</v>
      </c>
      <c r="F32" s="50" t="s">
        <v>74</v>
      </c>
      <c r="G32" s="38" t="s">
        <v>50</v>
      </c>
      <c r="H32" s="38" t="s">
        <v>119</v>
      </c>
      <c r="I32" s="15" t="s">
        <v>110</v>
      </c>
      <c r="J32" s="15" t="s">
        <v>114</v>
      </c>
      <c r="K32" s="13">
        <v>2</v>
      </c>
      <c r="L32" s="13">
        <v>1</v>
      </c>
      <c r="M32" s="38" t="str">
        <f t="shared" si="0"/>
        <v>1</v>
      </c>
      <c r="N32" s="38" t="str">
        <f t="shared" si="1"/>
        <v>Tyskland</v>
      </c>
      <c r="O32" s="15"/>
      <c r="P32" s="10" t="s">
        <v>108</v>
      </c>
      <c r="Q32" s="15"/>
      <c r="R32" s="15"/>
      <c r="S32" s="15"/>
      <c r="T32" s="15"/>
      <c r="U32" s="15"/>
      <c r="V32" s="15"/>
      <c r="W32" s="15"/>
    </row>
    <row r="33" spans="1:23">
      <c r="A33" s="11" t="s">
        <v>127</v>
      </c>
      <c r="B33" s="12" t="s">
        <v>128</v>
      </c>
      <c r="C33" s="15">
        <v>29</v>
      </c>
      <c r="D33" s="45">
        <v>46198</v>
      </c>
      <c r="E33" s="46">
        <v>0.91666666666666663</v>
      </c>
      <c r="F33" s="49" t="s">
        <v>91</v>
      </c>
      <c r="G33" s="39" t="s">
        <v>50</v>
      </c>
      <c r="H33" s="39" t="s">
        <v>119</v>
      </c>
      <c r="I33" s="12" t="s">
        <v>116</v>
      </c>
      <c r="J33" s="12" t="s">
        <v>110</v>
      </c>
      <c r="K33" s="13">
        <v>2</v>
      </c>
      <c r="L33" s="13">
        <v>1</v>
      </c>
      <c r="M33" s="39" t="str">
        <f t="shared" si="0"/>
        <v>1</v>
      </c>
      <c r="N33" s="39" t="str">
        <f t="shared" si="1"/>
        <v>Ecuador</v>
      </c>
      <c r="O33" s="12"/>
      <c r="P33" s="12" t="s">
        <v>53</v>
      </c>
      <c r="Q33" s="39" t="s">
        <v>54</v>
      </c>
      <c r="R33" s="39" t="s">
        <v>55</v>
      </c>
      <c r="S33" s="39" t="s">
        <v>56</v>
      </c>
      <c r="T33" s="39" t="s">
        <v>57</v>
      </c>
      <c r="U33" s="39" t="s">
        <v>58</v>
      </c>
      <c r="V33" s="39" t="s">
        <v>59</v>
      </c>
      <c r="W33" s="39" t="s">
        <v>60</v>
      </c>
    </row>
    <row r="34" spans="1:23">
      <c r="A34" s="14" t="s">
        <v>129</v>
      </c>
      <c r="B34" s="1"/>
      <c r="C34" s="12">
        <v>30</v>
      </c>
      <c r="D34" s="47">
        <v>46198</v>
      </c>
      <c r="E34" s="48">
        <v>0.91666666666666663</v>
      </c>
      <c r="F34" s="50" t="s">
        <v>99</v>
      </c>
      <c r="G34" s="38" t="s">
        <v>50</v>
      </c>
      <c r="H34" s="38" t="s">
        <v>119</v>
      </c>
      <c r="I34" s="15" t="s">
        <v>112</v>
      </c>
      <c r="J34" s="15" t="s">
        <v>114</v>
      </c>
      <c r="K34" s="13">
        <v>0</v>
      </c>
      <c r="L34" s="13">
        <v>2</v>
      </c>
      <c r="M34" s="38" t="str">
        <f t="shared" si="0"/>
        <v>2</v>
      </c>
      <c r="N34" s="38" t="str">
        <f t="shared" si="1"/>
        <v>Elfenbenskusten</v>
      </c>
      <c r="O34" s="15"/>
      <c r="P34" s="15" t="str">
        <f>B25</f>
        <v>Tyskland</v>
      </c>
      <c r="Q34" s="38">
        <f>SUMPRODUCT(($H$5:$H$76="E")*($I$5:$I$76=P34)*($K$5:$K$76&lt;&gt;"")*($K$5:$K$76&gt;$L$5:$L$76))+SUMPRODUCT(($H$5:$H$76="E")*($J$5:$J$76=P34)*($L$5:$L$76&lt;&gt;"")*($L$5:$L$76&gt;$K$5:$K$76))</f>
        <v>2</v>
      </c>
      <c r="R34" s="38">
        <f>SUMPRODUCT(($H$5:$H$76="E")*(($I$5:$I$76=P34)+($J$5:$J$76=P34))*($K$5:$K$76&lt;&gt;"")*($K$5:$K$76=$L$5:$L$76))</f>
        <v>0</v>
      </c>
      <c r="S34" s="38">
        <f>SUMPRODUCT(($H$5:$H$76="E")*($I$5:$I$76=P34)*($K$5:$K$76&lt;&gt;"")*($K$5:$K$76&lt;$L$5:$L$76))+SUMPRODUCT(($H$5:$H$76="E")*($J$5:$J$76=P34)*($L$5:$L$76&lt;&gt;"")*($L$5:$L$76&lt;$K$5:$K$76))</f>
        <v>1</v>
      </c>
      <c r="T34" s="38">
        <f>SUMIFS($K$5:$K$76,$H$5:$H$76,"E",$I$5:$I$76,P34)+SUMIFS($L$5:$L$76,$H$5:$H$76,"E",$J$5:$J$76,P34)</f>
        <v>10</v>
      </c>
      <c r="U34" s="38">
        <f>SUMIFS($L$5:$L$76,$H$5:$H$76,"E",$I$5:$I$76,P34)+SUMIFS($K$5:$K$76,$H$5:$H$76,"E",$J$5:$J$76,P34)</f>
        <v>4</v>
      </c>
      <c r="V34" s="38">
        <f>T34-U34</f>
        <v>6</v>
      </c>
      <c r="W34" s="38">
        <f>Q34*3+R34</f>
        <v>6</v>
      </c>
    </row>
    <row r="35" spans="1:23">
      <c r="A35" s="11" t="s">
        <v>130</v>
      </c>
      <c r="B35" s="12" t="s">
        <v>131</v>
      </c>
      <c r="C35" s="15">
        <v>31</v>
      </c>
      <c r="D35" s="45">
        <v>46187</v>
      </c>
      <c r="E35" s="46">
        <v>0.91666666666666663</v>
      </c>
      <c r="F35" s="49" t="s">
        <v>132</v>
      </c>
      <c r="G35" s="39" t="s">
        <v>50</v>
      </c>
      <c r="H35" s="39" t="s">
        <v>56</v>
      </c>
      <c r="I35" s="12" t="s">
        <v>121</v>
      </c>
      <c r="J35" s="12" t="s">
        <v>123</v>
      </c>
      <c r="K35" s="13">
        <v>2</v>
      </c>
      <c r="L35" s="13">
        <v>2</v>
      </c>
      <c r="M35" s="39" t="str">
        <f t="shared" si="0"/>
        <v>X</v>
      </c>
      <c r="N35" s="39" t="str">
        <f t="shared" si="1"/>
        <v>Oavgjort</v>
      </c>
      <c r="O35" s="12"/>
      <c r="P35" s="12" t="str">
        <f>B26</f>
        <v>Curaçao</v>
      </c>
      <c r="Q35" s="39">
        <f>SUMPRODUCT(($H$5:$H$76="E")*($I$5:$I$76=P35)*($K$5:$K$76&lt;&gt;"")*($K$5:$K$76&gt;$L$5:$L$76))+SUMPRODUCT(($H$5:$H$76="E")*($J$5:$J$76=P35)*($L$5:$L$76&lt;&gt;"")*($L$5:$L$76&gt;$K$5:$K$76))</f>
        <v>0</v>
      </c>
      <c r="R35" s="39">
        <f>SUMPRODUCT(($H$5:$H$76="E")*(($I$5:$I$76=P35)+($J$5:$J$76=P35))*($K$5:$K$76&lt;&gt;"")*($K$5:$K$76=$L$5:$L$76))</f>
        <v>1</v>
      </c>
      <c r="S35" s="39">
        <f>SUMPRODUCT(($H$5:$H$76="E")*($I$5:$I$76=P35)*($K$5:$K$76&lt;&gt;"")*($K$5:$K$76&lt;$L$5:$L$76))+SUMPRODUCT(($H$5:$H$76="E")*($J$5:$J$76=P35)*($L$5:$L$76&lt;&gt;"")*($L$5:$L$76&lt;$K$5:$K$76))</f>
        <v>2</v>
      </c>
      <c r="T35" s="39">
        <f>SUMIFS($K$5:$K$76,$H$5:$H$76,"E",$I$5:$I$76,P35)+SUMIFS($L$5:$L$76,$H$5:$H$76,"E",$J$5:$J$76,P35)</f>
        <v>1</v>
      </c>
      <c r="U35" s="39">
        <f>SUMIFS($L$5:$L$76,$H$5:$H$76,"E",$I$5:$I$76,P35)+SUMIFS($K$5:$K$76,$H$5:$H$76,"E",$J$5:$J$76,P35)</f>
        <v>9</v>
      </c>
      <c r="V35" s="39">
        <f>T35-U35</f>
        <v>-8</v>
      </c>
      <c r="W35" s="39">
        <f>Q35*3+R35</f>
        <v>1</v>
      </c>
    </row>
    <row r="36" spans="1:23">
      <c r="A36" s="14" t="s">
        <v>133</v>
      </c>
      <c r="B36" s="15" t="s">
        <v>134</v>
      </c>
      <c r="C36" s="12">
        <v>32</v>
      </c>
      <c r="D36" s="47">
        <v>46188</v>
      </c>
      <c r="E36" s="48">
        <v>0.16666666666666666</v>
      </c>
      <c r="F36" s="50" t="s">
        <v>71</v>
      </c>
      <c r="G36" s="38" t="s">
        <v>50</v>
      </c>
      <c r="H36" s="38" t="s">
        <v>56</v>
      </c>
      <c r="I36" s="15" t="s">
        <v>126</v>
      </c>
      <c r="J36" s="15" t="s">
        <v>128</v>
      </c>
      <c r="K36" s="13">
        <v>5</v>
      </c>
      <c r="L36" s="13">
        <v>1</v>
      </c>
      <c r="M36" s="38" t="str">
        <f t="shared" si="0"/>
        <v>1</v>
      </c>
      <c r="N36" s="38" t="str">
        <f t="shared" si="1"/>
        <v>Sverige</v>
      </c>
      <c r="O36" s="15"/>
      <c r="P36" s="15" t="str">
        <f>B27</f>
        <v>Elfenbenskusten</v>
      </c>
      <c r="Q36" s="38">
        <f>SUMPRODUCT(($H$5:$H$76="E")*($I$5:$I$76=P36)*($K$5:$K$76&lt;&gt;"")*($K$5:$K$76&gt;$L$5:$L$76))+SUMPRODUCT(($H$5:$H$76="E")*($J$5:$J$76=P36)*($L$5:$L$76&lt;&gt;"")*($L$5:$L$76&gt;$K$5:$K$76))</f>
        <v>2</v>
      </c>
      <c r="R36" s="38">
        <f>SUMPRODUCT(($H$5:$H$76="E")*(($I$5:$I$76=P36)+($J$5:$J$76=P36))*($K$5:$K$76&lt;&gt;"")*($K$5:$K$76=$L$5:$L$76))</f>
        <v>0</v>
      </c>
      <c r="S36" s="38">
        <f>SUMPRODUCT(($H$5:$H$76="E")*($I$5:$I$76=P36)*($K$5:$K$76&lt;&gt;"")*($K$5:$K$76&lt;$L$5:$L$76))+SUMPRODUCT(($H$5:$H$76="E")*($J$5:$J$76=P36)*($L$5:$L$76&lt;&gt;"")*($L$5:$L$76&lt;$K$5:$K$76))</f>
        <v>1</v>
      </c>
      <c r="T36" s="38">
        <f>SUMIFS($K$5:$K$76,$H$5:$H$76,"E",$I$5:$I$76,P36)+SUMIFS($L$5:$L$76,$H$5:$H$76,"E",$J$5:$J$76,P36)</f>
        <v>4</v>
      </c>
      <c r="U36" s="38">
        <f>SUMIFS($L$5:$L$76,$H$5:$H$76,"E",$I$5:$I$76,P36)+SUMIFS($K$5:$K$76,$H$5:$H$76,"E",$J$5:$J$76,P36)</f>
        <v>2</v>
      </c>
      <c r="V36" s="38">
        <f>T36-U36</f>
        <v>2</v>
      </c>
      <c r="W36" s="38">
        <f>Q36*3+R36</f>
        <v>6</v>
      </c>
    </row>
    <row r="37" spans="1:23">
      <c r="A37" s="11" t="s">
        <v>135</v>
      </c>
      <c r="B37" s="12" t="s">
        <v>136</v>
      </c>
      <c r="C37" s="15">
        <v>33</v>
      </c>
      <c r="D37" s="45">
        <v>46194</v>
      </c>
      <c r="E37" s="46">
        <v>0.25</v>
      </c>
      <c r="F37" s="49" t="s">
        <v>71</v>
      </c>
      <c r="G37" s="39" t="s">
        <v>50</v>
      </c>
      <c r="H37" s="39" t="s">
        <v>56</v>
      </c>
      <c r="I37" s="12" t="s">
        <v>128</v>
      </c>
      <c r="J37" s="12" t="s">
        <v>123</v>
      </c>
      <c r="K37" s="13">
        <v>0</v>
      </c>
      <c r="L37" s="13">
        <v>4</v>
      </c>
      <c r="M37" s="39" t="str">
        <f t="shared" ref="M37:M68" si="2">IF(OR(K37="",L37=""),"",IF(K37&gt;L37,"1",IF(K37&lt;L37,"2","X")))</f>
        <v>2</v>
      </c>
      <c r="N37" s="39" t="str">
        <f t="shared" ref="N37:N68" si="3">IF(M37="","",IF(M37="1",I37,IF(M37="2",J37,"Oavgjort")))</f>
        <v>Japan</v>
      </c>
      <c r="O37" s="12"/>
      <c r="P37" s="12" t="str">
        <f>B28</f>
        <v>Ecuador</v>
      </c>
      <c r="Q37" s="39">
        <f>SUMPRODUCT(($H$5:$H$76="E")*($I$5:$I$76=P37)*($K$5:$K$76&lt;&gt;"")*($K$5:$K$76&gt;$L$5:$L$76))+SUMPRODUCT(($H$5:$H$76="E")*($J$5:$J$76=P37)*($L$5:$L$76&lt;&gt;"")*($L$5:$L$76&gt;$K$5:$K$76))</f>
        <v>1</v>
      </c>
      <c r="R37" s="39">
        <f>SUMPRODUCT(($H$5:$H$76="E")*(($I$5:$I$76=P37)+($J$5:$J$76=P37))*($K$5:$K$76&lt;&gt;"")*($K$5:$K$76=$L$5:$L$76))</f>
        <v>1</v>
      </c>
      <c r="S37" s="39">
        <f>SUMPRODUCT(($H$5:$H$76="E")*($I$5:$I$76=P37)*($K$5:$K$76&lt;&gt;"")*($K$5:$K$76&lt;$L$5:$L$76))+SUMPRODUCT(($H$5:$H$76="E")*($J$5:$J$76=P37)*($L$5:$L$76&lt;&gt;"")*($L$5:$L$76&lt;$K$5:$K$76))</f>
        <v>1</v>
      </c>
      <c r="T37" s="39">
        <f>SUMIFS($K$5:$K$76,$H$5:$H$76,"E",$I$5:$I$76,P37)+SUMIFS($L$5:$L$76,$H$5:$H$76,"E",$J$5:$J$76,P37)</f>
        <v>2</v>
      </c>
      <c r="U37" s="39">
        <f>SUMIFS($L$5:$L$76,$H$5:$H$76,"E",$I$5:$I$76,P37)+SUMIFS($K$5:$K$76,$H$5:$H$76,"E",$J$5:$J$76,P37)</f>
        <v>2</v>
      </c>
      <c r="V37" s="39">
        <f>T37-U37</f>
        <v>0</v>
      </c>
      <c r="W37" s="39">
        <f>Q37*3+R37</f>
        <v>4</v>
      </c>
    </row>
    <row r="38" spans="1:23">
      <c r="A38" s="14" t="s">
        <v>137</v>
      </c>
      <c r="B38" s="15" t="s">
        <v>138</v>
      </c>
      <c r="C38" s="12">
        <v>34</v>
      </c>
      <c r="D38" s="47">
        <v>46193</v>
      </c>
      <c r="E38" s="48">
        <v>0.79166666666666663</v>
      </c>
      <c r="F38" s="50" t="s">
        <v>118</v>
      </c>
      <c r="G38" s="38" t="s">
        <v>50</v>
      </c>
      <c r="H38" s="38" t="s">
        <v>56</v>
      </c>
      <c r="I38" s="15" t="s">
        <v>121</v>
      </c>
      <c r="J38" s="15" t="s">
        <v>126</v>
      </c>
      <c r="K38" s="13">
        <v>5</v>
      </c>
      <c r="L38" s="13">
        <v>1</v>
      </c>
      <c r="M38" s="38" t="str">
        <f t="shared" si="2"/>
        <v>1</v>
      </c>
      <c r="N38" s="38" t="str">
        <f t="shared" si="3"/>
        <v>Nederländerna</v>
      </c>
      <c r="O38" s="15"/>
      <c r="P38" s="15"/>
      <c r="Q38" s="15"/>
      <c r="R38" s="15"/>
      <c r="S38" s="15"/>
      <c r="T38" s="15"/>
      <c r="U38" s="15"/>
      <c r="V38" s="15"/>
      <c r="W38" s="15"/>
    </row>
    <row r="39" spans="1:23">
      <c r="A39" s="11" t="s">
        <v>139</v>
      </c>
      <c r="B39" s="1"/>
      <c r="C39" s="15">
        <v>35</v>
      </c>
      <c r="D39" s="45">
        <v>46199</v>
      </c>
      <c r="E39" s="46">
        <v>4.1666666666666664E-2</v>
      </c>
      <c r="F39" s="49" t="s">
        <v>124</v>
      </c>
      <c r="G39" s="39" t="s">
        <v>50</v>
      </c>
      <c r="H39" s="39" t="s">
        <v>56</v>
      </c>
      <c r="I39" s="12" t="s">
        <v>128</v>
      </c>
      <c r="J39" s="12" t="s">
        <v>121</v>
      </c>
      <c r="K39" s="13">
        <v>1</v>
      </c>
      <c r="L39" s="13">
        <v>3</v>
      </c>
      <c r="M39" s="39" t="str">
        <f t="shared" si="2"/>
        <v>2</v>
      </c>
      <c r="N39" s="39" t="str">
        <f t="shared" si="3"/>
        <v>Nederländerna</v>
      </c>
      <c r="O39" s="12"/>
      <c r="P39" s="10" t="s">
        <v>117</v>
      </c>
      <c r="Q39" s="12"/>
      <c r="R39" s="12"/>
      <c r="S39" s="12"/>
      <c r="T39" s="12"/>
      <c r="U39" s="12"/>
      <c r="V39" s="12"/>
      <c r="W39" s="12"/>
    </row>
    <row r="40" spans="1:23">
      <c r="A40" s="14" t="s">
        <v>140</v>
      </c>
      <c r="B40" s="15" t="s">
        <v>141</v>
      </c>
      <c r="C40" s="12">
        <v>36</v>
      </c>
      <c r="D40" s="47">
        <v>46199</v>
      </c>
      <c r="E40" s="48">
        <v>4.1666666666666664E-2</v>
      </c>
      <c r="F40" s="50" t="s">
        <v>132</v>
      </c>
      <c r="G40" s="38" t="s">
        <v>50</v>
      </c>
      <c r="H40" s="38" t="s">
        <v>56</v>
      </c>
      <c r="I40" s="15" t="s">
        <v>123</v>
      </c>
      <c r="J40" s="15" t="s">
        <v>126</v>
      </c>
      <c r="K40" s="13">
        <v>1</v>
      </c>
      <c r="L40" s="13">
        <v>1</v>
      </c>
      <c r="M40" s="38" t="str">
        <f t="shared" si="2"/>
        <v>X</v>
      </c>
      <c r="N40" s="38" t="str">
        <f t="shared" si="3"/>
        <v>Oavgjort</v>
      </c>
      <c r="O40" s="15"/>
      <c r="P40" s="15" t="s">
        <v>53</v>
      </c>
      <c r="Q40" s="38" t="s">
        <v>54</v>
      </c>
      <c r="R40" s="38" t="s">
        <v>55</v>
      </c>
      <c r="S40" s="38" t="s">
        <v>56</v>
      </c>
      <c r="T40" s="38" t="s">
        <v>57</v>
      </c>
      <c r="U40" s="38" t="s">
        <v>58</v>
      </c>
      <c r="V40" s="38" t="s">
        <v>59</v>
      </c>
      <c r="W40" s="38" t="s">
        <v>60</v>
      </c>
    </row>
    <row r="41" spans="1:23">
      <c r="A41" s="11" t="s">
        <v>142</v>
      </c>
      <c r="B41" s="12" t="s">
        <v>143</v>
      </c>
      <c r="C41" s="15">
        <v>37</v>
      </c>
      <c r="D41" s="45">
        <v>46188</v>
      </c>
      <c r="E41" s="46">
        <v>0.875</v>
      </c>
      <c r="F41" s="49" t="s">
        <v>88</v>
      </c>
      <c r="G41" s="39" t="s">
        <v>50</v>
      </c>
      <c r="H41" s="39" t="s">
        <v>144</v>
      </c>
      <c r="I41" s="12" t="s">
        <v>131</v>
      </c>
      <c r="J41" s="12" t="s">
        <v>134</v>
      </c>
      <c r="K41" s="13">
        <v>1</v>
      </c>
      <c r="L41" s="13">
        <v>1</v>
      </c>
      <c r="M41" s="39" t="str">
        <f t="shared" si="2"/>
        <v>X</v>
      </c>
      <c r="N41" s="39" t="str">
        <f t="shared" si="3"/>
        <v>Oavgjort</v>
      </c>
      <c r="O41" s="12"/>
      <c r="P41" s="12" t="str">
        <f>B30</f>
        <v>Nederländerna</v>
      </c>
      <c r="Q41" s="39">
        <f>SUMPRODUCT(($H$5:$H$76="F")*($I$5:$I$76=P41)*($K$5:$K$76&lt;&gt;"")*($K$5:$K$76&gt;$L$5:$L$76))+SUMPRODUCT(($H$5:$H$76="F")*($J$5:$J$76=P41)*($L$5:$L$76&lt;&gt;"")*($L$5:$L$76&gt;$K$5:$K$76))</f>
        <v>2</v>
      </c>
      <c r="R41" s="39">
        <f>SUMPRODUCT(($H$5:$H$76="F")*(($I$5:$I$76=P41)+($J$5:$J$76=P41))*($K$5:$K$76&lt;&gt;"")*($K$5:$K$76=$L$5:$L$76))</f>
        <v>1</v>
      </c>
      <c r="S41" s="39">
        <f>SUMPRODUCT(($H$5:$H$76="F")*($I$5:$I$76=P41)*($K$5:$K$76&lt;&gt;"")*($K$5:$K$76&lt;$L$5:$L$76))+SUMPRODUCT(($H$5:$H$76="F")*($J$5:$J$76=P41)*($L$5:$L$76&lt;&gt;"")*($L$5:$L$76&lt;$K$5:$K$76))</f>
        <v>0</v>
      </c>
      <c r="T41" s="39">
        <f>SUMIFS($K$5:$K$76,$H$5:$H$76,"F",$I$5:$I$76,P41)+SUMIFS($L$5:$L$76,$H$5:$H$76,"F",$J$5:$J$76,P41)</f>
        <v>10</v>
      </c>
      <c r="U41" s="39">
        <f>SUMIFS($L$5:$L$76,$H$5:$H$76,"F",$I$5:$I$76,P41)+SUMIFS($K$5:$K$76,$H$5:$H$76,"F",$J$5:$J$76,P41)</f>
        <v>4</v>
      </c>
      <c r="V41" s="39">
        <f>T41-U41</f>
        <v>6</v>
      </c>
      <c r="W41" s="39">
        <f>Q41*3+R41</f>
        <v>7</v>
      </c>
    </row>
    <row r="42" spans="1:23">
      <c r="A42" s="14" t="s">
        <v>145</v>
      </c>
      <c r="B42" s="15" t="s">
        <v>146</v>
      </c>
      <c r="C42" s="12">
        <v>38</v>
      </c>
      <c r="D42" s="47">
        <v>46189</v>
      </c>
      <c r="E42" s="48">
        <v>0.125</v>
      </c>
      <c r="F42" s="50" t="s">
        <v>81</v>
      </c>
      <c r="G42" s="38" t="s">
        <v>50</v>
      </c>
      <c r="H42" s="38" t="s">
        <v>144</v>
      </c>
      <c r="I42" s="15" t="s">
        <v>136</v>
      </c>
      <c r="J42" s="15" t="s">
        <v>138</v>
      </c>
      <c r="K42" s="13">
        <v>2</v>
      </c>
      <c r="L42" s="13">
        <v>2</v>
      </c>
      <c r="M42" s="38" t="str">
        <f t="shared" si="2"/>
        <v>X</v>
      </c>
      <c r="N42" s="38" t="str">
        <f t="shared" si="3"/>
        <v>Oavgjort</v>
      </c>
      <c r="O42" s="15"/>
      <c r="P42" s="15" t="str">
        <f>B31</f>
        <v>Japan</v>
      </c>
      <c r="Q42" s="38">
        <f>SUMPRODUCT(($H$5:$H$76="F")*($I$5:$I$76=P42)*($K$5:$K$76&lt;&gt;"")*($K$5:$K$76&gt;$L$5:$L$76))+SUMPRODUCT(($H$5:$H$76="F")*($J$5:$J$76=P42)*($L$5:$L$76&lt;&gt;"")*($L$5:$L$76&gt;$K$5:$K$76))</f>
        <v>1</v>
      </c>
      <c r="R42" s="38">
        <f>SUMPRODUCT(($H$5:$H$76="F")*(($I$5:$I$76=P42)+($J$5:$J$76=P42))*($K$5:$K$76&lt;&gt;"")*($K$5:$K$76=$L$5:$L$76))</f>
        <v>2</v>
      </c>
      <c r="S42" s="38">
        <f>SUMPRODUCT(($H$5:$H$76="F")*($I$5:$I$76=P42)*($K$5:$K$76&lt;&gt;"")*($K$5:$K$76&lt;$L$5:$L$76))+SUMPRODUCT(($H$5:$H$76="F")*($J$5:$J$76=P42)*($L$5:$L$76&lt;&gt;"")*($L$5:$L$76&lt;$K$5:$K$76))</f>
        <v>0</v>
      </c>
      <c r="T42" s="38">
        <f>SUMIFS($K$5:$K$76,$H$5:$H$76,"F",$I$5:$I$76,P42)+SUMIFS($L$5:$L$76,$H$5:$H$76,"F",$J$5:$J$76,P42)</f>
        <v>7</v>
      </c>
      <c r="U42" s="38">
        <f>SUMIFS($L$5:$L$76,$H$5:$H$76,"F",$I$5:$I$76,P42)+SUMIFS($K$5:$K$76,$H$5:$H$76,"F",$J$5:$J$76,P42)</f>
        <v>3</v>
      </c>
      <c r="V42" s="38">
        <f>T42-U42</f>
        <v>4</v>
      </c>
      <c r="W42" s="38">
        <f>Q42*3+R42</f>
        <v>5</v>
      </c>
    </row>
    <row r="43" spans="1:23">
      <c r="A43" s="11" t="s">
        <v>147</v>
      </c>
      <c r="B43" s="12" t="s">
        <v>148</v>
      </c>
      <c r="C43" s="15">
        <v>39</v>
      </c>
      <c r="D43" s="45">
        <v>46195</v>
      </c>
      <c r="E43" s="46">
        <v>0.125</v>
      </c>
      <c r="F43" s="49" t="s">
        <v>83</v>
      </c>
      <c r="G43" s="39" t="s">
        <v>50</v>
      </c>
      <c r="H43" s="39" t="s">
        <v>144</v>
      </c>
      <c r="I43" s="12" t="s">
        <v>138</v>
      </c>
      <c r="J43" s="12" t="s">
        <v>134</v>
      </c>
      <c r="K43" s="13">
        <v>1</v>
      </c>
      <c r="L43" s="13">
        <v>3</v>
      </c>
      <c r="M43" s="39" t="str">
        <f t="shared" si="2"/>
        <v>2</v>
      </c>
      <c r="N43" s="39" t="str">
        <f t="shared" si="3"/>
        <v>Egypten</v>
      </c>
      <c r="O43" s="12"/>
      <c r="P43" s="12" t="str">
        <f>B32</f>
        <v>Sverige</v>
      </c>
      <c r="Q43" s="39">
        <f>SUMPRODUCT(($H$5:$H$76="F")*($I$5:$I$76=P43)*($K$5:$K$76&lt;&gt;"")*($K$5:$K$76&gt;$L$5:$L$76))+SUMPRODUCT(($H$5:$H$76="F")*($J$5:$J$76=P43)*($L$5:$L$76&lt;&gt;"")*($L$5:$L$76&gt;$K$5:$K$76))</f>
        <v>1</v>
      </c>
      <c r="R43" s="39">
        <f>SUMPRODUCT(($H$5:$H$76="F")*(($I$5:$I$76=P43)+($J$5:$J$76=P43))*($K$5:$K$76&lt;&gt;"")*($K$5:$K$76=$L$5:$L$76))</f>
        <v>1</v>
      </c>
      <c r="S43" s="39">
        <f>SUMPRODUCT(($H$5:$H$76="F")*($I$5:$I$76=P43)*($K$5:$K$76&lt;&gt;"")*($K$5:$K$76&lt;$L$5:$L$76))+SUMPRODUCT(($H$5:$H$76="F")*($J$5:$J$76=P43)*($L$5:$L$76&lt;&gt;"")*($L$5:$L$76&lt;$K$5:$K$76))</f>
        <v>1</v>
      </c>
      <c r="T43" s="39">
        <f>SUMIFS($K$5:$K$76,$H$5:$H$76,"F",$I$5:$I$76,P43)+SUMIFS($L$5:$L$76,$H$5:$H$76,"F",$J$5:$J$76,P43)</f>
        <v>7</v>
      </c>
      <c r="U43" s="39">
        <f>SUMIFS($L$5:$L$76,$H$5:$H$76,"F",$I$5:$I$76,P43)+SUMIFS($K$5:$K$76,$H$5:$H$76,"F",$J$5:$J$76,P43)</f>
        <v>7</v>
      </c>
      <c r="V43" s="39">
        <f>T43-U43</f>
        <v>0</v>
      </c>
      <c r="W43" s="39">
        <f>Q43*3+R43</f>
        <v>4</v>
      </c>
    </row>
    <row r="44" spans="1:23">
      <c r="A44" s="14" t="s">
        <v>149</v>
      </c>
      <c r="B44" s="1"/>
      <c r="C44" s="12">
        <v>40</v>
      </c>
      <c r="D44" s="47">
        <v>46194</v>
      </c>
      <c r="E44" s="48">
        <v>0.875</v>
      </c>
      <c r="F44" s="50" t="s">
        <v>81</v>
      </c>
      <c r="G44" s="38" t="s">
        <v>50</v>
      </c>
      <c r="H44" s="38" t="s">
        <v>144</v>
      </c>
      <c r="I44" s="15" t="s">
        <v>131</v>
      </c>
      <c r="J44" s="15" t="s">
        <v>136</v>
      </c>
      <c r="K44" s="13">
        <v>0</v>
      </c>
      <c r="L44" s="13">
        <v>0</v>
      </c>
      <c r="M44" s="38" t="str">
        <f t="shared" si="2"/>
        <v>X</v>
      </c>
      <c r="N44" s="38" t="str">
        <f t="shared" si="3"/>
        <v>Oavgjort</v>
      </c>
      <c r="O44" s="15"/>
      <c r="P44" s="15" t="str">
        <f>B33</f>
        <v>Tunisien</v>
      </c>
      <c r="Q44" s="38">
        <f>SUMPRODUCT(($H$5:$H$76="F")*($I$5:$I$76=P44)*($K$5:$K$76&lt;&gt;"")*($K$5:$K$76&gt;$L$5:$L$76))+SUMPRODUCT(($H$5:$H$76="F")*($J$5:$J$76=P44)*($L$5:$L$76&lt;&gt;"")*($L$5:$L$76&gt;$K$5:$K$76))</f>
        <v>0</v>
      </c>
      <c r="R44" s="38">
        <f>SUMPRODUCT(($H$5:$H$76="F")*(($I$5:$I$76=P44)+($J$5:$J$76=P44))*($K$5:$K$76&lt;&gt;"")*($K$5:$K$76=$L$5:$L$76))</f>
        <v>0</v>
      </c>
      <c r="S44" s="38">
        <f>SUMPRODUCT(($H$5:$H$76="F")*($I$5:$I$76=P44)*($K$5:$K$76&lt;&gt;"")*($K$5:$K$76&lt;$L$5:$L$76))+SUMPRODUCT(($H$5:$H$76="F")*($J$5:$J$76=P44)*($L$5:$L$76&lt;&gt;"")*($L$5:$L$76&lt;$K$5:$K$76))</f>
        <v>3</v>
      </c>
      <c r="T44" s="38">
        <f>SUMIFS($K$5:$K$76,$H$5:$H$76,"F",$I$5:$I$76,P44)+SUMIFS($L$5:$L$76,$H$5:$H$76,"F",$J$5:$J$76,P44)</f>
        <v>2</v>
      </c>
      <c r="U44" s="38">
        <f>SUMIFS($L$5:$L$76,$H$5:$H$76,"F",$I$5:$I$76,P44)+SUMIFS($K$5:$K$76,$H$5:$H$76,"F",$J$5:$J$76,P44)</f>
        <v>12</v>
      </c>
      <c r="V44" s="38">
        <f>T44-U44</f>
        <v>-10</v>
      </c>
      <c r="W44" s="38">
        <f>Q44*3+R44</f>
        <v>0</v>
      </c>
    </row>
    <row r="45" spans="1:23">
      <c r="A45" s="11" t="s">
        <v>150</v>
      </c>
      <c r="B45" s="12" t="s">
        <v>151</v>
      </c>
      <c r="C45" s="15">
        <v>41</v>
      </c>
      <c r="D45" s="45">
        <v>46200</v>
      </c>
      <c r="E45" s="46">
        <v>0.20833333333333334</v>
      </c>
      <c r="F45" s="49" t="s">
        <v>83</v>
      </c>
      <c r="G45" s="39" t="s">
        <v>50</v>
      </c>
      <c r="H45" s="39" t="s">
        <v>144</v>
      </c>
      <c r="I45" s="12" t="s">
        <v>138</v>
      </c>
      <c r="J45" s="12" t="s">
        <v>131</v>
      </c>
      <c r="K45" s="13">
        <v>1</v>
      </c>
      <c r="L45" s="13">
        <v>5</v>
      </c>
      <c r="M45" s="39" t="str">
        <f t="shared" si="2"/>
        <v>2</v>
      </c>
      <c r="N45" s="39" t="str">
        <f t="shared" si="3"/>
        <v>Belgien</v>
      </c>
      <c r="O45" s="12"/>
      <c r="P45" s="12"/>
      <c r="Q45" s="12"/>
      <c r="R45" s="12"/>
      <c r="S45" s="12"/>
      <c r="T45" s="12"/>
      <c r="U45" s="12"/>
      <c r="V45" s="12"/>
      <c r="W45" s="12"/>
    </row>
    <row r="46" spans="1:23">
      <c r="A46" s="14" t="s">
        <v>152</v>
      </c>
      <c r="B46" s="15" t="s">
        <v>153</v>
      </c>
      <c r="C46" s="12">
        <v>42</v>
      </c>
      <c r="D46" s="47">
        <v>46200</v>
      </c>
      <c r="E46" s="48">
        <v>0.20833333333333334</v>
      </c>
      <c r="F46" s="50" t="s">
        <v>88</v>
      </c>
      <c r="G46" s="38" t="s">
        <v>50</v>
      </c>
      <c r="H46" s="38" t="s">
        <v>144</v>
      </c>
      <c r="I46" s="15" t="s">
        <v>134</v>
      </c>
      <c r="J46" s="15" t="s">
        <v>136</v>
      </c>
      <c r="K46" s="13">
        <v>1</v>
      </c>
      <c r="L46" s="13">
        <v>1</v>
      </c>
      <c r="M46" s="38" t="str">
        <f t="shared" si="2"/>
        <v>X</v>
      </c>
      <c r="N46" s="38" t="str">
        <f t="shared" si="3"/>
        <v>Oavgjort</v>
      </c>
      <c r="O46" s="15"/>
      <c r="P46" s="10" t="s">
        <v>129</v>
      </c>
      <c r="Q46" s="15"/>
      <c r="R46" s="15"/>
      <c r="S46" s="15"/>
      <c r="T46" s="15"/>
      <c r="U46" s="15"/>
      <c r="V46" s="15"/>
      <c r="W46" s="15"/>
    </row>
    <row r="47" spans="1:23">
      <c r="A47" s="11" t="s">
        <v>154</v>
      </c>
      <c r="B47" s="12" t="s">
        <v>155</v>
      </c>
      <c r="C47" s="15">
        <v>43</v>
      </c>
      <c r="D47" s="45">
        <v>46188</v>
      </c>
      <c r="E47" s="46">
        <v>0.75</v>
      </c>
      <c r="F47" s="49" t="s">
        <v>66</v>
      </c>
      <c r="G47" s="39" t="s">
        <v>50</v>
      </c>
      <c r="H47" s="39" t="s">
        <v>156</v>
      </c>
      <c r="I47" s="12" t="s">
        <v>141</v>
      </c>
      <c r="J47" s="12" t="s">
        <v>143</v>
      </c>
      <c r="K47" s="13">
        <v>0</v>
      </c>
      <c r="L47" s="13">
        <v>0</v>
      </c>
      <c r="M47" s="39" t="str">
        <f t="shared" si="2"/>
        <v>X</v>
      </c>
      <c r="N47" s="39" t="str">
        <f t="shared" si="3"/>
        <v>Oavgjort</v>
      </c>
      <c r="O47" s="12"/>
      <c r="P47" s="12" t="s">
        <v>53</v>
      </c>
      <c r="Q47" s="39" t="s">
        <v>54</v>
      </c>
      <c r="R47" s="39" t="s">
        <v>55</v>
      </c>
      <c r="S47" s="39" t="s">
        <v>56</v>
      </c>
      <c r="T47" s="39" t="s">
        <v>57</v>
      </c>
      <c r="U47" s="39" t="s">
        <v>58</v>
      </c>
      <c r="V47" s="39" t="s">
        <v>59</v>
      </c>
      <c r="W47" s="39" t="s">
        <v>60</v>
      </c>
    </row>
    <row r="48" spans="1:23">
      <c r="A48" s="14" t="s">
        <v>157</v>
      </c>
      <c r="B48" s="15" t="s">
        <v>158</v>
      </c>
      <c r="C48" s="12">
        <v>44</v>
      </c>
      <c r="D48" s="47">
        <v>46189</v>
      </c>
      <c r="E48" s="48">
        <v>0</v>
      </c>
      <c r="F48" s="50" t="s">
        <v>102</v>
      </c>
      <c r="G48" s="38" t="s">
        <v>50</v>
      </c>
      <c r="H48" s="38" t="s">
        <v>156</v>
      </c>
      <c r="I48" s="15" t="s">
        <v>146</v>
      </c>
      <c r="J48" s="15" t="s">
        <v>148</v>
      </c>
      <c r="K48" s="13">
        <v>1</v>
      </c>
      <c r="L48" s="13">
        <v>1</v>
      </c>
      <c r="M48" s="38" t="str">
        <f t="shared" si="2"/>
        <v>X</v>
      </c>
      <c r="N48" s="38" t="str">
        <f t="shared" si="3"/>
        <v>Oavgjort</v>
      </c>
      <c r="O48" s="15"/>
      <c r="P48" s="15" t="str">
        <f>B35</f>
        <v>Belgien</v>
      </c>
      <c r="Q48" s="38">
        <f>SUMPRODUCT(($H$5:$H$76="G")*($I$5:$I$76=P48)*($K$5:$K$76&lt;&gt;"")*($K$5:$K$76&gt;$L$5:$L$76))+SUMPRODUCT(($H$5:$H$76="G")*($J$5:$J$76=P48)*($L$5:$L$76&lt;&gt;"")*($L$5:$L$76&gt;$K$5:$K$76))</f>
        <v>1</v>
      </c>
      <c r="R48" s="38">
        <f>SUMPRODUCT(($H$5:$H$76="G")*(($I$5:$I$76=P48)+($J$5:$J$76=P48))*($K$5:$K$76&lt;&gt;"")*($K$5:$K$76=$L$5:$L$76))</f>
        <v>2</v>
      </c>
      <c r="S48" s="38">
        <f>SUMPRODUCT(($H$5:$H$76="G")*($I$5:$I$76=P48)*($K$5:$K$76&lt;&gt;"")*($K$5:$K$76&lt;$L$5:$L$76))+SUMPRODUCT(($H$5:$H$76="G")*($J$5:$J$76=P48)*($L$5:$L$76&lt;&gt;"")*($L$5:$L$76&lt;$K$5:$K$76))</f>
        <v>0</v>
      </c>
      <c r="T48" s="38">
        <f>SUMIFS($K$5:$K$76,$H$5:$H$76,"G",$I$5:$I$76,P48)+SUMIFS($L$5:$L$76,$H$5:$H$76,"G",$J$5:$J$76,P48)</f>
        <v>6</v>
      </c>
      <c r="U48" s="38">
        <f>SUMIFS($L$5:$L$76,$H$5:$H$76,"G",$I$5:$I$76,P48)+SUMIFS($K$5:$K$76,$H$5:$H$76,"G",$J$5:$J$76,P48)</f>
        <v>2</v>
      </c>
      <c r="V48" s="38">
        <f>T48-U48</f>
        <v>4</v>
      </c>
      <c r="W48" s="38">
        <f>Q48*3+R48</f>
        <v>5</v>
      </c>
    </row>
    <row r="49" spans="1:23">
      <c r="A49" s="11" t="s">
        <v>159</v>
      </c>
      <c r="B49" s="1"/>
      <c r="C49" s="15">
        <v>45</v>
      </c>
      <c r="D49" s="45">
        <v>46195</v>
      </c>
      <c r="E49" s="46">
        <v>0</v>
      </c>
      <c r="F49" s="49" t="s">
        <v>102</v>
      </c>
      <c r="G49" s="39" t="s">
        <v>50</v>
      </c>
      <c r="H49" s="39" t="s">
        <v>156</v>
      </c>
      <c r="I49" s="12" t="s">
        <v>148</v>
      </c>
      <c r="J49" s="12" t="s">
        <v>143</v>
      </c>
      <c r="K49" s="13">
        <v>2</v>
      </c>
      <c r="L49" s="13">
        <v>2</v>
      </c>
      <c r="M49" s="39" t="str">
        <f t="shared" si="2"/>
        <v>X</v>
      </c>
      <c r="N49" s="39" t="str">
        <f t="shared" si="3"/>
        <v>Oavgjort</v>
      </c>
      <c r="O49" s="12"/>
      <c r="P49" s="12" t="str">
        <f>B36</f>
        <v>Egypten</v>
      </c>
      <c r="Q49" s="39">
        <f>SUMPRODUCT(($H$5:$H$76="G")*($I$5:$I$76=P49)*($K$5:$K$76&lt;&gt;"")*($K$5:$K$76&gt;$L$5:$L$76))+SUMPRODUCT(($H$5:$H$76="G")*($J$5:$J$76=P49)*($L$5:$L$76&lt;&gt;"")*($L$5:$L$76&gt;$K$5:$K$76))</f>
        <v>1</v>
      </c>
      <c r="R49" s="39">
        <f>SUMPRODUCT(($H$5:$H$76="G")*(($I$5:$I$76=P49)+($J$5:$J$76=P49))*($K$5:$K$76&lt;&gt;"")*($K$5:$K$76=$L$5:$L$76))</f>
        <v>2</v>
      </c>
      <c r="S49" s="39">
        <f>SUMPRODUCT(($H$5:$H$76="G")*($I$5:$I$76=P49)*($K$5:$K$76&lt;&gt;"")*($K$5:$K$76&lt;$L$5:$L$76))+SUMPRODUCT(($H$5:$H$76="G")*($J$5:$J$76=P49)*($L$5:$L$76&lt;&gt;"")*($L$5:$L$76&lt;$K$5:$K$76))</f>
        <v>0</v>
      </c>
      <c r="T49" s="39">
        <f>SUMIFS($K$5:$K$76,$H$5:$H$76,"G",$I$5:$I$76,P49)+SUMIFS($L$5:$L$76,$H$5:$H$76,"G",$J$5:$J$76,P49)</f>
        <v>5</v>
      </c>
      <c r="U49" s="39">
        <f>SUMIFS($L$5:$L$76,$H$5:$H$76,"G",$I$5:$I$76,P49)+SUMIFS($K$5:$K$76,$H$5:$H$76,"G",$J$5:$J$76,P49)</f>
        <v>3</v>
      </c>
      <c r="V49" s="39">
        <f>T49-U49</f>
        <v>2</v>
      </c>
      <c r="W49" s="39">
        <f>Q49*3+R49</f>
        <v>5</v>
      </c>
    </row>
    <row r="50" spans="1:23">
      <c r="A50" s="14" t="s">
        <v>160</v>
      </c>
      <c r="B50" s="15" t="s">
        <v>161</v>
      </c>
      <c r="C50" s="12">
        <v>46</v>
      </c>
      <c r="D50" s="47">
        <v>46194</v>
      </c>
      <c r="E50" s="48">
        <v>0.75</v>
      </c>
      <c r="F50" s="50" t="s">
        <v>66</v>
      </c>
      <c r="G50" s="38" t="s">
        <v>50</v>
      </c>
      <c r="H50" s="38" t="s">
        <v>156</v>
      </c>
      <c r="I50" s="15" t="s">
        <v>141</v>
      </c>
      <c r="J50" s="15" t="s">
        <v>146</v>
      </c>
      <c r="K50" s="13">
        <v>4</v>
      </c>
      <c r="L50" s="13">
        <v>0</v>
      </c>
      <c r="M50" s="38" t="str">
        <f t="shared" si="2"/>
        <v>1</v>
      </c>
      <c r="N50" s="38" t="str">
        <f t="shared" si="3"/>
        <v>Spanien</v>
      </c>
      <c r="O50" s="15"/>
      <c r="P50" s="15" t="str">
        <f>B37</f>
        <v>Iran</v>
      </c>
      <c r="Q50" s="38">
        <f>SUMPRODUCT(($H$5:$H$76="G")*($I$5:$I$76=P50)*($K$5:$K$76&lt;&gt;"")*($K$5:$K$76&gt;$L$5:$L$76))+SUMPRODUCT(($H$5:$H$76="G")*($J$5:$J$76=P50)*($L$5:$L$76&lt;&gt;"")*($L$5:$L$76&gt;$K$5:$K$76))</f>
        <v>0</v>
      </c>
      <c r="R50" s="38">
        <f>SUMPRODUCT(($H$5:$H$76="G")*(($I$5:$I$76=P50)+($J$5:$J$76=P50))*($K$5:$K$76&lt;&gt;"")*($K$5:$K$76=$L$5:$L$76))</f>
        <v>3</v>
      </c>
      <c r="S50" s="38">
        <f>SUMPRODUCT(($H$5:$H$76="G")*($I$5:$I$76=P50)*($K$5:$K$76&lt;&gt;"")*($K$5:$K$76&lt;$L$5:$L$76))+SUMPRODUCT(($H$5:$H$76="G")*($J$5:$J$76=P50)*($L$5:$L$76&lt;&gt;"")*($L$5:$L$76&lt;$K$5:$K$76))</f>
        <v>0</v>
      </c>
      <c r="T50" s="38">
        <f>SUMIFS($K$5:$K$76,$H$5:$H$76,"G",$I$5:$I$76,P50)+SUMIFS($L$5:$L$76,$H$5:$H$76,"G",$J$5:$J$76,P50)</f>
        <v>3</v>
      </c>
      <c r="U50" s="38">
        <f>SUMIFS($L$5:$L$76,$H$5:$H$76,"G",$I$5:$I$76,P50)+SUMIFS($K$5:$K$76,$H$5:$H$76,"G",$J$5:$J$76,P50)</f>
        <v>3</v>
      </c>
      <c r="V50" s="38">
        <f>T50-U50</f>
        <v>0</v>
      </c>
      <c r="W50" s="38">
        <f>Q50*3+R50</f>
        <v>3</v>
      </c>
    </row>
    <row r="51" spans="1:23">
      <c r="A51" s="11" t="s">
        <v>162</v>
      </c>
      <c r="B51" s="12" t="s">
        <v>163</v>
      </c>
      <c r="C51" s="15">
        <v>47</v>
      </c>
      <c r="D51" s="45">
        <v>46200</v>
      </c>
      <c r="E51" s="46">
        <v>8.3333333333333329E-2</v>
      </c>
      <c r="F51" s="49" t="s">
        <v>62</v>
      </c>
      <c r="G51" s="39" t="s">
        <v>50</v>
      </c>
      <c r="H51" s="39" t="s">
        <v>156</v>
      </c>
      <c r="I51" s="12" t="s">
        <v>148</v>
      </c>
      <c r="J51" s="12" t="s">
        <v>141</v>
      </c>
      <c r="K51" s="13">
        <v>0</v>
      </c>
      <c r="L51" s="13">
        <v>1</v>
      </c>
      <c r="M51" s="39" t="str">
        <f t="shared" si="2"/>
        <v>2</v>
      </c>
      <c r="N51" s="39" t="str">
        <f t="shared" si="3"/>
        <v>Spanien</v>
      </c>
      <c r="O51" s="12"/>
      <c r="P51" s="12" t="str">
        <f>B38</f>
        <v>Nya Zeeland</v>
      </c>
      <c r="Q51" s="39">
        <f>SUMPRODUCT(($H$5:$H$76="G")*($I$5:$I$76=P51)*($K$5:$K$76&lt;&gt;"")*($K$5:$K$76&gt;$L$5:$L$76))+SUMPRODUCT(($H$5:$H$76="G")*($J$5:$J$76=P51)*($L$5:$L$76&lt;&gt;"")*($L$5:$L$76&gt;$K$5:$K$76))</f>
        <v>0</v>
      </c>
      <c r="R51" s="39">
        <f>SUMPRODUCT(($H$5:$H$76="G")*(($I$5:$I$76=P51)+($J$5:$J$76=P51))*($K$5:$K$76&lt;&gt;"")*($K$5:$K$76=$L$5:$L$76))</f>
        <v>1</v>
      </c>
      <c r="S51" s="39">
        <f>SUMPRODUCT(($H$5:$H$76="G")*($I$5:$I$76=P51)*($K$5:$K$76&lt;&gt;"")*($K$5:$K$76&lt;$L$5:$L$76))+SUMPRODUCT(($H$5:$H$76="G")*($J$5:$J$76=P51)*($L$5:$L$76&lt;&gt;"")*($L$5:$L$76&lt;$K$5:$K$76))</f>
        <v>2</v>
      </c>
      <c r="T51" s="39">
        <f>SUMIFS($K$5:$K$76,$H$5:$H$76,"G",$I$5:$I$76,P51)+SUMIFS($L$5:$L$76,$H$5:$H$76,"G",$J$5:$J$76,P51)</f>
        <v>4</v>
      </c>
      <c r="U51" s="39">
        <f>SUMIFS($L$5:$L$76,$H$5:$H$76,"G",$I$5:$I$76,P51)+SUMIFS($K$5:$K$76,$H$5:$H$76,"G",$J$5:$J$76,P51)</f>
        <v>10</v>
      </c>
      <c r="V51" s="39">
        <f>T51-U51</f>
        <v>-6</v>
      </c>
      <c r="W51" s="39">
        <f>Q51*3+R51</f>
        <v>1</v>
      </c>
    </row>
    <row r="52" spans="1:23">
      <c r="A52" s="14" t="s">
        <v>164</v>
      </c>
      <c r="B52" s="15" t="s">
        <v>165</v>
      </c>
      <c r="C52" s="12">
        <v>48</v>
      </c>
      <c r="D52" s="47">
        <v>46200</v>
      </c>
      <c r="E52" s="48">
        <v>8.3333333333333329E-2</v>
      </c>
      <c r="F52" s="50" t="s">
        <v>118</v>
      </c>
      <c r="G52" s="38" t="s">
        <v>50</v>
      </c>
      <c r="H52" s="38" t="s">
        <v>156</v>
      </c>
      <c r="I52" s="15" t="s">
        <v>143</v>
      </c>
      <c r="J52" s="15" t="s">
        <v>146</v>
      </c>
      <c r="K52" s="13">
        <v>0</v>
      </c>
      <c r="L52" s="13">
        <v>0</v>
      </c>
      <c r="M52" s="38" t="str">
        <f t="shared" si="2"/>
        <v>X</v>
      </c>
      <c r="N52" s="38" t="str">
        <f t="shared" si="3"/>
        <v>Oavgjort</v>
      </c>
      <c r="O52" s="15"/>
      <c r="P52" s="15"/>
      <c r="Q52" s="15"/>
      <c r="R52" s="15"/>
      <c r="S52" s="15"/>
      <c r="T52" s="15"/>
      <c r="U52" s="15"/>
      <c r="V52" s="15"/>
      <c r="W52" s="15"/>
    </row>
    <row r="53" spans="1:23">
      <c r="A53" s="11" t="s">
        <v>166</v>
      </c>
      <c r="B53" s="12" t="s">
        <v>167</v>
      </c>
      <c r="C53" s="15">
        <v>49</v>
      </c>
      <c r="D53" s="45">
        <v>46189</v>
      </c>
      <c r="E53" s="46">
        <v>0.875</v>
      </c>
      <c r="F53" s="49" t="s">
        <v>91</v>
      </c>
      <c r="G53" s="39" t="s">
        <v>50</v>
      </c>
      <c r="H53" s="39" t="s">
        <v>168</v>
      </c>
      <c r="I53" s="12" t="s">
        <v>151</v>
      </c>
      <c r="J53" s="12" t="s">
        <v>153</v>
      </c>
      <c r="K53" s="13">
        <v>3</v>
      </c>
      <c r="L53" s="13">
        <v>1</v>
      </c>
      <c r="M53" s="39" t="str">
        <f t="shared" si="2"/>
        <v>1</v>
      </c>
      <c r="N53" s="39" t="str">
        <f t="shared" si="3"/>
        <v>Frankrike</v>
      </c>
      <c r="O53" s="12"/>
      <c r="P53" s="10" t="s">
        <v>139</v>
      </c>
      <c r="Q53" s="12"/>
      <c r="R53" s="12"/>
      <c r="S53" s="12"/>
      <c r="T53" s="12"/>
      <c r="U53" s="12"/>
      <c r="V53" s="12"/>
      <c r="W53" s="12"/>
    </row>
    <row r="54" spans="1:23">
      <c r="A54" s="14" t="s">
        <v>169</v>
      </c>
      <c r="B54" s="1"/>
      <c r="C54" s="12">
        <v>50</v>
      </c>
      <c r="D54" s="47">
        <v>46190</v>
      </c>
      <c r="E54" s="48">
        <v>0</v>
      </c>
      <c r="F54" s="50" t="s">
        <v>95</v>
      </c>
      <c r="G54" s="38" t="s">
        <v>50</v>
      </c>
      <c r="H54" s="38" t="s">
        <v>168</v>
      </c>
      <c r="I54" s="15" t="s">
        <v>155</v>
      </c>
      <c r="J54" s="15" t="s">
        <v>158</v>
      </c>
      <c r="K54" s="13">
        <v>1</v>
      </c>
      <c r="L54" s="13">
        <v>4</v>
      </c>
      <c r="M54" s="38" t="str">
        <f t="shared" si="2"/>
        <v>2</v>
      </c>
      <c r="N54" s="38" t="str">
        <f t="shared" si="3"/>
        <v>Norge</v>
      </c>
      <c r="O54" s="15"/>
      <c r="P54" s="15" t="s">
        <v>53</v>
      </c>
      <c r="Q54" s="38" t="s">
        <v>54</v>
      </c>
      <c r="R54" s="38" t="s">
        <v>55</v>
      </c>
      <c r="S54" s="38" t="s">
        <v>56</v>
      </c>
      <c r="T54" s="38" t="s">
        <v>57</v>
      </c>
      <c r="U54" s="38" t="s">
        <v>58</v>
      </c>
      <c r="V54" s="38" t="s">
        <v>59</v>
      </c>
      <c r="W54" s="38" t="s">
        <v>60</v>
      </c>
    </row>
    <row r="55" spans="1:23">
      <c r="A55" s="11" t="s">
        <v>170</v>
      </c>
      <c r="B55" s="12" t="s">
        <v>171</v>
      </c>
      <c r="C55" s="15">
        <v>51</v>
      </c>
      <c r="D55" s="45">
        <v>46196</v>
      </c>
      <c r="E55" s="46">
        <v>8.3333333333333329E-2</v>
      </c>
      <c r="F55" s="49" t="s">
        <v>91</v>
      </c>
      <c r="G55" s="39" t="s">
        <v>50</v>
      </c>
      <c r="H55" s="39" t="s">
        <v>168</v>
      </c>
      <c r="I55" s="12" t="s">
        <v>158</v>
      </c>
      <c r="J55" s="12" t="s">
        <v>153</v>
      </c>
      <c r="K55" s="13">
        <v>3</v>
      </c>
      <c r="L55" s="13">
        <v>2</v>
      </c>
      <c r="M55" s="39" t="str">
        <f t="shared" si="2"/>
        <v>1</v>
      </c>
      <c r="N55" s="39" t="str">
        <f t="shared" si="3"/>
        <v>Norge</v>
      </c>
      <c r="O55" s="12"/>
      <c r="P55" s="12" t="str">
        <f>B40</f>
        <v>Spanien</v>
      </c>
      <c r="Q55" s="39">
        <f>SUMPRODUCT(($H$5:$H$76="H")*($I$5:$I$76=P55)*($K$5:$K$76&lt;&gt;"")*($K$5:$K$76&gt;$L$5:$L$76))+SUMPRODUCT(($H$5:$H$76="H")*($J$5:$J$76=P55)*($L$5:$L$76&lt;&gt;"")*($L$5:$L$76&gt;$K$5:$K$76))</f>
        <v>2</v>
      </c>
      <c r="R55" s="39">
        <f>SUMPRODUCT(($H$5:$H$76="H")*(($I$5:$I$76=P55)+($J$5:$J$76=P55))*($K$5:$K$76&lt;&gt;"")*($K$5:$K$76=$L$5:$L$76))</f>
        <v>1</v>
      </c>
      <c r="S55" s="39">
        <f>SUMPRODUCT(($H$5:$H$76="H")*($I$5:$I$76=P55)*($K$5:$K$76&lt;&gt;"")*($K$5:$K$76&lt;$L$5:$L$76))+SUMPRODUCT(($H$5:$H$76="H")*($J$5:$J$76=P55)*($L$5:$L$76&lt;&gt;"")*($L$5:$L$76&lt;$K$5:$K$76))</f>
        <v>0</v>
      </c>
      <c r="T55" s="39">
        <f>SUMIFS($K$5:$K$76,$H$5:$H$76,"H",$I$5:$I$76,P55)+SUMIFS($L$5:$L$76,$H$5:$H$76,"H",$J$5:$J$76,P55)</f>
        <v>5</v>
      </c>
      <c r="U55" s="39">
        <f>SUMIFS($L$5:$L$76,$H$5:$H$76,"H",$I$5:$I$76,P55)+SUMIFS($K$5:$K$76,$H$5:$H$76,"H",$J$5:$J$76,P55)</f>
        <v>0</v>
      </c>
      <c r="V55" s="39">
        <f>T55-U55</f>
        <v>5</v>
      </c>
      <c r="W55" s="39">
        <f>Q55*3+R55</f>
        <v>7</v>
      </c>
    </row>
    <row r="56" spans="1:23">
      <c r="A56" s="14" t="s">
        <v>172</v>
      </c>
      <c r="B56" s="15" t="s">
        <v>173</v>
      </c>
      <c r="C56" s="12">
        <v>52</v>
      </c>
      <c r="D56" s="47">
        <v>46195</v>
      </c>
      <c r="E56" s="48">
        <v>0.95833333333333337</v>
      </c>
      <c r="F56" s="50" t="s">
        <v>99</v>
      </c>
      <c r="G56" s="38" t="s">
        <v>50</v>
      </c>
      <c r="H56" s="38" t="s">
        <v>168</v>
      </c>
      <c r="I56" s="15" t="s">
        <v>151</v>
      </c>
      <c r="J56" s="15" t="s">
        <v>155</v>
      </c>
      <c r="K56" s="13">
        <v>3</v>
      </c>
      <c r="L56" s="13">
        <v>0</v>
      </c>
      <c r="M56" s="38" t="str">
        <f t="shared" si="2"/>
        <v>1</v>
      </c>
      <c r="N56" s="38" t="str">
        <f t="shared" si="3"/>
        <v>Frankrike</v>
      </c>
      <c r="O56" s="15"/>
      <c r="P56" s="15" t="str">
        <f>B41</f>
        <v>Kap Verde</v>
      </c>
      <c r="Q56" s="38">
        <f>SUMPRODUCT(($H$5:$H$76="H")*($I$5:$I$76=P56)*($K$5:$K$76&lt;&gt;"")*($K$5:$K$76&gt;$L$5:$L$76))+SUMPRODUCT(($H$5:$H$76="H")*($J$5:$J$76=P56)*($L$5:$L$76&lt;&gt;"")*($L$5:$L$76&gt;$K$5:$K$76))</f>
        <v>0</v>
      </c>
      <c r="R56" s="38">
        <f>SUMPRODUCT(($H$5:$H$76="H")*(($I$5:$I$76=P56)+($J$5:$J$76=P56))*($K$5:$K$76&lt;&gt;"")*($K$5:$K$76=$L$5:$L$76))</f>
        <v>3</v>
      </c>
      <c r="S56" s="38">
        <f>SUMPRODUCT(($H$5:$H$76="H")*($I$5:$I$76=P56)*($K$5:$K$76&lt;&gt;"")*($K$5:$K$76&lt;$L$5:$L$76))+SUMPRODUCT(($H$5:$H$76="H")*($J$5:$J$76=P56)*($L$5:$L$76&lt;&gt;"")*($L$5:$L$76&lt;$K$5:$K$76))</f>
        <v>0</v>
      </c>
      <c r="T56" s="38">
        <f>SUMIFS($K$5:$K$76,$H$5:$H$76,"H",$I$5:$I$76,P56)+SUMIFS($L$5:$L$76,$H$5:$H$76,"H",$J$5:$J$76,P56)</f>
        <v>2</v>
      </c>
      <c r="U56" s="38">
        <f>SUMIFS($L$5:$L$76,$H$5:$H$76,"H",$I$5:$I$76,P56)+SUMIFS($K$5:$K$76,$H$5:$H$76,"H",$J$5:$J$76,P56)</f>
        <v>2</v>
      </c>
      <c r="V56" s="38">
        <f>T56-U56</f>
        <v>0</v>
      </c>
      <c r="W56" s="38">
        <f>Q56*3+R56</f>
        <v>3</v>
      </c>
    </row>
    <row r="57" spans="1:23">
      <c r="A57" s="11" t="s">
        <v>174</v>
      </c>
      <c r="B57" s="12" t="s">
        <v>175</v>
      </c>
      <c r="C57" s="15">
        <v>53</v>
      </c>
      <c r="D57" s="45">
        <v>46199</v>
      </c>
      <c r="E57" s="46">
        <v>0.875</v>
      </c>
      <c r="F57" s="49" t="s">
        <v>95</v>
      </c>
      <c r="G57" s="39" t="s">
        <v>50</v>
      </c>
      <c r="H57" s="39" t="s">
        <v>168</v>
      </c>
      <c r="I57" s="12" t="s">
        <v>158</v>
      </c>
      <c r="J57" s="12" t="s">
        <v>151</v>
      </c>
      <c r="K57" s="13">
        <v>1</v>
      </c>
      <c r="L57" s="13">
        <v>4</v>
      </c>
      <c r="M57" s="39" t="str">
        <f t="shared" si="2"/>
        <v>2</v>
      </c>
      <c r="N57" s="39" t="str">
        <f t="shared" si="3"/>
        <v>Frankrike</v>
      </c>
      <c r="O57" s="12"/>
      <c r="P57" s="12" t="str">
        <f>B42</f>
        <v>Saudiarabien</v>
      </c>
      <c r="Q57" s="39">
        <f>SUMPRODUCT(($H$5:$H$76="H")*($I$5:$I$76=P57)*($K$5:$K$76&lt;&gt;"")*($K$5:$K$76&gt;$L$5:$L$76))+SUMPRODUCT(($H$5:$H$76="H")*($J$5:$J$76=P57)*($L$5:$L$76&lt;&gt;"")*($L$5:$L$76&gt;$K$5:$K$76))</f>
        <v>0</v>
      </c>
      <c r="R57" s="39">
        <f>SUMPRODUCT(($H$5:$H$76="H")*(($I$5:$I$76=P57)+($J$5:$J$76=P57))*($K$5:$K$76&lt;&gt;"")*($K$5:$K$76=$L$5:$L$76))</f>
        <v>2</v>
      </c>
      <c r="S57" s="39">
        <f>SUMPRODUCT(($H$5:$H$76="H")*($I$5:$I$76=P57)*($K$5:$K$76&lt;&gt;"")*($K$5:$K$76&lt;$L$5:$L$76))+SUMPRODUCT(($H$5:$H$76="H")*($J$5:$J$76=P57)*($L$5:$L$76&lt;&gt;"")*($L$5:$L$76&lt;$K$5:$K$76))</f>
        <v>1</v>
      </c>
      <c r="T57" s="39">
        <f>SUMIFS($K$5:$K$76,$H$5:$H$76,"H",$I$5:$I$76,P57)+SUMIFS($L$5:$L$76,$H$5:$H$76,"H",$J$5:$J$76,P57)</f>
        <v>1</v>
      </c>
      <c r="U57" s="39">
        <f>SUMIFS($L$5:$L$76,$H$5:$H$76,"H",$I$5:$I$76,P57)+SUMIFS($K$5:$K$76,$H$5:$H$76,"H",$J$5:$J$76,P57)</f>
        <v>5</v>
      </c>
      <c r="V57" s="39">
        <f>T57-U57</f>
        <v>-4</v>
      </c>
      <c r="W57" s="39">
        <f>Q57*3+R57</f>
        <v>2</v>
      </c>
    </row>
    <row r="58" spans="1:23">
      <c r="A58" s="14" t="s">
        <v>176</v>
      </c>
      <c r="B58" s="15" t="s">
        <v>177</v>
      </c>
      <c r="C58" s="12">
        <v>54</v>
      </c>
      <c r="D58" s="47">
        <v>46199</v>
      </c>
      <c r="E58" s="48">
        <v>0.875</v>
      </c>
      <c r="F58" s="50" t="s">
        <v>74</v>
      </c>
      <c r="G58" s="38" t="s">
        <v>50</v>
      </c>
      <c r="H58" s="38" t="s">
        <v>168</v>
      </c>
      <c r="I58" s="15" t="s">
        <v>153</v>
      </c>
      <c r="J58" s="15" t="s">
        <v>155</v>
      </c>
      <c r="K58" s="13">
        <v>5</v>
      </c>
      <c r="L58" s="13">
        <v>0</v>
      </c>
      <c r="M58" s="38" t="str">
        <f t="shared" si="2"/>
        <v>1</v>
      </c>
      <c r="N58" s="38" t="str">
        <f t="shared" si="3"/>
        <v>Senegal</v>
      </c>
      <c r="O58" s="15"/>
      <c r="P58" s="15" t="str">
        <f>B43</f>
        <v>Uruguay</v>
      </c>
      <c r="Q58" s="38">
        <f>SUMPRODUCT(($H$5:$H$76="H")*($I$5:$I$76=P58)*($K$5:$K$76&lt;&gt;"")*($K$5:$K$76&gt;$L$5:$L$76))+SUMPRODUCT(($H$5:$H$76="H")*($J$5:$J$76=P58)*($L$5:$L$76&lt;&gt;"")*($L$5:$L$76&gt;$K$5:$K$76))</f>
        <v>0</v>
      </c>
      <c r="R58" s="38">
        <f>SUMPRODUCT(($H$5:$H$76="H")*(($I$5:$I$76=P58)+($J$5:$J$76=P58))*($K$5:$K$76&lt;&gt;"")*($K$5:$K$76=$L$5:$L$76))</f>
        <v>2</v>
      </c>
      <c r="S58" s="38">
        <f>SUMPRODUCT(($H$5:$H$76="H")*($I$5:$I$76=P58)*($K$5:$K$76&lt;&gt;"")*($K$5:$K$76&lt;$L$5:$L$76))+SUMPRODUCT(($H$5:$H$76="H")*($J$5:$J$76=P58)*($L$5:$L$76&lt;&gt;"")*($L$5:$L$76&lt;$K$5:$K$76))</f>
        <v>1</v>
      </c>
      <c r="T58" s="38">
        <f>SUMIFS($K$5:$K$76,$H$5:$H$76,"H",$I$5:$I$76,P58)+SUMIFS($L$5:$L$76,$H$5:$H$76,"H",$J$5:$J$76,P58)</f>
        <v>3</v>
      </c>
      <c r="U58" s="38">
        <f>SUMIFS($L$5:$L$76,$H$5:$H$76,"H",$I$5:$I$76,P58)+SUMIFS($K$5:$K$76,$H$5:$H$76,"H",$J$5:$J$76,P58)</f>
        <v>4</v>
      </c>
      <c r="V58" s="38">
        <f>T58-U58</f>
        <v>-1</v>
      </c>
      <c r="W58" s="38">
        <f>Q58*3+R58</f>
        <v>2</v>
      </c>
    </row>
    <row r="59" spans="1:23">
      <c r="A59" s="11" t="s">
        <v>178</v>
      </c>
      <c r="B59" s="1"/>
      <c r="C59" s="15">
        <v>55</v>
      </c>
      <c r="D59" s="45">
        <v>46190</v>
      </c>
      <c r="E59" s="46">
        <v>0.125</v>
      </c>
      <c r="F59" s="49" t="s">
        <v>124</v>
      </c>
      <c r="G59" s="39" t="s">
        <v>50</v>
      </c>
      <c r="H59" s="39" t="s">
        <v>179</v>
      </c>
      <c r="I59" s="12" t="s">
        <v>161</v>
      </c>
      <c r="J59" s="12" t="s">
        <v>163</v>
      </c>
      <c r="K59" s="13">
        <v>3</v>
      </c>
      <c r="L59" s="13">
        <v>0</v>
      </c>
      <c r="M59" s="39" t="str">
        <f t="shared" si="2"/>
        <v>1</v>
      </c>
      <c r="N59" s="39" t="str">
        <f t="shared" si="3"/>
        <v>Argentina</v>
      </c>
      <c r="O59" s="12"/>
      <c r="P59" s="12"/>
      <c r="Q59" s="12"/>
      <c r="R59" s="12"/>
      <c r="S59" s="12"/>
      <c r="T59" s="12"/>
      <c r="U59" s="12"/>
      <c r="V59" s="12"/>
      <c r="W59" s="12"/>
    </row>
    <row r="60" spans="1:23">
      <c r="A60" s="14" t="s">
        <v>180</v>
      </c>
      <c r="B60" s="15" t="s">
        <v>181</v>
      </c>
      <c r="C60" s="12">
        <v>56</v>
      </c>
      <c r="D60" s="47">
        <v>46190</v>
      </c>
      <c r="E60" s="48">
        <v>0.25</v>
      </c>
      <c r="F60" s="50" t="s">
        <v>78</v>
      </c>
      <c r="G60" s="38" t="s">
        <v>50</v>
      </c>
      <c r="H60" s="38" t="s">
        <v>179</v>
      </c>
      <c r="I60" s="15" t="s">
        <v>165</v>
      </c>
      <c r="J60" s="15" t="s">
        <v>167</v>
      </c>
      <c r="K60" s="13">
        <v>3</v>
      </c>
      <c r="L60" s="13">
        <v>1</v>
      </c>
      <c r="M60" s="38" t="str">
        <f t="shared" si="2"/>
        <v>1</v>
      </c>
      <c r="N60" s="38" t="str">
        <f t="shared" si="3"/>
        <v>Österrike</v>
      </c>
      <c r="O60" s="15"/>
      <c r="P60" s="10" t="s">
        <v>149</v>
      </c>
      <c r="Q60" s="15"/>
      <c r="R60" s="15"/>
      <c r="S60" s="15"/>
      <c r="T60" s="15"/>
      <c r="U60" s="15"/>
      <c r="V60" s="15"/>
      <c r="W60" s="15"/>
    </row>
    <row r="61" spans="1:23">
      <c r="A61" s="11" t="s">
        <v>182</v>
      </c>
      <c r="B61" s="12" t="s">
        <v>183</v>
      </c>
      <c r="C61" s="15">
        <v>57</v>
      </c>
      <c r="D61" s="45">
        <v>46196</v>
      </c>
      <c r="E61" s="46">
        <v>0.20833333333333334</v>
      </c>
      <c r="F61" s="49" t="s">
        <v>78</v>
      </c>
      <c r="G61" s="39" t="s">
        <v>50</v>
      </c>
      <c r="H61" s="39" t="s">
        <v>179</v>
      </c>
      <c r="I61" s="12" t="s">
        <v>167</v>
      </c>
      <c r="J61" s="12" t="s">
        <v>163</v>
      </c>
      <c r="K61" s="13">
        <v>1</v>
      </c>
      <c r="L61" s="13">
        <v>2</v>
      </c>
      <c r="M61" s="39" t="str">
        <f t="shared" si="2"/>
        <v>2</v>
      </c>
      <c r="N61" s="39" t="str">
        <f t="shared" si="3"/>
        <v>Algeriet</v>
      </c>
      <c r="O61" s="12"/>
      <c r="P61" s="12" t="s">
        <v>53</v>
      </c>
      <c r="Q61" s="39" t="s">
        <v>54</v>
      </c>
      <c r="R61" s="39" t="s">
        <v>55</v>
      </c>
      <c r="S61" s="39" t="s">
        <v>56</v>
      </c>
      <c r="T61" s="39" t="s">
        <v>57</v>
      </c>
      <c r="U61" s="39" t="s">
        <v>58</v>
      </c>
      <c r="V61" s="39" t="s">
        <v>59</v>
      </c>
      <c r="W61" s="39" t="s">
        <v>60</v>
      </c>
    </row>
    <row r="62" spans="1:23">
      <c r="A62" s="14" t="s">
        <v>184</v>
      </c>
      <c r="B62" s="15" t="s">
        <v>185</v>
      </c>
      <c r="C62" s="12">
        <v>58</v>
      </c>
      <c r="D62" s="47">
        <v>46195</v>
      </c>
      <c r="E62" s="48">
        <v>0.79166666666666663</v>
      </c>
      <c r="F62" s="50" t="s">
        <v>132</v>
      </c>
      <c r="G62" s="38" t="s">
        <v>50</v>
      </c>
      <c r="H62" s="38" t="s">
        <v>179</v>
      </c>
      <c r="I62" s="15" t="s">
        <v>161</v>
      </c>
      <c r="J62" s="15" t="s">
        <v>165</v>
      </c>
      <c r="K62" s="13">
        <v>2</v>
      </c>
      <c r="L62" s="13">
        <v>0</v>
      </c>
      <c r="M62" s="38" t="str">
        <f t="shared" si="2"/>
        <v>1</v>
      </c>
      <c r="N62" s="38" t="str">
        <f t="shared" si="3"/>
        <v>Argentina</v>
      </c>
      <c r="O62" s="15"/>
      <c r="P62" s="15" t="str">
        <f>B45</f>
        <v>Frankrike</v>
      </c>
      <c r="Q62" s="38">
        <f>SUMPRODUCT(($H$5:$H$76="I")*($I$5:$I$76=P62)*($K$5:$K$76&lt;&gt;"")*($K$5:$K$76&gt;$L$5:$L$76))+SUMPRODUCT(($H$5:$H$76="I")*($J$5:$J$76=P62)*($L$5:$L$76&lt;&gt;"")*($L$5:$L$76&gt;$K$5:$K$76))</f>
        <v>3</v>
      </c>
      <c r="R62" s="38">
        <f>SUMPRODUCT(($H$5:$H$76="I")*(($I$5:$I$76=P62)+($J$5:$J$76=P62))*($K$5:$K$76&lt;&gt;"")*($K$5:$K$76=$L$5:$L$76))</f>
        <v>0</v>
      </c>
      <c r="S62" s="38">
        <f>SUMPRODUCT(($H$5:$H$76="I")*($I$5:$I$76=P62)*($K$5:$K$76&lt;&gt;"")*($K$5:$K$76&lt;$L$5:$L$76))+SUMPRODUCT(($H$5:$H$76="I")*($J$5:$J$76=P62)*($L$5:$L$76&lt;&gt;"")*($L$5:$L$76&lt;$K$5:$K$76))</f>
        <v>0</v>
      </c>
      <c r="T62" s="38">
        <f>SUMIFS($K$5:$K$76,$H$5:$H$76,"I",$I$5:$I$76,P62)+SUMIFS($L$5:$L$76,$H$5:$H$76,"I",$J$5:$J$76,P62)</f>
        <v>10</v>
      </c>
      <c r="U62" s="38">
        <f>SUMIFS($L$5:$L$76,$H$5:$H$76,"I",$I$5:$I$76,P62)+SUMIFS($K$5:$K$76,$H$5:$H$76,"I",$J$5:$J$76,P62)</f>
        <v>2</v>
      </c>
      <c r="V62" s="38">
        <f>T62-U62</f>
        <v>8</v>
      </c>
      <c r="W62" s="38">
        <f>Q62*3+R62</f>
        <v>9</v>
      </c>
    </row>
    <row r="63" spans="1:23">
      <c r="A63" s="11" t="s">
        <v>186</v>
      </c>
      <c r="B63" s="12" t="s">
        <v>187</v>
      </c>
      <c r="C63" s="15">
        <v>59</v>
      </c>
      <c r="D63" s="45">
        <v>46201</v>
      </c>
      <c r="E63" s="46">
        <v>0.16666666666666666</v>
      </c>
      <c r="F63" s="49" t="s">
        <v>132</v>
      </c>
      <c r="G63" s="39" t="s">
        <v>50</v>
      </c>
      <c r="H63" s="39" t="s">
        <v>179</v>
      </c>
      <c r="I63" s="12" t="s">
        <v>167</v>
      </c>
      <c r="J63" s="12" t="s">
        <v>161</v>
      </c>
      <c r="K63" s="13">
        <v>1</v>
      </c>
      <c r="L63" s="13">
        <v>3</v>
      </c>
      <c r="M63" s="39" t="str">
        <f t="shared" si="2"/>
        <v>2</v>
      </c>
      <c r="N63" s="39" t="str">
        <f t="shared" si="3"/>
        <v>Argentina</v>
      </c>
      <c r="O63" s="12"/>
      <c r="P63" s="12" t="str">
        <f>B46</f>
        <v>Senegal</v>
      </c>
      <c r="Q63" s="39">
        <f>SUMPRODUCT(($H$5:$H$76="I")*($I$5:$I$76=P63)*($K$5:$K$76&lt;&gt;"")*($K$5:$K$76&gt;$L$5:$L$76))+SUMPRODUCT(($H$5:$H$76="I")*($J$5:$J$76=P63)*($L$5:$L$76&lt;&gt;"")*($L$5:$L$76&gt;$K$5:$K$76))</f>
        <v>1</v>
      </c>
      <c r="R63" s="39">
        <f>SUMPRODUCT(($H$5:$H$76="I")*(($I$5:$I$76=P63)+($J$5:$J$76=P63))*($K$5:$K$76&lt;&gt;"")*($K$5:$K$76=$L$5:$L$76))</f>
        <v>0</v>
      </c>
      <c r="S63" s="39">
        <f>SUMPRODUCT(($H$5:$H$76="I")*($I$5:$I$76=P63)*($K$5:$K$76&lt;&gt;"")*($K$5:$K$76&lt;$L$5:$L$76))+SUMPRODUCT(($H$5:$H$76="I")*($J$5:$J$76=P63)*($L$5:$L$76&lt;&gt;"")*($L$5:$L$76&lt;$K$5:$K$76))</f>
        <v>2</v>
      </c>
      <c r="T63" s="39">
        <f>SUMIFS($K$5:$K$76,$H$5:$H$76,"I",$I$5:$I$76,P63)+SUMIFS($L$5:$L$76,$H$5:$H$76,"I",$J$5:$J$76,P63)</f>
        <v>8</v>
      </c>
      <c r="U63" s="39">
        <f>SUMIFS($L$5:$L$76,$H$5:$H$76,"I",$I$5:$I$76,P63)+SUMIFS($K$5:$K$76,$H$5:$H$76,"I",$J$5:$J$76,P63)</f>
        <v>6</v>
      </c>
      <c r="V63" s="39">
        <f>T63-U63</f>
        <v>2</v>
      </c>
      <c r="W63" s="39">
        <f>Q63*3+R63</f>
        <v>3</v>
      </c>
    </row>
    <row r="64" spans="1:23">
      <c r="A64" s="1"/>
      <c r="B64" s="1"/>
      <c r="C64" s="12">
        <v>60</v>
      </c>
      <c r="D64" s="47">
        <v>46201</v>
      </c>
      <c r="E64" s="48">
        <v>0.16666666666666666</v>
      </c>
      <c r="F64" s="50" t="s">
        <v>124</v>
      </c>
      <c r="G64" s="38" t="s">
        <v>50</v>
      </c>
      <c r="H64" s="38" t="s">
        <v>179</v>
      </c>
      <c r="I64" s="15" t="s">
        <v>163</v>
      </c>
      <c r="J64" s="15" t="s">
        <v>165</v>
      </c>
      <c r="K64" s="13">
        <v>3</v>
      </c>
      <c r="L64" s="13">
        <v>3</v>
      </c>
      <c r="M64" s="38" t="str">
        <f t="shared" si="2"/>
        <v>X</v>
      </c>
      <c r="N64" s="38" t="str">
        <f t="shared" si="3"/>
        <v>Oavgjort</v>
      </c>
      <c r="O64" s="15"/>
      <c r="P64" s="15" t="str">
        <f>B47</f>
        <v>Irak</v>
      </c>
      <c r="Q64" s="38">
        <f>SUMPRODUCT(($H$5:$H$76="I")*($I$5:$I$76=P64)*($K$5:$K$76&lt;&gt;"")*($K$5:$K$76&gt;$L$5:$L$76))+SUMPRODUCT(($H$5:$H$76="I")*($J$5:$J$76=P64)*($L$5:$L$76&lt;&gt;"")*($L$5:$L$76&gt;$K$5:$K$76))</f>
        <v>0</v>
      </c>
      <c r="R64" s="38">
        <f>SUMPRODUCT(($H$5:$H$76="I")*(($I$5:$I$76=P64)+($J$5:$J$76=P64))*($K$5:$K$76&lt;&gt;"")*($K$5:$K$76=$L$5:$L$76))</f>
        <v>0</v>
      </c>
      <c r="S64" s="38">
        <f>SUMPRODUCT(($H$5:$H$76="I")*($I$5:$I$76=P64)*($K$5:$K$76&lt;&gt;"")*($K$5:$K$76&lt;$L$5:$L$76))+SUMPRODUCT(($H$5:$H$76="I")*($J$5:$J$76=P64)*($L$5:$L$76&lt;&gt;"")*($L$5:$L$76&lt;$K$5:$K$76))</f>
        <v>3</v>
      </c>
      <c r="T64" s="38">
        <f>SUMIFS($K$5:$K$76,$H$5:$H$76,"I",$I$5:$I$76,P64)+SUMIFS($L$5:$L$76,$H$5:$H$76,"I",$J$5:$J$76,P64)</f>
        <v>1</v>
      </c>
      <c r="U64" s="38">
        <f>SUMIFS($L$5:$L$76,$H$5:$H$76,"I",$I$5:$I$76,P64)+SUMIFS($K$5:$K$76,$H$5:$H$76,"I",$J$5:$J$76,P64)</f>
        <v>12</v>
      </c>
      <c r="V64" s="38">
        <f>T64-U64</f>
        <v>-11</v>
      </c>
      <c r="W64" s="38">
        <f>Q64*3+R64</f>
        <v>0</v>
      </c>
    </row>
    <row r="65" spans="1:23">
      <c r="A65" s="1"/>
      <c r="B65" s="1"/>
      <c r="C65" s="15">
        <v>61</v>
      </c>
      <c r="D65" s="45">
        <v>46190</v>
      </c>
      <c r="E65" s="46">
        <v>0.79166666666666663</v>
      </c>
      <c r="F65" s="49" t="s">
        <v>118</v>
      </c>
      <c r="G65" s="39" t="s">
        <v>50</v>
      </c>
      <c r="H65" s="39" t="s">
        <v>188</v>
      </c>
      <c r="I65" s="12" t="s">
        <v>171</v>
      </c>
      <c r="J65" s="12" t="s">
        <v>173</v>
      </c>
      <c r="K65" s="13">
        <v>1</v>
      </c>
      <c r="L65" s="13">
        <v>1</v>
      </c>
      <c r="M65" s="39" t="str">
        <f t="shared" si="2"/>
        <v>X</v>
      </c>
      <c r="N65" s="39" t="str">
        <f t="shared" si="3"/>
        <v>Oavgjort</v>
      </c>
      <c r="O65" s="12"/>
      <c r="P65" s="12" t="str">
        <f>B48</f>
        <v>Norge</v>
      </c>
      <c r="Q65" s="39">
        <f>SUMPRODUCT(($H$5:$H$76="I")*($I$5:$I$76=P65)*($K$5:$K$76&lt;&gt;"")*($K$5:$K$76&gt;$L$5:$L$76))+SUMPRODUCT(($H$5:$H$76="I")*($J$5:$J$76=P65)*($L$5:$L$76&lt;&gt;"")*($L$5:$L$76&gt;$K$5:$K$76))</f>
        <v>2</v>
      </c>
      <c r="R65" s="39">
        <f>SUMPRODUCT(($H$5:$H$76="I")*(($I$5:$I$76=P65)+($J$5:$J$76=P65))*($K$5:$K$76&lt;&gt;"")*($K$5:$K$76=$L$5:$L$76))</f>
        <v>0</v>
      </c>
      <c r="S65" s="39">
        <f>SUMPRODUCT(($H$5:$H$76="I")*($I$5:$I$76=P65)*($K$5:$K$76&lt;&gt;"")*($K$5:$K$76&lt;$L$5:$L$76))+SUMPRODUCT(($H$5:$H$76="I")*($J$5:$J$76=P65)*($L$5:$L$76&lt;&gt;"")*($L$5:$L$76&lt;$K$5:$K$76))</f>
        <v>1</v>
      </c>
      <c r="T65" s="39">
        <f>SUMIFS($K$5:$K$76,$H$5:$H$76,"I",$I$5:$I$76,P65)+SUMIFS($L$5:$L$76,$H$5:$H$76,"I",$J$5:$J$76,P65)</f>
        <v>8</v>
      </c>
      <c r="U65" s="39">
        <f>SUMIFS($L$5:$L$76,$H$5:$H$76,"I",$I$5:$I$76,P65)+SUMIFS($K$5:$K$76,$H$5:$H$76,"I",$J$5:$J$76,P65)</f>
        <v>7</v>
      </c>
      <c r="V65" s="39">
        <f>T65-U65</f>
        <v>1</v>
      </c>
      <c r="W65" s="39">
        <f>Q65*3+R65</f>
        <v>6</v>
      </c>
    </row>
    <row r="66" spans="1:23">
      <c r="A66" s="1"/>
      <c r="B66" s="1"/>
      <c r="C66" s="12">
        <v>62</v>
      </c>
      <c r="D66" s="47">
        <v>46191</v>
      </c>
      <c r="E66" s="48">
        <v>0.16666666666666666</v>
      </c>
      <c r="F66" s="50" t="s">
        <v>49</v>
      </c>
      <c r="G66" s="38" t="s">
        <v>50</v>
      </c>
      <c r="H66" s="38" t="s">
        <v>188</v>
      </c>
      <c r="I66" s="15" t="s">
        <v>175</v>
      </c>
      <c r="J66" s="15" t="s">
        <v>177</v>
      </c>
      <c r="K66" s="13">
        <v>1</v>
      </c>
      <c r="L66" s="13">
        <v>3</v>
      </c>
      <c r="M66" s="38" t="str">
        <f t="shared" si="2"/>
        <v>2</v>
      </c>
      <c r="N66" s="38" t="str">
        <f t="shared" si="3"/>
        <v>Colombia</v>
      </c>
      <c r="O66" s="15"/>
      <c r="P66" s="15"/>
      <c r="Q66" s="15"/>
      <c r="R66" s="15"/>
      <c r="S66" s="15"/>
      <c r="T66" s="15"/>
      <c r="U66" s="15"/>
      <c r="V66" s="15"/>
      <c r="W66" s="15"/>
    </row>
    <row r="67" spans="1:23">
      <c r="A67" s="1"/>
      <c r="B67" s="1"/>
      <c r="C67" s="15">
        <v>63</v>
      </c>
      <c r="D67" s="45">
        <v>46197</v>
      </c>
      <c r="E67" s="46">
        <v>0.16666666666666666</v>
      </c>
      <c r="F67" s="49" t="s">
        <v>62</v>
      </c>
      <c r="G67" s="39" t="s">
        <v>50</v>
      </c>
      <c r="H67" s="39" t="s">
        <v>188</v>
      </c>
      <c r="I67" s="12" t="s">
        <v>177</v>
      </c>
      <c r="J67" s="12" t="s">
        <v>173</v>
      </c>
      <c r="K67" s="13">
        <v>1</v>
      </c>
      <c r="L67" s="13">
        <v>0</v>
      </c>
      <c r="M67" s="39" t="str">
        <f t="shared" si="2"/>
        <v>1</v>
      </c>
      <c r="N67" s="39" t="str">
        <f t="shared" si="3"/>
        <v>Colombia</v>
      </c>
      <c r="O67" s="12"/>
      <c r="P67" s="10" t="s">
        <v>159</v>
      </c>
      <c r="Q67" s="12"/>
      <c r="R67" s="12"/>
      <c r="S67" s="12"/>
      <c r="T67" s="12"/>
      <c r="U67" s="12"/>
      <c r="V67" s="12"/>
      <c r="W67" s="12"/>
    </row>
    <row r="68" spans="1:23">
      <c r="A68" s="1"/>
      <c r="B68" s="1"/>
      <c r="C68" s="12">
        <v>64</v>
      </c>
      <c r="D68" s="47">
        <v>46196</v>
      </c>
      <c r="E68" s="48">
        <v>0.79166666666666663</v>
      </c>
      <c r="F68" s="50" t="s">
        <v>118</v>
      </c>
      <c r="G68" s="38" t="s">
        <v>50</v>
      </c>
      <c r="H68" s="38" t="s">
        <v>188</v>
      </c>
      <c r="I68" s="15" t="s">
        <v>171</v>
      </c>
      <c r="J68" s="15" t="s">
        <v>175</v>
      </c>
      <c r="K68" s="13">
        <v>5</v>
      </c>
      <c r="L68" s="13">
        <v>0</v>
      </c>
      <c r="M68" s="38" t="str">
        <f t="shared" si="2"/>
        <v>1</v>
      </c>
      <c r="N68" s="38" t="str">
        <f t="shared" si="3"/>
        <v>Portugal</v>
      </c>
      <c r="O68" s="15"/>
      <c r="P68" s="15" t="s">
        <v>53</v>
      </c>
      <c r="Q68" s="38" t="s">
        <v>54</v>
      </c>
      <c r="R68" s="38" t="s">
        <v>55</v>
      </c>
      <c r="S68" s="38" t="s">
        <v>56</v>
      </c>
      <c r="T68" s="38" t="s">
        <v>57</v>
      </c>
      <c r="U68" s="38" t="s">
        <v>58</v>
      </c>
      <c r="V68" s="38" t="s">
        <v>59</v>
      </c>
      <c r="W68" s="38" t="s">
        <v>60</v>
      </c>
    </row>
    <row r="69" spans="1:23">
      <c r="A69" s="1"/>
      <c r="B69" s="1"/>
      <c r="C69" s="15">
        <v>65</v>
      </c>
      <c r="D69" s="45">
        <v>46201</v>
      </c>
      <c r="E69" s="46">
        <v>6.25E-2</v>
      </c>
      <c r="F69" s="49" t="s">
        <v>102</v>
      </c>
      <c r="G69" s="39" t="s">
        <v>50</v>
      </c>
      <c r="H69" s="39" t="s">
        <v>188</v>
      </c>
      <c r="I69" s="12" t="s">
        <v>177</v>
      </c>
      <c r="J69" s="12" t="s">
        <v>171</v>
      </c>
      <c r="K69" s="13">
        <v>0</v>
      </c>
      <c r="L69" s="13">
        <v>0</v>
      </c>
      <c r="M69" s="39" t="str">
        <f t="shared" ref="M69:M100" si="4">IF(OR(K69="",L69=""),"",IF(K69&gt;L69,"1",IF(K69&lt;L69,"2","X")))</f>
        <v>X</v>
      </c>
      <c r="N69" s="39" t="str">
        <f t="shared" ref="N69:N76" si="5">IF(M69="","",IF(M69="1",I69,IF(M69="2",J69,"Oavgjort")))</f>
        <v>Oavgjort</v>
      </c>
      <c r="O69" s="12"/>
      <c r="P69" s="12" t="str">
        <f>B50</f>
        <v>Argentina</v>
      </c>
      <c r="Q69" s="39">
        <f>SUMPRODUCT(($H$5:$H$76="J")*($I$5:$I$76=P69)*($K$5:$K$76&lt;&gt;"")*($K$5:$K$76&gt;$L$5:$L$76))+SUMPRODUCT(($H$5:$H$76="J")*($J$5:$J$76=P69)*($L$5:$L$76&lt;&gt;"")*($L$5:$L$76&gt;$K$5:$K$76))</f>
        <v>3</v>
      </c>
      <c r="R69" s="39">
        <f>SUMPRODUCT(($H$5:$H$76="J")*(($I$5:$I$76=P69)+($J$5:$J$76=P69))*($K$5:$K$76&lt;&gt;"")*($K$5:$K$76=$L$5:$L$76))</f>
        <v>0</v>
      </c>
      <c r="S69" s="39">
        <f>SUMPRODUCT(($H$5:$H$76="J")*($I$5:$I$76=P69)*($K$5:$K$76&lt;&gt;"")*($K$5:$K$76&lt;$L$5:$L$76))+SUMPRODUCT(($H$5:$H$76="J")*($J$5:$J$76=P69)*($L$5:$L$76&lt;&gt;"")*($L$5:$L$76&lt;$K$5:$K$76))</f>
        <v>0</v>
      </c>
      <c r="T69" s="39">
        <f>SUMIFS($K$5:$K$76,$H$5:$H$76,"J",$I$5:$I$76,P69)+SUMIFS($L$5:$L$76,$H$5:$H$76,"J",$J$5:$J$76,P69)</f>
        <v>8</v>
      </c>
      <c r="U69" s="39">
        <f>SUMIFS($L$5:$L$76,$H$5:$H$76,"J",$I$5:$I$76,P69)+SUMIFS($K$5:$K$76,$H$5:$H$76,"J",$J$5:$J$76,P69)</f>
        <v>1</v>
      </c>
      <c r="V69" s="39">
        <f>T69-U69</f>
        <v>7</v>
      </c>
      <c r="W69" s="39">
        <f>Q69*3+R69</f>
        <v>9</v>
      </c>
    </row>
    <row r="70" spans="1:23">
      <c r="A70" s="1"/>
      <c r="B70" s="1"/>
      <c r="C70" s="12">
        <v>66</v>
      </c>
      <c r="D70" s="47">
        <v>46201</v>
      </c>
      <c r="E70" s="48">
        <v>6.25E-2</v>
      </c>
      <c r="F70" s="50" t="s">
        <v>66</v>
      </c>
      <c r="G70" s="38" t="s">
        <v>50</v>
      </c>
      <c r="H70" s="38" t="s">
        <v>188</v>
      </c>
      <c r="I70" s="15" t="s">
        <v>173</v>
      </c>
      <c r="J70" s="15" t="s">
        <v>175</v>
      </c>
      <c r="K70" s="13">
        <v>3</v>
      </c>
      <c r="L70" s="13">
        <v>1</v>
      </c>
      <c r="M70" s="38" t="str">
        <f t="shared" si="4"/>
        <v>1</v>
      </c>
      <c r="N70" s="38" t="str">
        <f t="shared" si="5"/>
        <v>Kongo-Kinshasa</v>
      </c>
      <c r="O70" s="15"/>
      <c r="P70" s="15" t="str">
        <f>B51</f>
        <v>Algeriet</v>
      </c>
      <c r="Q70" s="38">
        <f>SUMPRODUCT(($H$5:$H$76="J")*($I$5:$I$76=P70)*($K$5:$K$76&lt;&gt;"")*($K$5:$K$76&gt;$L$5:$L$76))+SUMPRODUCT(($H$5:$H$76="J")*($J$5:$J$76=P70)*($L$5:$L$76&lt;&gt;"")*($L$5:$L$76&gt;$K$5:$K$76))</f>
        <v>1</v>
      </c>
      <c r="R70" s="38">
        <f>SUMPRODUCT(($H$5:$H$76="J")*(($I$5:$I$76=P70)+($J$5:$J$76=P70))*($K$5:$K$76&lt;&gt;"")*($K$5:$K$76=$L$5:$L$76))</f>
        <v>1</v>
      </c>
      <c r="S70" s="38">
        <f>SUMPRODUCT(($H$5:$H$76="J")*($I$5:$I$76=P70)*($K$5:$K$76&lt;&gt;"")*($K$5:$K$76&lt;$L$5:$L$76))+SUMPRODUCT(($H$5:$H$76="J")*($J$5:$J$76=P70)*($L$5:$L$76&lt;&gt;"")*($L$5:$L$76&lt;$K$5:$K$76))</f>
        <v>1</v>
      </c>
      <c r="T70" s="38">
        <f>SUMIFS($K$5:$K$76,$H$5:$H$76,"J",$I$5:$I$76,P70)+SUMIFS($L$5:$L$76,$H$5:$H$76,"J",$J$5:$J$76,P70)</f>
        <v>5</v>
      </c>
      <c r="U70" s="38">
        <f>SUMIFS($L$5:$L$76,$H$5:$H$76,"J",$I$5:$I$76,P70)+SUMIFS($K$5:$K$76,$H$5:$H$76,"J",$J$5:$J$76,P70)</f>
        <v>7</v>
      </c>
      <c r="V70" s="38">
        <f>T70-U70</f>
        <v>-2</v>
      </c>
      <c r="W70" s="38">
        <f>Q70*3+R70</f>
        <v>4</v>
      </c>
    </row>
    <row r="71" spans="1:23">
      <c r="A71" s="1"/>
      <c r="B71" s="1"/>
      <c r="C71" s="15">
        <v>67</v>
      </c>
      <c r="D71" s="45">
        <v>46190</v>
      </c>
      <c r="E71" s="46">
        <v>0.91666666666666663</v>
      </c>
      <c r="F71" s="49" t="s">
        <v>132</v>
      </c>
      <c r="G71" s="39" t="s">
        <v>50</v>
      </c>
      <c r="H71" s="39" t="s">
        <v>189</v>
      </c>
      <c r="I71" s="12" t="s">
        <v>181</v>
      </c>
      <c r="J71" s="12" t="s">
        <v>183</v>
      </c>
      <c r="K71" s="13">
        <v>4</v>
      </c>
      <c r="L71" s="13">
        <v>2</v>
      </c>
      <c r="M71" s="39" t="str">
        <f t="shared" si="4"/>
        <v>1</v>
      </c>
      <c r="N71" s="39" t="str">
        <f t="shared" si="5"/>
        <v>England</v>
      </c>
      <c r="O71" s="12"/>
      <c r="P71" s="12" t="str">
        <f>B52</f>
        <v>Österrike</v>
      </c>
      <c r="Q71" s="39">
        <f>SUMPRODUCT(($H$5:$H$76="J")*($I$5:$I$76=P71)*($K$5:$K$76&lt;&gt;"")*($K$5:$K$76&gt;$L$5:$L$76))+SUMPRODUCT(($H$5:$H$76="J")*($J$5:$J$76=P71)*($L$5:$L$76&lt;&gt;"")*($L$5:$L$76&gt;$K$5:$K$76))</f>
        <v>1</v>
      </c>
      <c r="R71" s="39">
        <f>SUMPRODUCT(($H$5:$H$76="J")*(($I$5:$I$76=P71)+($J$5:$J$76=P71))*($K$5:$K$76&lt;&gt;"")*($K$5:$K$76=$L$5:$L$76))</f>
        <v>1</v>
      </c>
      <c r="S71" s="39">
        <f>SUMPRODUCT(($H$5:$H$76="J")*($I$5:$I$76=P71)*($K$5:$K$76&lt;&gt;"")*($K$5:$K$76&lt;$L$5:$L$76))+SUMPRODUCT(($H$5:$H$76="J")*($J$5:$J$76=P71)*($L$5:$L$76&lt;&gt;"")*($L$5:$L$76&lt;$K$5:$K$76))</f>
        <v>1</v>
      </c>
      <c r="T71" s="39">
        <f>SUMIFS($K$5:$K$76,$H$5:$H$76,"J",$I$5:$I$76,P71)+SUMIFS($L$5:$L$76,$H$5:$H$76,"J",$J$5:$J$76,P71)</f>
        <v>6</v>
      </c>
      <c r="U71" s="39">
        <f>SUMIFS($L$5:$L$76,$H$5:$H$76,"J",$I$5:$I$76,P71)+SUMIFS($K$5:$K$76,$H$5:$H$76,"J",$J$5:$J$76,P71)</f>
        <v>6</v>
      </c>
      <c r="V71" s="39">
        <f>T71-U71</f>
        <v>0</v>
      </c>
      <c r="W71" s="39">
        <f>Q71*3+R71</f>
        <v>4</v>
      </c>
    </row>
    <row r="72" spans="1:23">
      <c r="A72" s="1"/>
      <c r="B72" s="1"/>
      <c r="C72" s="12">
        <v>68</v>
      </c>
      <c r="D72" s="47">
        <v>46191</v>
      </c>
      <c r="E72" s="48">
        <v>4.1666666666666664E-2</v>
      </c>
      <c r="F72" s="50" t="s">
        <v>74</v>
      </c>
      <c r="G72" s="38" t="s">
        <v>50</v>
      </c>
      <c r="H72" s="38" t="s">
        <v>189</v>
      </c>
      <c r="I72" s="15" t="s">
        <v>185</v>
      </c>
      <c r="J72" s="15" t="s">
        <v>187</v>
      </c>
      <c r="K72" s="13">
        <v>1</v>
      </c>
      <c r="L72" s="13">
        <v>0</v>
      </c>
      <c r="M72" s="38" t="str">
        <f t="shared" si="4"/>
        <v>1</v>
      </c>
      <c r="N72" s="38" t="str">
        <f t="shared" si="5"/>
        <v>Ghana</v>
      </c>
      <c r="O72" s="15"/>
      <c r="P72" s="15" t="str">
        <f>B53</f>
        <v>Jordanien</v>
      </c>
      <c r="Q72" s="38">
        <f>SUMPRODUCT(($H$5:$H$76="J")*($I$5:$I$76=P72)*($K$5:$K$76&lt;&gt;"")*($K$5:$K$76&gt;$L$5:$L$76))+SUMPRODUCT(($H$5:$H$76="J")*($J$5:$J$76=P72)*($L$5:$L$76&lt;&gt;"")*($L$5:$L$76&gt;$K$5:$K$76))</f>
        <v>0</v>
      </c>
      <c r="R72" s="38">
        <f>SUMPRODUCT(($H$5:$H$76="J")*(($I$5:$I$76=P72)+($J$5:$J$76=P72))*($K$5:$K$76&lt;&gt;"")*($K$5:$K$76=$L$5:$L$76))</f>
        <v>0</v>
      </c>
      <c r="S72" s="38">
        <f>SUMPRODUCT(($H$5:$H$76="J")*($I$5:$I$76=P72)*($K$5:$K$76&lt;&gt;"")*($K$5:$K$76&lt;$L$5:$L$76))+SUMPRODUCT(($H$5:$H$76="J")*($J$5:$J$76=P72)*($L$5:$L$76&lt;&gt;"")*($L$5:$L$76&lt;$K$5:$K$76))</f>
        <v>3</v>
      </c>
      <c r="T72" s="38">
        <f>SUMIFS($K$5:$K$76,$H$5:$H$76,"J",$I$5:$I$76,P72)+SUMIFS($L$5:$L$76,$H$5:$H$76,"J",$J$5:$J$76,P72)</f>
        <v>3</v>
      </c>
      <c r="U72" s="38">
        <f>SUMIFS($L$5:$L$76,$H$5:$H$76,"J",$I$5:$I$76,P72)+SUMIFS($K$5:$K$76,$H$5:$H$76,"J",$J$5:$J$76,P72)</f>
        <v>8</v>
      </c>
      <c r="V72" s="38">
        <f>T72-U72</f>
        <v>-5</v>
      </c>
      <c r="W72" s="38">
        <f>Q72*3+R72</f>
        <v>0</v>
      </c>
    </row>
    <row r="73" spans="1:23">
      <c r="A73" s="1"/>
      <c r="B73" s="1"/>
      <c r="C73" s="15">
        <v>69</v>
      </c>
      <c r="D73" s="45">
        <v>46197</v>
      </c>
      <c r="E73" s="46">
        <v>4.1666666666666664E-2</v>
      </c>
      <c r="F73" s="49" t="s">
        <v>74</v>
      </c>
      <c r="G73" s="39" t="s">
        <v>50</v>
      </c>
      <c r="H73" s="39" t="s">
        <v>189</v>
      </c>
      <c r="I73" s="12" t="s">
        <v>187</v>
      </c>
      <c r="J73" s="12" t="s">
        <v>183</v>
      </c>
      <c r="K73" s="13">
        <v>0</v>
      </c>
      <c r="L73" s="13">
        <v>1</v>
      </c>
      <c r="M73" s="39" t="str">
        <f t="shared" si="4"/>
        <v>2</v>
      </c>
      <c r="N73" s="39" t="str">
        <f t="shared" si="5"/>
        <v>Kroatien</v>
      </c>
      <c r="O73" s="12"/>
      <c r="P73" s="12"/>
      <c r="Q73" s="12"/>
      <c r="R73" s="12"/>
      <c r="S73" s="12"/>
      <c r="T73" s="12"/>
      <c r="U73" s="12"/>
      <c r="V73" s="12"/>
      <c r="W73" s="12"/>
    </row>
    <row r="74" spans="1:23">
      <c r="A74" s="1"/>
      <c r="B74" s="1"/>
      <c r="C74" s="12">
        <v>70</v>
      </c>
      <c r="D74" s="47">
        <v>46196</v>
      </c>
      <c r="E74" s="48">
        <v>0.91666666666666663</v>
      </c>
      <c r="F74" s="50" t="s">
        <v>95</v>
      </c>
      <c r="G74" s="38" t="s">
        <v>50</v>
      </c>
      <c r="H74" s="38" t="s">
        <v>189</v>
      </c>
      <c r="I74" s="15" t="s">
        <v>181</v>
      </c>
      <c r="J74" s="15" t="s">
        <v>185</v>
      </c>
      <c r="K74" s="13">
        <v>0</v>
      </c>
      <c r="L74" s="13">
        <v>0</v>
      </c>
      <c r="M74" s="38" t="str">
        <f t="shared" si="4"/>
        <v>X</v>
      </c>
      <c r="N74" s="38" t="str">
        <f t="shared" si="5"/>
        <v>Oavgjort</v>
      </c>
      <c r="O74" s="15"/>
      <c r="P74" s="10" t="s">
        <v>169</v>
      </c>
      <c r="Q74" s="15"/>
      <c r="R74" s="15"/>
      <c r="S74" s="15"/>
      <c r="T74" s="15"/>
      <c r="U74" s="15"/>
      <c r="V74" s="15"/>
      <c r="W74" s="15"/>
    </row>
    <row r="75" spans="1:23">
      <c r="A75" s="1"/>
      <c r="B75" s="1"/>
      <c r="C75" s="15">
        <v>71</v>
      </c>
      <c r="D75" s="45">
        <v>46200</v>
      </c>
      <c r="E75" s="46">
        <v>0.95833333333333337</v>
      </c>
      <c r="F75" s="49" t="s">
        <v>91</v>
      </c>
      <c r="G75" s="39" t="s">
        <v>50</v>
      </c>
      <c r="H75" s="39" t="s">
        <v>189</v>
      </c>
      <c r="I75" s="12" t="s">
        <v>187</v>
      </c>
      <c r="J75" s="12" t="s">
        <v>181</v>
      </c>
      <c r="K75" s="13">
        <v>0</v>
      </c>
      <c r="L75" s="13">
        <v>2</v>
      </c>
      <c r="M75" s="39" t="str">
        <f t="shared" si="4"/>
        <v>2</v>
      </c>
      <c r="N75" s="39" t="str">
        <f t="shared" si="5"/>
        <v>England</v>
      </c>
      <c r="O75" s="12"/>
      <c r="P75" s="12" t="s">
        <v>53</v>
      </c>
      <c r="Q75" s="39" t="s">
        <v>54</v>
      </c>
      <c r="R75" s="39" t="s">
        <v>55</v>
      </c>
      <c r="S75" s="39" t="s">
        <v>56</v>
      </c>
      <c r="T75" s="39" t="s">
        <v>57</v>
      </c>
      <c r="U75" s="39" t="s">
        <v>58</v>
      </c>
      <c r="V75" s="39" t="s">
        <v>59</v>
      </c>
      <c r="W75" s="39" t="s">
        <v>60</v>
      </c>
    </row>
    <row r="76" spans="1:23">
      <c r="A76" s="1"/>
      <c r="B76" s="1"/>
      <c r="C76" s="12">
        <v>72</v>
      </c>
      <c r="D76" s="47">
        <v>46200</v>
      </c>
      <c r="E76" s="48">
        <v>0.95833333333333337</v>
      </c>
      <c r="F76" s="50" t="s">
        <v>99</v>
      </c>
      <c r="G76" s="38" t="s">
        <v>50</v>
      </c>
      <c r="H76" s="38" t="s">
        <v>189</v>
      </c>
      <c r="I76" s="15" t="s">
        <v>183</v>
      </c>
      <c r="J76" s="15" t="s">
        <v>185</v>
      </c>
      <c r="K76" s="13">
        <v>2</v>
      </c>
      <c r="L76" s="13">
        <v>1</v>
      </c>
      <c r="M76" s="38" t="str">
        <f t="shared" si="4"/>
        <v>1</v>
      </c>
      <c r="N76" s="38" t="str">
        <f t="shared" si="5"/>
        <v>Kroatien</v>
      </c>
      <c r="O76" s="15"/>
      <c r="P76" s="15" t="str">
        <f>B55</f>
        <v>Portugal</v>
      </c>
      <c r="Q76" s="38">
        <f>SUMPRODUCT(($H$5:$H$76="K")*($I$5:$I$76=P76)*($K$5:$K$76&lt;&gt;"")*($K$5:$K$76&gt;$L$5:$L$76))+SUMPRODUCT(($H$5:$H$76="K")*($J$5:$J$76=P76)*($L$5:$L$76&lt;&gt;"")*($L$5:$L$76&gt;$K$5:$K$76))</f>
        <v>1</v>
      </c>
      <c r="R76" s="38">
        <f>SUMPRODUCT(($H$5:$H$76="K")*(($I$5:$I$76=P76)+($J$5:$J$76=P76))*($K$5:$K$76&lt;&gt;"")*($K$5:$K$76=$L$5:$L$76))</f>
        <v>2</v>
      </c>
      <c r="S76" s="38">
        <f>SUMPRODUCT(($H$5:$H$76="K")*($I$5:$I$76=P76)*($K$5:$K$76&lt;&gt;"")*($K$5:$K$76&lt;$L$5:$L$76))+SUMPRODUCT(($H$5:$H$76="K")*($J$5:$J$76=P76)*($L$5:$L$76&lt;&gt;"")*($L$5:$L$76&lt;$K$5:$K$76))</f>
        <v>0</v>
      </c>
      <c r="T76" s="38">
        <f>SUMIFS($K$5:$K$76,$H$5:$H$76,"K",$I$5:$I$76,P76)+SUMIFS($L$5:$L$76,$H$5:$H$76,"K",$J$5:$J$76,P76)</f>
        <v>6</v>
      </c>
      <c r="U76" s="38">
        <f>SUMIFS($L$5:$L$76,$H$5:$H$76,"K",$I$5:$I$76,P76)+SUMIFS($K$5:$K$76,$H$5:$H$76,"K",$J$5:$J$76,P76)</f>
        <v>1</v>
      </c>
      <c r="V76" s="38">
        <f>T76-U76</f>
        <v>5</v>
      </c>
      <c r="W76" s="38">
        <f>Q76*3+R76</f>
        <v>5</v>
      </c>
    </row>
    <row r="77" spans="1:23">
      <c r="A77" s="1"/>
      <c r="B77" s="1"/>
      <c r="C77" s="33">
        <v>73</v>
      </c>
      <c r="D77" s="45">
        <v>46201</v>
      </c>
      <c r="E77" s="46">
        <v>0.875</v>
      </c>
      <c r="F77" s="39" t="s">
        <v>81</v>
      </c>
      <c r="G77" s="39" t="s">
        <v>190</v>
      </c>
      <c r="H77" s="12"/>
      <c r="I77" s="12" t="s">
        <v>191</v>
      </c>
      <c r="J77" s="12" t="s">
        <v>70</v>
      </c>
      <c r="K77" s="13">
        <v>0</v>
      </c>
      <c r="L77" s="13">
        <v>1</v>
      </c>
      <c r="M77" s="39" t="str">
        <f t="shared" si="4"/>
        <v>2</v>
      </c>
      <c r="N77" s="39" t="str">
        <f t="shared" ref="N77:N108" si="6">IF(M77="","",IF(M77="1",I77,IF(M77="2",J77,"Ange vinnare")))</f>
        <v>Kanada</v>
      </c>
      <c r="O77" s="12"/>
      <c r="P77" s="12" t="str">
        <f>B56</f>
        <v>Kongo-Kinshasa</v>
      </c>
      <c r="Q77" s="39">
        <f>SUMPRODUCT(($H$5:$H$76="K")*($I$5:$I$76=P77)*($K$5:$K$76&lt;&gt;"")*($K$5:$K$76&gt;$L$5:$L$76))+SUMPRODUCT(($H$5:$H$76="K")*($J$5:$J$76=P77)*($L$5:$L$76&lt;&gt;"")*($L$5:$L$76&gt;$K$5:$K$76))</f>
        <v>1</v>
      </c>
      <c r="R77" s="39">
        <f>SUMPRODUCT(($H$5:$H$76="K")*(($I$5:$I$76=P77)+($J$5:$J$76=P77))*($K$5:$K$76&lt;&gt;"")*($K$5:$K$76=$L$5:$L$76))</f>
        <v>1</v>
      </c>
      <c r="S77" s="39">
        <f>SUMPRODUCT(($H$5:$H$76="K")*($I$5:$I$76=P77)*($K$5:$K$76&lt;&gt;"")*($K$5:$K$76&lt;$L$5:$L$76))+SUMPRODUCT(($H$5:$H$76="K")*($J$5:$J$76=P77)*($L$5:$L$76&lt;&gt;"")*($L$5:$L$76&lt;$K$5:$K$76))</f>
        <v>1</v>
      </c>
      <c r="T77" s="39">
        <f>SUMIFS($K$5:$K$76,$H$5:$H$76,"K",$I$5:$I$76,P77)+SUMIFS($L$5:$L$76,$H$5:$H$76,"K",$J$5:$J$76,P77)</f>
        <v>4</v>
      </c>
      <c r="U77" s="39">
        <f>SUMIFS($L$5:$L$76,$H$5:$H$76,"K",$I$5:$I$76,P77)+SUMIFS($K$5:$K$76,$H$5:$H$76,"K",$J$5:$J$76,P77)</f>
        <v>3</v>
      </c>
      <c r="V77" s="39">
        <f>T77-U77</f>
        <v>1</v>
      </c>
      <c r="W77" s="39">
        <f>Q77*3+R77</f>
        <v>4</v>
      </c>
    </row>
    <row r="78" spans="1:23">
      <c r="A78" s="1"/>
      <c r="B78" s="1"/>
      <c r="C78" s="33">
        <v>74</v>
      </c>
      <c r="D78" s="47">
        <v>46202</v>
      </c>
      <c r="E78" s="48">
        <v>0.79166666666666663</v>
      </c>
      <c r="F78" s="38" t="s">
        <v>118</v>
      </c>
      <c r="G78" s="38" t="s">
        <v>190</v>
      </c>
      <c r="H78" s="15"/>
      <c r="I78" s="15" t="s">
        <v>85</v>
      </c>
      <c r="J78" s="15" t="s">
        <v>123</v>
      </c>
      <c r="K78" s="13">
        <v>2</v>
      </c>
      <c r="L78" s="13">
        <v>1</v>
      </c>
      <c r="M78" s="38" t="str">
        <f t="shared" si="4"/>
        <v>1</v>
      </c>
      <c r="N78" s="38" t="str">
        <f t="shared" si="6"/>
        <v>Brasilien</v>
      </c>
      <c r="O78" s="15"/>
      <c r="P78" s="15" t="str">
        <f>B57</f>
        <v>Uzbekistan</v>
      </c>
      <c r="Q78" s="38">
        <f>SUMPRODUCT(($H$5:$H$76="K")*($I$5:$I$76=P78)*($K$5:$K$76&lt;&gt;"")*($K$5:$K$76&gt;$L$5:$L$76))+SUMPRODUCT(($H$5:$H$76="K")*($J$5:$J$76=P78)*($L$5:$L$76&lt;&gt;"")*($L$5:$L$76&gt;$K$5:$K$76))</f>
        <v>0</v>
      </c>
      <c r="R78" s="38">
        <f>SUMPRODUCT(($H$5:$H$76="K")*(($I$5:$I$76=P78)+($J$5:$J$76=P78))*($K$5:$K$76&lt;&gt;"")*($K$5:$K$76=$L$5:$L$76))</f>
        <v>0</v>
      </c>
      <c r="S78" s="38">
        <f>SUMPRODUCT(($H$5:$H$76="K")*($I$5:$I$76=P78)*($K$5:$K$76&lt;&gt;"")*($K$5:$K$76&lt;$L$5:$L$76))+SUMPRODUCT(($H$5:$H$76="K")*($J$5:$J$76=P78)*($L$5:$L$76&lt;&gt;"")*($L$5:$L$76&lt;$K$5:$K$76))</f>
        <v>3</v>
      </c>
      <c r="T78" s="38">
        <f>SUMIFS($K$5:$K$76,$H$5:$H$76,"K",$I$5:$I$76,P78)+SUMIFS($L$5:$L$76,$H$5:$H$76,"K",$J$5:$J$76,P78)</f>
        <v>2</v>
      </c>
      <c r="U78" s="38">
        <f>SUMIFS($L$5:$L$76,$H$5:$H$76,"K",$I$5:$I$76,P78)+SUMIFS($K$5:$K$76,$H$5:$H$76,"K",$J$5:$J$76,P78)</f>
        <v>11</v>
      </c>
      <c r="V78" s="38">
        <f>T78-U78</f>
        <v>-9</v>
      </c>
      <c r="W78" s="38">
        <f>Q78*3+R78</f>
        <v>0</v>
      </c>
    </row>
    <row r="79" spans="1:23">
      <c r="A79" s="1"/>
      <c r="B79" s="1"/>
      <c r="C79" s="33">
        <v>75</v>
      </c>
      <c r="D79" s="45">
        <v>46202</v>
      </c>
      <c r="E79" s="46">
        <v>0.9375</v>
      </c>
      <c r="F79" s="39" t="s">
        <v>95</v>
      </c>
      <c r="G79" s="39" t="s">
        <v>190</v>
      </c>
      <c r="H79" s="12"/>
      <c r="I79" s="12" t="s">
        <v>110</v>
      </c>
      <c r="J79" s="12" t="s">
        <v>101</v>
      </c>
      <c r="K79" s="13">
        <v>1</v>
      </c>
      <c r="L79" s="13">
        <v>1</v>
      </c>
      <c r="M79" s="39" t="str">
        <f t="shared" si="4"/>
        <v>X</v>
      </c>
      <c r="N79" s="39" t="str">
        <f t="shared" si="6"/>
        <v>Ange vinnare</v>
      </c>
      <c r="O79" s="12"/>
      <c r="P79" s="12" t="str">
        <f>B58</f>
        <v>Colombia</v>
      </c>
      <c r="Q79" s="39">
        <f>SUMPRODUCT(($H$5:$H$76="K")*($I$5:$I$76=P79)*($K$5:$K$76&lt;&gt;"")*($K$5:$K$76&gt;$L$5:$L$76))+SUMPRODUCT(($H$5:$H$76="K")*($J$5:$J$76=P79)*($L$5:$L$76&lt;&gt;"")*($L$5:$L$76&gt;$K$5:$K$76))</f>
        <v>2</v>
      </c>
      <c r="R79" s="39">
        <f>SUMPRODUCT(($H$5:$H$76="K")*(($I$5:$I$76=P79)+($J$5:$J$76=P79))*($K$5:$K$76&lt;&gt;"")*($K$5:$K$76=$L$5:$L$76))</f>
        <v>1</v>
      </c>
      <c r="S79" s="39">
        <f>SUMPRODUCT(($H$5:$H$76="K")*($I$5:$I$76=P79)*($K$5:$K$76&lt;&gt;"")*($K$5:$K$76&lt;$L$5:$L$76))+SUMPRODUCT(($H$5:$H$76="K")*($J$5:$J$76=P79)*($L$5:$L$76&lt;&gt;"")*($L$5:$L$76&lt;$K$5:$K$76))</f>
        <v>0</v>
      </c>
      <c r="T79" s="39">
        <f>SUMIFS($K$5:$K$76,$H$5:$H$76,"K",$I$5:$I$76,P79)+SUMIFS($L$5:$L$76,$H$5:$H$76,"K",$J$5:$J$76,P79)</f>
        <v>4</v>
      </c>
      <c r="U79" s="39">
        <f>SUMIFS($L$5:$L$76,$H$5:$H$76,"K",$I$5:$I$76,P79)+SUMIFS($K$5:$K$76,$H$5:$H$76,"K",$J$5:$J$76,P79)</f>
        <v>1</v>
      </c>
      <c r="V79" s="39">
        <f>T79-U79</f>
        <v>3</v>
      </c>
      <c r="W79" s="39">
        <f>Q79*3+R79</f>
        <v>7</v>
      </c>
    </row>
    <row r="80" spans="1:23">
      <c r="A80" s="1"/>
      <c r="B80" s="1"/>
      <c r="C80" s="33">
        <v>76</v>
      </c>
      <c r="D80" s="47">
        <v>46203</v>
      </c>
      <c r="E80" s="48">
        <v>0.125</v>
      </c>
      <c r="F80" s="38" t="s">
        <v>71</v>
      </c>
      <c r="G80" s="38" t="s">
        <v>190</v>
      </c>
      <c r="H80" s="15"/>
      <c r="I80" s="15" t="s">
        <v>121</v>
      </c>
      <c r="J80" s="15" t="s">
        <v>87</v>
      </c>
      <c r="K80" s="13">
        <v>1</v>
      </c>
      <c r="L80" s="13">
        <v>1</v>
      </c>
      <c r="M80" s="38" t="str">
        <f t="shared" si="4"/>
        <v>X</v>
      </c>
      <c r="N80" s="38" t="str">
        <f t="shared" si="6"/>
        <v>Ange vinnare</v>
      </c>
      <c r="O80" s="15"/>
      <c r="P80" s="15"/>
      <c r="Q80" s="15"/>
      <c r="R80" s="15"/>
      <c r="S80" s="15"/>
      <c r="T80" s="15"/>
      <c r="U80" s="15"/>
      <c r="V80" s="15"/>
      <c r="W80" s="15"/>
    </row>
    <row r="81" spans="1:23">
      <c r="A81" s="1"/>
      <c r="B81" s="1"/>
      <c r="C81" s="33">
        <v>77</v>
      </c>
      <c r="D81" s="45">
        <v>46203</v>
      </c>
      <c r="E81" s="46">
        <v>0.75</v>
      </c>
      <c r="F81" s="39" t="s">
        <v>132</v>
      </c>
      <c r="G81" s="39" t="s">
        <v>190</v>
      </c>
      <c r="H81" s="12"/>
      <c r="I81" s="12" t="s">
        <v>114</v>
      </c>
      <c r="J81" s="12" t="s">
        <v>158</v>
      </c>
      <c r="K81" s="13">
        <v>1</v>
      </c>
      <c r="L81" s="13">
        <v>2</v>
      </c>
      <c r="M81" s="39" t="str">
        <f t="shared" si="4"/>
        <v>2</v>
      </c>
      <c r="N81" s="39" t="str">
        <f t="shared" si="6"/>
        <v>Norge</v>
      </c>
      <c r="O81" s="12"/>
      <c r="P81" s="10" t="s">
        <v>178</v>
      </c>
      <c r="Q81" s="12"/>
      <c r="R81" s="12"/>
      <c r="S81" s="12"/>
      <c r="T81" s="12"/>
      <c r="U81" s="12"/>
      <c r="V81" s="12"/>
      <c r="W81" s="12"/>
    </row>
    <row r="82" spans="1:23">
      <c r="A82" s="1"/>
      <c r="B82" s="1"/>
      <c r="C82" s="33">
        <v>78</v>
      </c>
      <c r="D82" s="47">
        <v>46203</v>
      </c>
      <c r="E82" s="48">
        <v>0.875</v>
      </c>
      <c r="F82" s="38" t="s">
        <v>91</v>
      </c>
      <c r="G82" s="38" t="s">
        <v>190</v>
      </c>
      <c r="H82" s="15"/>
      <c r="I82" s="15" t="s">
        <v>151</v>
      </c>
      <c r="J82" s="15" t="s">
        <v>126</v>
      </c>
      <c r="K82" s="13">
        <v>3</v>
      </c>
      <c r="L82" s="13">
        <v>0</v>
      </c>
      <c r="M82" s="38" t="str">
        <f t="shared" si="4"/>
        <v>1</v>
      </c>
      <c r="N82" s="38" t="str">
        <f t="shared" si="6"/>
        <v>Frankrike</v>
      </c>
      <c r="O82" s="15"/>
      <c r="P82" s="15" t="s">
        <v>53</v>
      </c>
      <c r="Q82" s="38" t="s">
        <v>54</v>
      </c>
      <c r="R82" s="38" t="s">
        <v>55</v>
      </c>
      <c r="S82" s="38" t="s">
        <v>56</v>
      </c>
      <c r="T82" s="38" t="s">
        <v>57</v>
      </c>
      <c r="U82" s="38" t="s">
        <v>58</v>
      </c>
      <c r="V82" s="38" t="s">
        <v>59</v>
      </c>
      <c r="W82" s="38" t="s">
        <v>60</v>
      </c>
    </row>
    <row r="83" spans="1:23">
      <c r="A83" s="1"/>
      <c r="B83" s="1"/>
      <c r="C83" s="33">
        <v>79</v>
      </c>
      <c r="D83" s="45">
        <v>46204</v>
      </c>
      <c r="E83" s="46">
        <v>0</v>
      </c>
      <c r="F83" s="39" t="s">
        <v>66</v>
      </c>
      <c r="G83" s="39" t="s">
        <v>190</v>
      </c>
      <c r="H83" s="12"/>
      <c r="I83" s="12" t="s">
        <v>48</v>
      </c>
      <c r="J83" s="12" t="s">
        <v>116</v>
      </c>
      <c r="K83" s="13">
        <v>2</v>
      </c>
      <c r="L83" s="13">
        <v>0</v>
      </c>
      <c r="M83" s="39" t="str">
        <f t="shared" si="4"/>
        <v>1</v>
      </c>
      <c r="N83" s="39" t="str">
        <f t="shared" si="6"/>
        <v>Mexico</v>
      </c>
      <c r="O83" s="12"/>
      <c r="P83" s="12" t="str">
        <f>B60</f>
        <v>England</v>
      </c>
      <c r="Q83" s="39">
        <f>SUMPRODUCT(($H$5:$H$76="L")*($I$5:$I$76=P83)*($K$5:$K$76&lt;&gt;"")*($K$5:$K$76&gt;$L$5:$L$76))+SUMPRODUCT(($H$5:$H$76="L")*($J$5:$J$76=P83)*($L$5:$L$76&lt;&gt;"")*($L$5:$L$76&gt;$K$5:$K$76))</f>
        <v>2</v>
      </c>
      <c r="R83" s="39">
        <f>SUMPRODUCT(($H$5:$H$76="L")*(($I$5:$I$76=P83)+($J$5:$J$76=P83))*($K$5:$K$76&lt;&gt;"")*($K$5:$K$76=$L$5:$L$76))</f>
        <v>1</v>
      </c>
      <c r="S83" s="39">
        <f>SUMPRODUCT(($H$5:$H$76="L")*($I$5:$I$76=P83)*($K$5:$K$76&lt;&gt;"")*($K$5:$K$76&lt;$L$5:$L$76))+SUMPRODUCT(($H$5:$H$76="L")*($J$5:$J$76=P83)*($L$5:$L$76&lt;&gt;"")*($L$5:$L$76&lt;$K$5:$K$76))</f>
        <v>0</v>
      </c>
      <c r="T83" s="39">
        <f>SUMIFS($K$5:$K$76,$H$5:$H$76,"L",$I$5:$I$76,P83)+SUMIFS($L$5:$L$76,$H$5:$H$76,"L",$J$5:$J$76,P83)</f>
        <v>6</v>
      </c>
      <c r="U83" s="39">
        <f>SUMIFS($L$5:$L$76,$H$5:$H$76,"L",$I$5:$I$76,P83)+SUMIFS($K$5:$K$76,$H$5:$H$76,"L",$J$5:$J$76,P83)</f>
        <v>2</v>
      </c>
      <c r="V83" s="39">
        <f>T83-U83</f>
        <v>4</v>
      </c>
      <c r="W83" s="39">
        <f>Q83*3+R83</f>
        <v>7</v>
      </c>
    </row>
    <row r="84" spans="1:23">
      <c r="A84" s="1"/>
      <c r="B84" s="1"/>
      <c r="C84" s="33">
        <v>80</v>
      </c>
      <c r="D84" s="47">
        <v>46204</v>
      </c>
      <c r="E84" s="48">
        <v>0.125</v>
      </c>
      <c r="F84" s="38" t="s">
        <v>78</v>
      </c>
      <c r="G84" s="38" t="s">
        <v>190</v>
      </c>
      <c r="H84" s="15"/>
      <c r="I84" s="15" t="s">
        <v>181</v>
      </c>
      <c r="J84" s="15" t="s">
        <v>173</v>
      </c>
      <c r="K84" s="13">
        <v>2</v>
      </c>
      <c r="L84" s="13">
        <v>1</v>
      </c>
      <c r="M84" s="38" t="str">
        <f t="shared" si="4"/>
        <v>1</v>
      </c>
      <c r="N84" s="38" t="str">
        <f t="shared" si="6"/>
        <v>England</v>
      </c>
      <c r="O84" s="15"/>
      <c r="P84" s="15" t="str">
        <f>B61</f>
        <v>Kroatien</v>
      </c>
      <c r="Q84" s="38">
        <f>SUMPRODUCT(($H$5:$H$76="L")*($I$5:$I$76=P84)*($K$5:$K$76&lt;&gt;"")*($K$5:$K$76&gt;$L$5:$L$76))+SUMPRODUCT(($H$5:$H$76="L")*($J$5:$J$76=P84)*($L$5:$L$76&lt;&gt;"")*($L$5:$L$76&gt;$K$5:$K$76))</f>
        <v>2</v>
      </c>
      <c r="R84" s="38">
        <f>SUMPRODUCT(($H$5:$H$76="L")*(($I$5:$I$76=P84)+($J$5:$J$76=P84))*($K$5:$K$76&lt;&gt;"")*($K$5:$K$76=$L$5:$L$76))</f>
        <v>0</v>
      </c>
      <c r="S84" s="38">
        <f>SUMPRODUCT(($H$5:$H$76="L")*($I$5:$I$76=P84)*($K$5:$K$76&lt;&gt;"")*($K$5:$K$76&lt;$L$5:$L$76))+SUMPRODUCT(($H$5:$H$76="L")*($J$5:$J$76=P84)*($L$5:$L$76&lt;&gt;"")*($L$5:$L$76&lt;$K$5:$K$76))</f>
        <v>1</v>
      </c>
      <c r="T84" s="38">
        <f>SUMIFS($K$5:$K$76,$H$5:$H$76,"L",$I$5:$I$76,P84)+SUMIFS($L$5:$L$76,$H$5:$H$76,"L",$J$5:$J$76,P84)</f>
        <v>5</v>
      </c>
      <c r="U84" s="38">
        <f>SUMIFS($L$5:$L$76,$H$5:$H$76,"L",$I$5:$I$76,P84)+SUMIFS($K$5:$K$76,$H$5:$H$76,"L",$J$5:$J$76,P84)</f>
        <v>5</v>
      </c>
      <c r="V84" s="38">
        <f>T84-U84</f>
        <v>0</v>
      </c>
      <c r="W84" s="38">
        <f>Q84*3+R84</f>
        <v>6</v>
      </c>
    </row>
    <row r="85" spans="1:23">
      <c r="A85" s="1"/>
      <c r="B85" s="1"/>
      <c r="C85" s="33">
        <v>81</v>
      </c>
      <c r="D85" s="45">
        <v>46204</v>
      </c>
      <c r="E85" s="46">
        <v>0.75</v>
      </c>
      <c r="F85" s="39" t="s">
        <v>88</v>
      </c>
      <c r="G85" s="39" t="s">
        <v>190</v>
      </c>
      <c r="H85" s="12"/>
      <c r="I85" s="12" t="s">
        <v>131</v>
      </c>
      <c r="J85" s="12" t="s">
        <v>153</v>
      </c>
      <c r="K85" s="13">
        <v>2</v>
      </c>
      <c r="L85" s="13">
        <v>2</v>
      </c>
      <c r="M85" s="39" t="str">
        <f t="shared" si="4"/>
        <v>X</v>
      </c>
      <c r="N85" s="39" t="str">
        <f t="shared" si="6"/>
        <v>Ange vinnare</v>
      </c>
      <c r="O85" s="12"/>
      <c r="P85" s="12" t="str">
        <f>B62</f>
        <v>Ghana</v>
      </c>
      <c r="Q85" s="39">
        <f>SUMPRODUCT(($H$5:$H$76="L")*($I$5:$I$76=P85)*($K$5:$K$76&lt;&gt;"")*($K$5:$K$76&gt;$L$5:$L$76))+SUMPRODUCT(($H$5:$H$76="L")*($J$5:$J$76=P85)*($L$5:$L$76&lt;&gt;"")*($L$5:$L$76&gt;$K$5:$K$76))</f>
        <v>1</v>
      </c>
      <c r="R85" s="39">
        <f>SUMPRODUCT(($H$5:$H$76="L")*(($I$5:$I$76=P85)+($J$5:$J$76=P85))*($K$5:$K$76&lt;&gt;"")*($K$5:$K$76=$L$5:$L$76))</f>
        <v>1</v>
      </c>
      <c r="S85" s="39">
        <f>SUMPRODUCT(($H$5:$H$76="L")*($I$5:$I$76=P85)*($K$5:$K$76&lt;&gt;"")*($K$5:$K$76&lt;$L$5:$L$76))+SUMPRODUCT(($H$5:$H$76="L")*($J$5:$J$76=P85)*($L$5:$L$76&lt;&gt;"")*($L$5:$L$76&lt;$K$5:$K$76))</f>
        <v>1</v>
      </c>
      <c r="T85" s="39">
        <f>SUMIFS($K$5:$K$76,$H$5:$H$76,"L",$I$5:$I$76,P85)+SUMIFS($L$5:$L$76,$H$5:$H$76,"L",$J$5:$J$76,P85)</f>
        <v>2</v>
      </c>
      <c r="U85" s="39">
        <f>SUMIFS($L$5:$L$76,$H$5:$H$76,"L",$I$5:$I$76,P85)+SUMIFS($K$5:$K$76,$H$5:$H$76,"L",$J$5:$J$76,P85)</f>
        <v>2</v>
      </c>
      <c r="V85" s="39">
        <f>T85-U85</f>
        <v>0</v>
      </c>
      <c r="W85" s="39">
        <f>Q85*3+R85</f>
        <v>4</v>
      </c>
    </row>
    <row r="86" spans="1:23">
      <c r="A86" s="1"/>
      <c r="B86" s="1"/>
      <c r="C86" s="33">
        <v>82</v>
      </c>
      <c r="D86" s="47">
        <v>46204</v>
      </c>
      <c r="E86" s="48">
        <v>0.875</v>
      </c>
      <c r="F86" s="38" t="s">
        <v>102</v>
      </c>
      <c r="G86" s="38" t="s">
        <v>190</v>
      </c>
      <c r="H86" s="15"/>
      <c r="I86" s="15" t="s">
        <v>98</v>
      </c>
      <c r="J86" s="15" t="s">
        <v>73</v>
      </c>
      <c r="K86" s="13">
        <v>2</v>
      </c>
      <c r="L86" s="13">
        <v>0</v>
      </c>
      <c r="M86" s="38" t="str">
        <f t="shared" si="4"/>
        <v>1</v>
      </c>
      <c r="N86" s="38" t="str">
        <f t="shared" si="6"/>
        <v>USA</v>
      </c>
      <c r="O86" s="15"/>
      <c r="P86" s="15" t="str">
        <f>B63</f>
        <v>Panama</v>
      </c>
      <c r="Q86" s="38">
        <f>SUMPRODUCT(($H$5:$H$76="L")*($I$5:$I$76=P86)*($K$5:$K$76&lt;&gt;"")*($K$5:$K$76&gt;$L$5:$L$76))+SUMPRODUCT(($H$5:$H$76="L")*($J$5:$J$76=P86)*($L$5:$L$76&lt;&gt;"")*($L$5:$L$76&gt;$K$5:$K$76))</f>
        <v>0</v>
      </c>
      <c r="R86" s="38">
        <f>SUMPRODUCT(($H$5:$H$76="L")*(($I$5:$I$76=P86)+($J$5:$J$76=P86))*($K$5:$K$76&lt;&gt;"")*($K$5:$K$76=$L$5:$L$76))</f>
        <v>0</v>
      </c>
      <c r="S86" s="38">
        <f>SUMPRODUCT(($H$5:$H$76="L")*($I$5:$I$76=P86)*($K$5:$K$76&lt;&gt;"")*($K$5:$K$76&lt;$L$5:$L$76))+SUMPRODUCT(($H$5:$H$76="L")*($J$5:$J$76=P86)*($L$5:$L$76&lt;&gt;"")*($L$5:$L$76&lt;$K$5:$K$76))</f>
        <v>3</v>
      </c>
      <c r="T86" s="38">
        <f>SUMIFS($K$5:$K$76,$H$5:$H$76,"L",$I$5:$I$76,P86)+SUMIFS($L$5:$L$76,$H$5:$H$76,"L",$J$5:$J$76,P86)</f>
        <v>0</v>
      </c>
      <c r="U86" s="38">
        <f>SUMIFS($L$5:$L$76,$H$5:$H$76,"L",$I$5:$I$76,P86)+SUMIFS($K$5:$K$76,$H$5:$H$76,"L",$J$5:$J$76,P86)</f>
        <v>4</v>
      </c>
      <c r="V86" s="38">
        <f>T86-U86</f>
        <v>-4</v>
      </c>
      <c r="W86" s="38">
        <f>Q86*3+R86</f>
        <v>0</v>
      </c>
    </row>
    <row r="87" spans="1:23">
      <c r="A87" s="1"/>
      <c r="B87" s="1"/>
      <c r="C87" s="33">
        <v>83</v>
      </c>
      <c r="D87" s="45">
        <v>46205</v>
      </c>
      <c r="E87" s="46">
        <v>0</v>
      </c>
      <c r="F87" s="39" t="s">
        <v>99</v>
      </c>
      <c r="G87" s="39" t="s">
        <v>190</v>
      </c>
      <c r="H87" s="12"/>
      <c r="I87" s="12" t="s">
        <v>141</v>
      </c>
      <c r="J87" s="12" t="s">
        <v>165</v>
      </c>
      <c r="K87" s="13">
        <v>3</v>
      </c>
      <c r="L87" s="13">
        <v>0</v>
      </c>
      <c r="M87" s="39" t="str">
        <f t="shared" si="4"/>
        <v>1</v>
      </c>
      <c r="N87" s="39" t="str">
        <f t="shared" si="6"/>
        <v>Spanien</v>
      </c>
      <c r="O87" s="12"/>
      <c r="P87" s="12"/>
      <c r="Q87" s="12"/>
      <c r="R87" s="12"/>
      <c r="S87" s="12"/>
      <c r="T87" s="12"/>
      <c r="U87" s="12"/>
      <c r="V87" s="12"/>
      <c r="W87" s="12"/>
    </row>
    <row r="88" spans="1:23">
      <c r="A88" s="1"/>
      <c r="B88" s="1"/>
      <c r="C88" s="33">
        <v>84</v>
      </c>
      <c r="D88" s="47">
        <v>46205</v>
      </c>
      <c r="E88" s="48">
        <v>0.125</v>
      </c>
      <c r="F88" s="38" t="s">
        <v>124</v>
      </c>
      <c r="G88" s="38" t="s">
        <v>190</v>
      </c>
      <c r="H88" s="15"/>
      <c r="I88" s="15" t="s">
        <v>171</v>
      </c>
      <c r="J88" s="15" t="s">
        <v>183</v>
      </c>
      <c r="K88" s="13">
        <v>2</v>
      </c>
      <c r="L88" s="13">
        <v>1</v>
      </c>
      <c r="M88" s="38" t="str">
        <f t="shared" si="4"/>
        <v>1</v>
      </c>
      <c r="N88" s="38" t="str">
        <f t="shared" si="6"/>
        <v>Portugal</v>
      </c>
      <c r="O88" s="15"/>
      <c r="P88" s="15"/>
      <c r="Q88" s="15"/>
      <c r="R88" s="15"/>
      <c r="S88" s="15"/>
      <c r="T88" s="15"/>
      <c r="U88" s="15"/>
      <c r="V88" s="15"/>
      <c r="W88" s="15"/>
    </row>
    <row r="89" spans="1:23">
      <c r="A89" s="1"/>
      <c r="B89" s="1"/>
      <c r="C89" s="33">
        <v>85</v>
      </c>
      <c r="D89" s="45">
        <v>46205</v>
      </c>
      <c r="E89" s="46">
        <v>0.75</v>
      </c>
      <c r="F89" s="39" t="s">
        <v>74</v>
      </c>
      <c r="G89" s="39" t="s">
        <v>190</v>
      </c>
      <c r="H89" s="12"/>
      <c r="I89" s="12" t="s">
        <v>79</v>
      </c>
      <c r="J89" s="12" t="s">
        <v>163</v>
      </c>
      <c r="K89" s="13">
        <v>2</v>
      </c>
      <c r="L89" s="13">
        <v>0</v>
      </c>
      <c r="M89" s="39" t="str">
        <f t="shared" si="4"/>
        <v>1</v>
      </c>
      <c r="N89" s="39" t="str">
        <f t="shared" si="6"/>
        <v>Schweiz</v>
      </c>
      <c r="O89" s="12"/>
      <c r="P89" s="12"/>
      <c r="Q89" s="12"/>
      <c r="R89" s="12"/>
      <c r="S89" s="12"/>
      <c r="T89" s="12"/>
      <c r="U89" s="12"/>
      <c r="V89" s="12"/>
      <c r="W89" s="12"/>
    </row>
    <row r="90" spans="1:23">
      <c r="A90" s="1"/>
      <c r="B90" s="1"/>
      <c r="C90" s="33">
        <v>86</v>
      </c>
      <c r="D90" s="47">
        <v>46205</v>
      </c>
      <c r="E90" s="48">
        <v>0.875</v>
      </c>
      <c r="F90" s="38" t="s">
        <v>83</v>
      </c>
      <c r="G90" s="38" t="s">
        <v>190</v>
      </c>
      <c r="H90" s="15"/>
      <c r="I90" s="15" t="s">
        <v>104</v>
      </c>
      <c r="J90" s="15" t="s">
        <v>134</v>
      </c>
      <c r="K90" s="13"/>
      <c r="L90" s="13"/>
      <c r="M90" s="38" t="str">
        <f t="shared" si="4"/>
        <v/>
      </c>
      <c r="N90" s="38" t="str">
        <f t="shared" si="6"/>
        <v/>
      </c>
      <c r="O90" s="15"/>
      <c r="P90" s="15"/>
      <c r="Q90" s="15"/>
      <c r="R90" s="15"/>
      <c r="S90" s="15"/>
      <c r="T90" s="15"/>
      <c r="U90" s="15"/>
      <c r="V90" s="15"/>
      <c r="W90" s="15"/>
    </row>
    <row r="91" spans="1:23">
      <c r="A91" s="1"/>
      <c r="B91" s="1"/>
      <c r="C91" s="33">
        <v>87</v>
      </c>
      <c r="D91" s="45">
        <v>46206</v>
      </c>
      <c r="E91" s="46">
        <v>0</v>
      </c>
      <c r="F91" s="39" t="s">
        <v>62</v>
      </c>
      <c r="G91" s="39" t="s">
        <v>190</v>
      </c>
      <c r="H91" s="12"/>
      <c r="I91" s="12" t="s">
        <v>161</v>
      </c>
      <c r="J91" s="12" t="s">
        <v>143</v>
      </c>
      <c r="K91" s="13"/>
      <c r="L91" s="13"/>
      <c r="M91" s="39" t="str">
        <f t="shared" si="4"/>
        <v/>
      </c>
      <c r="N91" s="39" t="str">
        <f t="shared" si="6"/>
        <v/>
      </c>
      <c r="O91" s="12"/>
      <c r="P91" s="12"/>
      <c r="Q91" s="12"/>
      <c r="R91" s="12"/>
      <c r="S91" s="12"/>
      <c r="T91" s="12"/>
      <c r="U91" s="12"/>
      <c r="V91" s="12"/>
      <c r="W91" s="12"/>
    </row>
    <row r="92" spans="1:23">
      <c r="A92" s="1"/>
      <c r="B92" s="1"/>
      <c r="C92" s="33">
        <v>88</v>
      </c>
      <c r="D92" s="47">
        <v>46206</v>
      </c>
      <c r="E92" s="48">
        <v>0.875</v>
      </c>
      <c r="F92" s="38" t="s">
        <v>49</v>
      </c>
      <c r="G92" s="38" t="s">
        <v>190</v>
      </c>
      <c r="H92" s="15"/>
      <c r="I92" s="15" t="s">
        <v>177</v>
      </c>
      <c r="J92" s="15" t="s">
        <v>185</v>
      </c>
      <c r="K92" s="13"/>
      <c r="L92" s="13"/>
      <c r="M92" s="38" t="str">
        <f t="shared" si="4"/>
        <v/>
      </c>
      <c r="N92" s="38" t="str">
        <f t="shared" si="6"/>
        <v/>
      </c>
      <c r="O92" s="15"/>
      <c r="P92" s="15"/>
      <c r="Q92" s="15"/>
      <c r="R92" s="15"/>
      <c r="S92" s="15"/>
      <c r="T92" s="15"/>
      <c r="U92" s="15"/>
      <c r="V92" s="15"/>
      <c r="W92" s="15"/>
    </row>
    <row r="93" spans="1:23">
      <c r="A93" s="1"/>
      <c r="B93" s="1"/>
      <c r="C93" s="33">
        <v>89</v>
      </c>
      <c r="D93" s="45">
        <v>46207</v>
      </c>
      <c r="E93" s="46">
        <v>0.75</v>
      </c>
      <c r="F93" s="39" t="s">
        <v>95</v>
      </c>
      <c r="G93" s="39" t="s">
        <v>192</v>
      </c>
      <c r="H93" s="12"/>
      <c r="I93" s="12" t="s">
        <v>70</v>
      </c>
      <c r="J93" s="12" t="s">
        <v>87</v>
      </c>
      <c r="K93" s="13"/>
      <c r="L93" s="13"/>
      <c r="M93" s="39" t="str">
        <f t="shared" si="4"/>
        <v/>
      </c>
      <c r="N93" s="39" t="str">
        <f t="shared" si="6"/>
        <v/>
      </c>
      <c r="O93" s="12"/>
      <c r="P93" s="12"/>
      <c r="Q93" s="12"/>
      <c r="R93" s="12"/>
      <c r="S93" s="12"/>
      <c r="T93" s="12"/>
      <c r="U93" s="12"/>
      <c r="V93" s="12"/>
      <c r="W93" s="12"/>
    </row>
    <row r="94" spans="1:23">
      <c r="A94" s="1"/>
      <c r="B94" s="1"/>
      <c r="C94" s="33">
        <v>90</v>
      </c>
      <c r="D94" s="47">
        <v>46207</v>
      </c>
      <c r="E94" s="48">
        <v>0.91666666666666663</v>
      </c>
      <c r="F94" s="38" t="s">
        <v>66</v>
      </c>
      <c r="G94" s="38" t="s">
        <v>192</v>
      </c>
      <c r="H94" s="15"/>
      <c r="I94" s="15" t="s">
        <v>101</v>
      </c>
      <c r="J94" s="15" t="s">
        <v>151</v>
      </c>
      <c r="K94" s="13"/>
      <c r="L94" s="13"/>
      <c r="M94" s="38" t="str">
        <f t="shared" si="4"/>
        <v/>
      </c>
      <c r="N94" s="38" t="str">
        <f t="shared" si="6"/>
        <v/>
      </c>
      <c r="O94" s="15"/>
      <c r="P94" s="15"/>
      <c r="Q94" s="15"/>
      <c r="R94" s="15"/>
      <c r="S94" s="15"/>
      <c r="T94" s="15"/>
      <c r="U94" s="15"/>
      <c r="V94" s="15"/>
      <c r="W94" s="15"/>
    </row>
    <row r="95" spans="1:23">
      <c r="A95" s="1"/>
      <c r="B95" s="1"/>
      <c r="C95" s="33">
        <v>91</v>
      </c>
      <c r="D95" s="45">
        <v>46208</v>
      </c>
      <c r="E95" s="46">
        <v>0.91666666666666663</v>
      </c>
      <c r="F95" s="39" t="s">
        <v>81</v>
      </c>
      <c r="G95" s="39" t="s">
        <v>192</v>
      </c>
      <c r="H95" s="12"/>
      <c r="I95" s="12" t="s">
        <v>85</v>
      </c>
      <c r="J95" s="12" t="s">
        <v>158</v>
      </c>
      <c r="K95" s="13"/>
      <c r="L95" s="13"/>
      <c r="M95" s="39" t="str">
        <f t="shared" si="4"/>
        <v/>
      </c>
      <c r="N95" s="39" t="str">
        <f t="shared" si="6"/>
        <v/>
      </c>
      <c r="O95" s="12"/>
      <c r="P95" s="12"/>
      <c r="Q95" s="12"/>
      <c r="R95" s="12"/>
      <c r="S95" s="12"/>
      <c r="T95" s="12"/>
      <c r="U95" s="12"/>
      <c r="V95" s="12"/>
      <c r="W95" s="12"/>
    </row>
    <row r="96" spans="1:23">
      <c r="A96" s="1"/>
      <c r="B96" s="1"/>
      <c r="C96" s="33">
        <v>92</v>
      </c>
      <c r="D96" s="47">
        <v>46209</v>
      </c>
      <c r="E96" s="48">
        <v>8.3333333333333329E-2</v>
      </c>
      <c r="F96" s="38" t="s">
        <v>118</v>
      </c>
      <c r="G96" s="38" t="s">
        <v>192</v>
      </c>
      <c r="H96" s="15"/>
      <c r="I96" s="15" t="s">
        <v>48</v>
      </c>
      <c r="J96" s="15" t="s">
        <v>181</v>
      </c>
      <c r="K96" s="13"/>
      <c r="L96" s="13"/>
      <c r="M96" s="38" t="str">
        <f t="shared" si="4"/>
        <v/>
      </c>
      <c r="N96" s="38" t="str">
        <f t="shared" si="6"/>
        <v/>
      </c>
      <c r="O96" s="15"/>
      <c r="P96" s="15"/>
      <c r="Q96" s="15"/>
      <c r="R96" s="15"/>
      <c r="S96" s="15"/>
      <c r="T96" s="15"/>
      <c r="U96" s="15"/>
      <c r="V96" s="15"/>
      <c r="W96" s="15"/>
    </row>
    <row r="97" spans="1:23">
      <c r="A97" s="1"/>
      <c r="B97" s="1"/>
      <c r="C97" s="33">
        <v>93</v>
      </c>
      <c r="D97" s="45">
        <v>46209</v>
      </c>
      <c r="E97" s="46">
        <v>0.875</v>
      </c>
      <c r="F97" s="39" t="s">
        <v>91</v>
      </c>
      <c r="G97" s="39" t="s">
        <v>192</v>
      </c>
      <c r="H97" s="12"/>
      <c r="I97" s="12" t="s">
        <v>171</v>
      </c>
      <c r="J97" s="12" t="s">
        <v>141</v>
      </c>
      <c r="K97" s="13"/>
      <c r="L97" s="13"/>
      <c r="M97" s="39" t="str">
        <f t="shared" si="4"/>
        <v/>
      </c>
      <c r="N97" s="39" t="str">
        <f t="shared" si="6"/>
        <v/>
      </c>
      <c r="O97" s="12"/>
      <c r="P97" s="12"/>
      <c r="Q97" s="12"/>
      <c r="R97" s="12"/>
      <c r="S97" s="12"/>
      <c r="T97" s="12"/>
      <c r="U97" s="12"/>
      <c r="V97" s="12"/>
      <c r="W97" s="12"/>
    </row>
    <row r="98" spans="1:23">
      <c r="A98" s="1"/>
      <c r="B98" s="1"/>
      <c r="C98" s="33">
        <v>94</v>
      </c>
      <c r="D98" s="47">
        <v>46210</v>
      </c>
      <c r="E98" s="48">
        <v>8.3333333333333329E-2</v>
      </c>
      <c r="F98" s="38" t="s">
        <v>49</v>
      </c>
      <c r="G98" s="38" t="s">
        <v>192</v>
      </c>
      <c r="H98" s="15"/>
      <c r="I98" s="15" t="s">
        <v>98</v>
      </c>
      <c r="J98" s="15" t="s">
        <v>131</v>
      </c>
      <c r="K98" s="13"/>
      <c r="L98" s="13"/>
      <c r="M98" s="38" t="str">
        <f t="shared" si="4"/>
        <v/>
      </c>
      <c r="N98" s="38" t="str">
        <f t="shared" si="6"/>
        <v/>
      </c>
      <c r="O98" s="15"/>
      <c r="P98" s="15"/>
      <c r="Q98" s="15"/>
      <c r="R98" s="15"/>
      <c r="S98" s="15"/>
      <c r="T98" s="15"/>
      <c r="U98" s="15"/>
      <c r="V98" s="15"/>
      <c r="W98" s="15"/>
    </row>
    <row r="99" spans="1:23">
      <c r="A99" s="1"/>
      <c r="B99" s="1"/>
      <c r="C99" s="33">
        <v>95</v>
      </c>
      <c r="D99" s="45">
        <v>46210</v>
      </c>
      <c r="E99" s="46">
        <v>0.75</v>
      </c>
      <c r="F99" s="39" t="s">
        <v>132</v>
      </c>
      <c r="G99" s="39" t="s">
        <v>192</v>
      </c>
      <c r="H99" s="12"/>
      <c r="I99" s="12" t="s">
        <v>79</v>
      </c>
      <c r="J99" s="12"/>
      <c r="K99" s="13"/>
      <c r="L99" s="13"/>
      <c r="M99" s="39" t="str">
        <f t="shared" si="4"/>
        <v/>
      </c>
      <c r="N99" s="39" t="str">
        <f t="shared" si="6"/>
        <v/>
      </c>
      <c r="O99" s="12"/>
      <c r="P99" s="12"/>
      <c r="Q99" s="12"/>
      <c r="R99" s="12"/>
      <c r="S99" s="12"/>
      <c r="T99" s="12"/>
      <c r="U99" s="12"/>
      <c r="V99" s="12"/>
      <c r="W99" s="12"/>
    </row>
    <row r="100" spans="1:23">
      <c r="A100" s="1"/>
      <c r="B100" s="1"/>
      <c r="C100" s="33">
        <v>96</v>
      </c>
      <c r="D100" s="47">
        <v>46210</v>
      </c>
      <c r="E100" s="48">
        <v>0.91666666666666663</v>
      </c>
      <c r="F100" s="38" t="s">
        <v>102</v>
      </c>
      <c r="G100" s="38" t="s">
        <v>192</v>
      </c>
      <c r="H100" s="15"/>
      <c r="I100" s="15"/>
      <c r="J100" s="15"/>
      <c r="K100" s="13"/>
      <c r="L100" s="13"/>
      <c r="M100" s="38" t="str">
        <f t="shared" si="4"/>
        <v/>
      </c>
      <c r="N100" s="38" t="str">
        <f t="shared" si="6"/>
        <v/>
      </c>
      <c r="O100" s="15"/>
      <c r="P100" s="15"/>
      <c r="Q100" s="15"/>
      <c r="R100" s="15"/>
      <c r="S100" s="15"/>
      <c r="T100" s="15"/>
      <c r="U100" s="15"/>
      <c r="V100" s="15"/>
      <c r="W100" s="15"/>
    </row>
    <row r="101" spans="1:23">
      <c r="A101" s="1"/>
      <c r="B101" s="1"/>
      <c r="C101" s="33">
        <v>97</v>
      </c>
      <c r="D101" s="45">
        <v>46212</v>
      </c>
      <c r="E101" s="46">
        <v>0.91666666666666663</v>
      </c>
      <c r="F101" s="39" t="s">
        <v>99</v>
      </c>
      <c r="G101" s="39" t="s">
        <v>193</v>
      </c>
      <c r="H101" s="12"/>
      <c r="I101" s="12"/>
      <c r="J101" s="12"/>
      <c r="K101" s="13"/>
      <c r="L101" s="13"/>
      <c r="M101" s="39" t="str">
        <f t="shared" ref="M101:M108" si="7">IF(OR(K101="",L101=""),"",IF(K101&gt;L101,"1",IF(K101&lt;L101,"2","X")))</f>
        <v/>
      </c>
      <c r="N101" s="39" t="str">
        <f t="shared" si="6"/>
        <v/>
      </c>
      <c r="O101" s="12"/>
      <c r="P101" s="12"/>
      <c r="Q101" s="12"/>
      <c r="R101" s="12"/>
      <c r="S101" s="12"/>
      <c r="T101" s="12"/>
      <c r="U101" s="12"/>
      <c r="V101" s="12"/>
      <c r="W101" s="12"/>
    </row>
    <row r="102" spans="1:23">
      <c r="A102" s="1"/>
      <c r="B102" s="1"/>
      <c r="C102" s="33">
        <v>98</v>
      </c>
      <c r="D102" s="47">
        <v>46213</v>
      </c>
      <c r="E102" s="48">
        <v>0.875</v>
      </c>
      <c r="F102" s="38" t="s">
        <v>49</v>
      </c>
      <c r="G102" s="38" t="s">
        <v>193</v>
      </c>
      <c r="H102" s="15"/>
      <c r="I102" s="15"/>
      <c r="J102" s="15"/>
      <c r="K102" s="13"/>
      <c r="L102" s="13"/>
      <c r="M102" s="38" t="str">
        <f t="shared" si="7"/>
        <v/>
      </c>
      <c r="N102" s="38" t="str">
        <f t="shared" si="6"/>
        <v/>
      </c>
      <c r="O102" s="15"/>
      <c r="P102" s="15"/>
      <c r="Q102" s="15"/>
      <c r="R102" s="15"/>
      <c r="S102" s="15"/>
      <c r="T102" s="15"/>
      <c r="U102" s="15"/>
      <c r="V102" s="15"/>
      <c r="W102" s="15"/>
    </row>
    <row r="103" spans="1:23">
      <c r="A103" s="1"/>
      <c r="B103" s="1"/>
      <c r="C103" s="33">
        <v>99</v>
      </c>
      <c r="D103" s="45">
        <v>46214</v>
      </c>
      <c r="E103" s="46">
        <v>0.95833333333333337</v>
      </c>
      <c r="F103" s="39" t="s">
        <v>132</v>
      </c>
      <c r="G103" s="39" t="s">
        <v>193</v>
      </c>
      <c r="H103" s="12"/>
      <c r="I103" s="12"/>
      <c r="J103" s="12"/>
      <c r="K103" s="13"/>
      <c r="L103" s="13"/>
      <c r="M103" s="39" t="str">
        <f t="shared" si="7"/>
        <v/>
      </c>
      <c r="N103" s="39" t="str">
        <f t="shared" si="6"/>
        <v/>
      </c>
      <c r="O103" s="12"/>
      <c r="P103" s="12"/>
      <c r="Q103" s="12"/>
      <c r="R103" s="12"/>
      <c r="S103" s="12"/>
      <c r="T103" s="12"/>
      <c r="U103" s="12"/>
      <c r="V103" s="12"/>
      <c r="W103" s="12"/>
    </row>
    <row r="104" spans="1:23">
      <c r="A104" s="1"/>
      <c r="B104" s="1"/>
      <c r="C104" s="33">
        <v>100</v>
      </c>
      <c r="D104" s="47">
        <v>46215</v>
      </c>
      <c r="E104" s="48">
        <v>0.125</v>
      </c>
      <c r="F104" s="38" t="s">
        <v>66</v>
      </c>
      <c r="G104" s="38" t="s">
        <v>193</v>
      </c>
      <c r="H104" s="15"/>
      <c r="I104" s="15"/>
      <c r="J104" s="15"/>
      <c r="K104" s="13"/>
      <c r="L104" s="13"/>
      <c r="M104" s="38" t="str">
        <f t="shared" si="7"/>
        <v/>
      </c>
      <c r="N104" s="38" t="str">
        <f t="shared" si="6"/>
        <v/>
      </c>
      <c r="O104" s="15"/>
      <c r="P104" s="15"/>
      <c r="Q104" s="15"/>
      <c r="R104" s="15"/>
      <c r="S104" s="15"/>
      <c r="T104" s="15"/>
      <c r="U104" s="15"/>
      <c r="V104" s="15"/>
      <c r="W104" s="15"/>
    </row>
    <row r="105" spans="1:23">
      <c r="A105" s="1"/>
      <c r="B105" s="1"/>
      <c r="C105" s="33">
        <v>101</v>
      </c>
      <c r="D105" s="45">
        <v>46217</v>
      </c>
      <c r="E105" s="46">
        <v>0.875</v>
      </c>
      <c r="F105" s="39" t="s">
        <v>132</v>
      </c>
      <c r="G105" s="39" t="s">
        <v>194</v>
      </c>
      <c r="H105" s="12"/>
      <c r="I105" s="12"/>
      <c r="J105" s="12"/>
      <c r="K105" s="13"/>
      <c r="L105" s="13"/>
      <c r="M105" s="39" t="str">
        <f t="shared" si="7"/>
        <v/>
      </c>
      <c r="N105" s="39" t="str">
        <f t="shared" si="6"/>
        <v/>
      </c>
      <c r="O105" s="12"/>
      <c r="P105" s="12"/>
      <c r="Q105" s="12"/>
      <c r="R105" s="12"/>
      <c r="S105" s="12"/>
      <c r="T105" s="12"/>
      <c r="U105" s="12"/>
      <c r="V105" s="12"/>
      <c r="W105" s="12"/>
    </row>
    <row r="106" spans="1:23">
      <c r="A106" s="1"/>
      <c r="B106" s="1"/>
      <c r="C106" s="33">
        <v>102</v>
      </c>
      <c r="D106" s="47">
        <v>46218</v>
      </c>
      <c r="E106" s="48">
        <v>0.875</v>
      </c>
      <c r="F106" s="38" t="s">
        <v>66</v>
      </c>
      <c r="G106" s="38" t="s">
        <v>194</v>
      </c>
      <c r="H106" s="15"/>
      <c r="I106" s="15"/>
      <c r="J106" s="15"/>
      <c r="K106" s="13"/>
      <c r="L106" s="13"/>
      <c r="M106" s="38" t="str">
        <f t="shared" si="7"/>
        <v/>
      </c>
      <c r="N106" s="38" t="str">
        <f t="shared" si="6"/>
        <v/>
      </c>
      <c r="O106" s="15"/>
      <c r="P106" s="15"/>
      <c r="Q106" s="15"/>
      <c r="R106" s="15"/>
      <c r="S106" s="15"/>
      <c r="T106" s="15"/>
      <c r="U106" s="15"/>
      <c r="V106" s="15"/>
      <c r="W106" s="15"/>
    </row>
    <row r="107" spans="1:23">
      <c r="A107" s="1"/>
      <c r="B107" s="1"/>
      <c r="C107" s="15">
        <v>103</v>
      </c>
      <c r="D107" s="45">
        <v>46221</v>
      </c>
      <c r="E107" s="46">
        <v>0.875</v>
      </c>
      <c r="F107" s="39" t="s">
        <v>102</v>
      </c>
      <c r="G107" s="39" t="s">
        <v>195</v>
      </c>
      <c r="H107" s="12"/>
      <c r="I107" s="12"/>
      <c r="J107" s="12"/>
      <c r="K107" s="13"/>
      <c r="L107" s="13"/>
      <c r="M107" s="39" t="str">
        <f t="shared" si="7"/>
        <v/>
      </c>
      <c r="N107" s="39" t="str">
        <f t="shared" si="6"/>
        <v/>
      </c>
      <c r="O107" s="12"/>
      <c r="P107" s="12"/>
      <c r="Q107" s="12"/>
      <c r="R107" s="12"/>
      <c r="S107" s="12"/>
      <c r="T107" s="12"/>
      <c r="U107" s="12"/>
      <c r="V107" s="12"/>
      <c r="W107" s="12"/>
    </row>
    <row r="108" spans="1:23">
      <c r="A108" s="12" t="s">
        <v>196</v>
      </c>
      <c r="B108" s="1"/>
      <c r="C108" s="33">
        <v>104</v>
      </c>
      <c r="D108" s="47">
        <v>46222</v>
      </c>
      <c r="E108" s="48">
        <v>0.875</v>
      </c>
      <c r="F108" s="38" t="s">
        <v>91</v>
      </c>
      <c r="G108" s="38" t="s">
        <v>197</v>
      </c>
      <c r="H108" s="15"/>
      <c r="I108" s="15"/>
      <c r="J108" s="15"/>
      <c r="K108" s="13"/>
      <c r="L108" s="13"/>
      <c r="M108" s="38" t="str">
        <f t="shared" si="7"/>
        <v/>
      </c>
      <c r="N108" s="38" t="str">
        <f t="shared" si="6"/>
        <v/>
      </c>
      <c r="O108" s="15"/>
      <c r="P108" s="15"/>
      <c r="Q108" s="15"/>
      <c r="R108" s="15"/>
      <c r="S108" s="15"/>
      <c r="T108" s="15"/>
      <c r="U108" s="15"/>
      <c r="V108" s="15"/>
      <c r="W108" s="15"/>
    </row>
    <row r="109" spans="1:23">
      <c r="A109" s="14" t="s">
        <v>198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>
      <c r="A110" s="12" t="s">
        <v>199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>
      <c r="A111" s="15" t="s">
        <v>200</v>
      </c>
      <c r="B111" s="1"/>
      <c r="C111" s="1"/>
      <c r="D111" s="1"/>
      <c r="E111" s="12" t="s">
        <v>201</v>
      </c>
      <c r="F111" s="43"/>
      <c r="G111" s="1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>
      <c r="A112" s="1"/>
      <c r="B112" s="1"/>
      <c r="C112" s="1"/>
      <c r="D112" s="1"/>
      <c r="E112" s="15" t="s">
        <v>202</v>
      </c>
      <c r="F112" s="15"/>
      <c r="G112" s="15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>
      <c r="A113" s="34" t="s">
        <v>203</v>
      </c>
      <c r="B113" s="1"/>
      <c r="C113" s="1"/>
      <c r="D113" s="1"/>
      <c r="E113" s="12" t="s">
        <v>204</v>
      </c>
      <c r="F113" s="12"/>
      <c r="G113" s="1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>
      <c r="A114" s="82"/>
      <c r="B114" s="82"/>
      <c r="C114" s="82"/>
      <c r="D114" s="82"/>
      <c r="E114" s="82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  <c r="R114" s="82"/>
      <c r="S114" s="82"/>
      <c r="T114" s="82"/>
      <c r="U114" s="82"/>
      <c r="V114" s="82"/>
      <c r="W114" s="82"/>
    </row>
    <row r="115" spans="1:23">
      <c r="A115" s="82"/>
      <c r="B115" s="82"/>
      <c r="C115" s="82"/>
      <c r="D115" s="82"/>
      <c r="E115" s="82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  <c r="R115" s="82"/>
      <c r="S115" s="82"/>
      <c r="T115" s="82"/>
      <c r="U115" s="82"/>
      <c r="V115" s="82"/>
      <c r="W115" s="82"/>
    </row>
    <row r="116" spans="1:23">
      <c r="A116" s="82"/>
      <c r="B116" s="82"/>
      <c r="C116" s="82"/>
      <c r="D116" s="82"/>
      <c r="E116" s="82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  <c r="R116" s="82"/>
      <c r="S116" s="82"/>
      <c r="T116" s="82"/>
      <c r="U116" s="82"/>
      <c r="V116" s="82"/>
      <c r="W116" s="82"/>
    </row>
    <row r="117" spans="1:23">
      <c r="A117" s="82"/>
      <c r="B117" s="82"/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  <c r="R117" s="82"/>
      <c r="S117" s="82"/>
      <c r="T117" s="82"/>
      <c r="U117" s="82"/>
      <c r="V117" s="82"/>
      <c r="W117" s="82"/>
    </row>
  </sheetData>
  <mergeCells count="1">
    <mergeCell ref="A1:W1"/>
  </mergeCells>
  <dataValidations disablePrompts="1" count="1">
    <dataValidation type="whole" allowBlank="1" sqref="K5:L108" xr:uid="{00000000-0002-0000-01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5"/>
  <sheetViews>
    <sheetView showGridLines="0" topLeftCell="B1" workbookViewId="0">
      <pane ySplit="3" topLeftCell="B4" activePane="bottomLeft" state="frozen"/>
      <selection pane="bottomLeft" activeCell="B1" sqref="B1"/>
      <selection activeCell="B1" sqref="B1"/>
    </sheetView>
  </sheetViews>
  <sheetFormatPr defaultRowHeight="15"/>
  <cols>
    <col min="1" max="1" width="32" customWidth="1"/>
    <col min="2" max="2" width="22" customWidth="1"/>
    <col min="3" max="3" width="4" customWidth="1"/>
    <col min="4" max="4" width="110.7109375" bestFit="1" customWidth="1"/>
    <col min="5" max="6" width="8" customWidth="1"/>
  </cols>
  <sheetData>
    <row r="1" spans="1:18" ht="27.95" customHeight="1">
      <c r="A1" s="174" t="s">
        <v>205</v>
      </c>
      <c r="B1" s="175"/>
      <c r="C1" s="175"/>
      <c r="D1" s="175"/>
      <c r="E1" s="175"/>
      <c r="F1" s="17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>
      <c r="A3" s="2" t="s">
        <v>206</v>
      </c>
      <c r="B3" s="3"/>
      <c r="C3" s="3"/>
      <c r="D3" s="3" t="s">
        <v>207</v>
      </c>
      <c r="E3" s="3"/>
      <c r="F3" s="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>
      <c r="A4" s="4" t="s">
        <v>208</v>
      </c>
      <c r="B4" s="4" t="s">
        <v>209</v>
      </c>
      <c r="C4" s="5"/>
      <c r="D4" s="6" t="s">
        <v>210</v>
      </c>
      <c r="E4" s="5"/>
      <c r="F4" s="5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>
      <c r="A5" s="136" t="s">
        <v>211</v>
      </c>
      <c r="B5" s="136" t="s">
        <v>212</v>
      </c>
      <c r="C5" s="7"/>
      <c r="D5" s="8" t="s">
        <v>213</v>
      </c>
      <c r="E5" s="7"/>
      <c r="F5" s="7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>
      <c r="A6" s="4" t="s">
        <v>214</v>
      </c>
      <c r="B6" s="4" t="s">
        <v>209</v>
      </c>
      <c r="C6" s="5"/>
      <c r="D6" s="6" t="s">
        <v>215</v>
      </c>
      <c r="E6" s="5"/>
      <c r="F6" s="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>
      <c r="A7" s="136" t="s">
        <v>216</v>
      </c>
      <c r="B7" s="136" t="s">
        <v>217</v>
      </c>
      <c r="C7" s="7"/>
      <c r="D7" s="8" t="s">
        <v>218</v>
      </c>
      <c r="E7" s="7"/>
      <c r="F7" s="7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30" customHeight="1">
      <c r="A8" s="4" t="s">
        <v>219</v>
      </c>
      <c r="B8" s="4" t="s">
        <v>220</v>
      </c>
      <c r="C8" s="5"/>
      <c r="D8" s="4"/>
      <c r="E8" s="5"/>
      <c r="F8" s="5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30" customHeight="1">
      <c r="A9" s="136" t="s">
        <v>221</v>
      </c>
      <c r="B9" s="136" t="s">
        <v>222</v>
      </c>
      <c r="C9" s="7"/>
      <c r="D9" s="8" t="s">
        <v>223</v>
      </c>
      <c r="E9" s="7"/>
      <c r="F9" s="7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>
      <c r="A10" s="4" t="s">
        <v>202</v>
      </c>
      <c r="B10" s="4" t="s">
        <v>224</v>
      </c>
      <c r="C10" s="5"/>
      <c r="D10" s="5"/>
      <c r="E10" s="5"/>
      <c r="F10" s="5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>
      <c r="A11" s="136" t="s">
        <v>204</v>
      </c>
      <c r="B11" s="136" t="s">
        <v>224</v>
      </c>
      <c r="C11" s="7"/>
      <c r="D11" s="7"/>
      <c r="E11" s="7"/>
      <c r="F11" s="7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>
      <c r="A12" s="5"/>
      <c r="B12" s="5"/>
      <c r="C12" s="5"/>
      <c r="D12" s="5"/>
      <c r="E12" s="5"/>
      <c r="F12" s="5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>
      <c r="A13" s="7"/>
      <c r="B13" s="7"/>
      <c r="C13" s="7"/>
      <c r="D13" s="7"/>
      <c r="E13" s="7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>
      <c r="A14" s="4" t="s">
        <v>225</v>
      </c>
      <c r="B14" s="5" t="s">
        <v>226</v>
      </c>
      <c r="C14" s="5"/>
      <c r="D14" s="5"/>
      <c r="E14" s="5"/>
      <c r="F14" s="5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>
      <c r="A15" s="176" t="s">
        <v>227</v>
      </c>
      <c r="B15" s="177"/>
      <c r="C15" s="177"/>
      <c r="D15" s="177"/>
      <c r="E15" s="177"/>
      <c r="F15" s="178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>
      <c r="A16" s="179"/>
      <c r="B16" s="180"/>
      <c r="C16" s="180"/>
      <c r="D16" s="180"/>
      <c r="E16" s="180"/>
      <c r="F16" s="18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spans="1:18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</row>
    <row r="32" spans="1:18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spans="1:18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 spans="1:18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spans="1:18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</sheetData>
  <sheetProtection sheet="1" objects="1" scenarios="1"/>
  <mergeCells count="2">
    <mergeCell ref="A1:F1"/>
    <mergeCell ref="A15:F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44"/>
  <sheetViews>
    <sheetView showGridLines="0" topLeftCell="A4" workbookViewId="0">
      <selection activeCell="AB31" sqref="AB31"/>
    </sheetView>
  </sheetViews>
  <sheetFormatPr defaultRowHeight="15"/>
  <cols>
    <col min="1" max="1" width="26" bestFit="1" customWidth="1"/>
    <col min="2" max="2" width="9" customWidth="1"/>
    <col min="3" max="3" width="12" customWidth="1"/>
    <col min="4" max="15" width="3" customWidth="1"/>
    <col min="16" max="16" width="29" bestFit="1" customWidth="1"/>
    <col min="17" max="17" width="9" customWidth="1"/>
    <col min="18" max="18" width="12" customWidth="1"/>
  </cols>
  <sheetData>
    <row r="1" spans="1:19">
      <c r="A1" s="17" t="s">
        <v>228</v>
      </c>
      <c r="B1" s="17" t="s">
        <v>229</v>
      </c>
      <c r="C1" s="17" t="s">
        <v>230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8" t="s">
        <v>231</v>
      </c>
      <c r="Q1" s="18" t="s">
        <v>229</v>
      </c>
      <c r="R1" s="18" t="s">
        <v>230</v>
      </c>
      <c r="S1" s="19"/>
    </row>
    <row r="2" spans="1:19">
      <c r="A2" s="20" t="s">
        <v>232</v>
      </c>
      <c r="B2" s="21">
        <v>5.5</v>
      </c>
      <c r="C2" s="22">
        <f t="shared" ref="C2:C21" si="0">1/B2</f>
        <v>0.18181818181818182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0" t="s">
        <v>233</v>
      </c>
      <c r="Q2" s="21">
        <v>7</v>
      </c>
      <c r="R2" s="22">
        <f t="shared" ref="R2:R16" si="1">1/Q2</f>
        <v>0.14285714285714285</v>
      </c>
      <c r="S2" s="19"/>
    </row>
    <row r="3" spans="1:19">
      <c r="A3" s="23" t="s">
        <v>234</v>
      </c>
      <c r="B3" s="24">
        <v>6.5</v>
      </c>
      <c r="C3" s="25">
        <f t="shared" si="0"/>
        <v>0.15384615384615385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23" t="s">
        <v>235</v>
      </c>
      <c r="Q3" s="24">
        <v>8</v>
      </c>
      <c r="R3" s="25">
        <f t="shared" si="1"/>
        <v>0.125</v>
      </c>
      <c r="S3" s="19"/>
    </row>
    <row r="4" spans="1:19">
      <c r="A4" s="26" t="s">
        <v>236</v>
      </c>
      <c r="B4" s="21">
        <v>7.5</v>
      </c>
      <c r="C4" s="22">
        <f t="shared" si="0"/>
        <v>0.13333333333333333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26" t="s">
        <v>237</v>
      </c>
      <c r="Q4" s="21">
        <v>13</v>
      </c>
      <c r="R4" s="22">
        <f t="shared" si="1"/>
        <v>7.6923076923076927E-2</v>
      </c>
      <c r="S4" s="19"/>
    </row>
    <row r="5" spans="1:19">
      <c r="A5" s="5" t="s">
        <v>238</v>
      </c>
      <c r="B5" s="27">
        <v>9</v>
      </c>
      <c r="C5" s="28">
        <f t="shared" si="0"/>
        <v>0.1111111111111111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5" t="s">
        <v>239</v>
      </c>
      <c r="Q5" s="27">
        <v>15</v>
      </c>
      <c r="R5" s="28">
        <f t="shared" si="1"/>
        <v>6.6666666666666666E-2</v>
      </c>
      <c r="S5" s="19"/>
    </row>
    <row r="6" spans="1:19">
      <c r="A6" s="7" t="s">
        <v>240</v>
      </c>
      <c r="B6" s="29">
        <v>9</v>
      </c>
      <c r="C6" s="30">
        <f t="shared" si="0"/>
        <v>0.1111111111111111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7" t="s">
        <v>241</v>
      </c>
      <c r="Q6" s="29">
        <v>15</v>
      </c>
      <c r="R6" s="30">
        <f t="shared" si="1"/>
        <v>6.6666666666666666E-2</v>
      </c>
      <c r="S6" s="19"/>
    </row>
    <row r="7" spans="1:19">
      <c r="A7" s="5" t="s">
        <v>242</v>
      </c>
      <c r="B7" s="27">
        <v>12</v>
      </c>
      <c r="C7" s="28">
        <f t="shared" si="0"/>
        <v>8.3333333333333329E-2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5" t="s">
        <v>243</v>
      </c>
      <c r="Q7" s="27">
        <v>19</v>
      </c>
      <c r="R7" s="28">
        <f t="shared" si="1"/>
        <v>5.2631578947368418E-2</v>
      </c>
      <c r="S7" s="19"/>
    </row>
    <row r="8" spans="1:19">
      <c r="A8" s="7" t="s">
        <v>244</v>
      </c>
      <c r="B8" s="29">
        <v>16</v>
      </c>
      <c r="C8" s="30">
        <f t="shared" si="0"/>
        <v>6.25E-2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7" t="s">
        <v>245</v>
      </c>
      <c r="Q8" s="29">
        <v>21</v>
      </c>
      <c r="R8" s="30">
        <f t="shared" si="1"/>
        <v>4.7619047619047616E-2</v>
      </c>
      <c r="S8" s="19"/>
    </row>
    <row r="9" spans="1:19">
      <c r="A9" s="5" t="s">
        <v>246</v>
      </c>
      <c r="B9" s="27">
        <v>25</v>
      </c>
      <c r="C9" s="28">
        <f t="shared" si="0"/>
        <v>0.04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5" t="s">
        <v>247</v>
      </c>
      <c r="Q9" s="27">
        <v>21</v>
      </c>
      <c r="R9" s="28">
        <f t="shared" si="1"/>
        <v>4.7619047619047616E-2</v>
      </c>
      <c r="S9" s="19"/>
    </row>
    <row r="10" spans="1:19">
      <c r="A10" s="7" t="s">
        <v>248</v>
      </c>
      <c r="B10" s="29">
        <v>26</v>
      </c>
      <c r="C10" s="30">
        <f t="shared" si="0"/>
        <v>3.8461538461538464E-2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7" t="s">
        <v>249</v>
      </c>
      <c r="Q10" s="29">
        <v>21</v>
      </c>
      <c r="R10" s="30">
        <f t="shared" si="1"/>
        <v>4.7619047619047616E-2</v>
      </c>
      <c r="S10" s="19"/>
    </row>
    <row r="11" spans="1:19">
      <c r="A11" s="5" t="s">
        <v>250</v>
      </c>
      <c r="B11" s="27">
        <v>29</v>
      </c>
      <c r="C11" s="28">
        <f t="shared" si="0"/>
        <v>3.4482758620689655E-2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5" t="s">
        <v>251</v>
      </c>
      <c r="Q11" s="27">
        <v>34</v>
      </c>
      <c r="R11" s="28">
        <f t="shared" si="1"/>
        <v>2.9411764705882353E-2</v>
      </c>
      <c r="S11" s="19"/>
    </row>
    <row r="12" spans="1:19">
      <c r="A12" s="7" t="s">
        <v>252</v>
      </c>
      <c r="B12" s="29">
        <v>41</v>
      </c>
      <c r="C12" s="30">
        <f t="shared" si="0"/>
        <v>2.4390243902439025E-2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7" t="s">
        <v>253</v>
      </c>
      <c r="Q12" s="29">
        <v>41</v>
      </c>
      <c r="R12" s="30">
        <f t="shared" si="1"/>
        <v>2.4390243902439025E-2</v>
      </c>
      <c r="S12" s="19"/>
    </row>
    <row r="13" spans="1:19">
      <c r="A13" s="5" t="s">
        <v>254</v>
      </c>
      <c r="B13" s="27">
        <v>51</v>
      </c>
      <c r="C13" s="28">
        <f t="shared" si="0"/>
        <v>1.9607843137254902E-2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5" t="s">
        <v>255</v>
      </c>
      <c r="Q13" s="27">
        <v>41</v>
      </c>
      <c r="R13" s="28">
        <f t="shared" si="1"/>
        <v>2.4390243902439025E-2</v>
      </c>
      <c r="S13" s="19"/>
    </row>
    <row r="14" spans="1:19">
      <c r="A14" s="7" t="s">
        <v>256</v>
      </c>
      <c r="B14" s="29">
        <v>51</v>
      </c>
      <c r="C14" s="30">
        <f t="shared" si="0"/>
        <v>1.9607843137254902E-2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7" t="s">
        <v>257</v>
      </c>
      <c r="Q14" s="29">
        <v>51</v>
      </c>
      <c r="R14" s="30">
        <f t="shared" si="1"/>
        <v>1.9607843137254902E-2</v>
      </c>
      <c r="S14" s="19"/>
    </row>
    <row r="15" spans="1:19">
      <c r="A15" s="5" t="s">
        <v>258</v>
      </c>
      <c r="B15" s="27">
        <v>67</v>
      </c>
      <c r="C15" s="28">
        <f t="shared" si="0"/>
        <v>1.4925373134328358E-2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5" t="s">
        <v>259</v>
      </c>
      <c r="Q15" s="27">
        <v>51</v>
      </c>
      <c r="R15" s="28">
        <f t="shared" si="1"/>
        <v>1.9607843137254902E-2</v>
      </c>
      <c r="S15" s="19"/>
    </row>
    <row r="16" spans="1:19">
      <c r="A16" s="7" t="s">
        <v>260</v>
      </c>
      <c r="B16" s="29">
        <v>81</v>
      </c>
      <c r="C16" s="30">
        <f t="shared" si="0"/>
        <v>1.2345679012345678E-2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7" t="s">
        <v>261</v>
      </c>
      <c r="Q16" s="29">
        <v>67</v>
      </c>
      <c r="R16" s="30">
        <f t="shared" si="1"/>
        <v>1.4925373134328358E-2</v>
      </c>
      <c r="S16" s="19"/>
    </row>
    <row r="17" spans="1:19">
      <c r="A17" s="5" t="s">
        <v>262</v>
      </c>
      <c r="B17" s="27">
        <v>81</v>
      </c>
      <c r="C17" s="28">
        <f t="shared" si="0"/>
        <v>1.2345679012345678E-2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9"/>
    </row>
    <row r="18" spans="1:19">
      <c r="A18" s="7" t="s">
        <v>263</v>
      </c>
      <c r="B18" s="29">
        <v>81</v>
      </c>
      <c r="C18" s="30">
        <f t="shared" si="0"/>
        <v>1.2345679012345678E-2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9"/>
    </row>
    <row r="19" spans="1:19">
      <c r="A19" s="5" t="s">
        <v>264</v>
      </c>
      <c r="B19" s="27">
        <v>101</v>
      </c>
      <c r="C19" s="28">
        <f t="shared" si="0"/>
        <v>9.9009900990099011E-3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9"/>
    </row>
    <row r="20" spans="1:19">
      <c r="A20" s="7" t="s">
        <v>265</v>
      </c>
      <c r="B20" s="29">
        <v>101</v>
      </c>
      <c r="C20" s="30">
        <f t="shared" si="0"/>
        <v>9.9009900990099011E-3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9"/>
    </row>
    <row r="21" spans="1:19">
      <c r="A21" s="5" t="s">
        <v>266</v>
      </c>
      <c r="B21" s="27">
        <v>151</v>
      </c>
      <c r="C21" s="28">
        <f t="shared" si="0"/>
        <v>6.6225165562913907E-3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9"/>
    </row>
    <row r="22" spans="1:1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9"/>
    </row>
    <row r="23" spans="1:1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9"/>
    </row>
    <row r="24" spans="1:1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9"/>
    </row>
    <row r="25" spans="1:1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9"/>
    </row>
    <row r="26" spans="1:1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9"/>
    </row>
    <row r="27" spans="1:1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9"/>
    </row>
    <row r="28" spans="1:1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9"/>
    </row>
    <row r="29" spans="1:1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9"/>
    </row>
    <row r="30" spans="1:1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9"/>
    </row>
    <row r="31" spans="1:1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9"/>
    </row>
    <row r="32" spans="1:1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9"/>
    </row>
    <row r="33" spans="1:1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9"/>
    </row>
    <row r="34" spans="1:1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9"/>
    </row>
    <row r="35" spans="1:1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9"/>
    </row>
    <row r="36" spans="1:19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 spans="1:19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 spans="1:19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 spans="1:19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 spans="1:19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 spans="1:19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 spans="1:19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</row>
    <row r="43" spans="1:19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</row>
    <row r="44" spans="1:1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</row>
  </sheetData>
  <sheetProtection sheet="1" objects="1" scenarios="1"/>
  <conditionalFormatting sqref="C1:C1048576">
    <cfRule type="dataBar" priority="1">
      <dataBar>
        <cfvo type="min"/>
        <cfvo type="max"/>
        <color rgb="FF638EC6"/>
      </dataBar>
    </cfRule>
  </conditionalFormatting>
  <conditionalFormatting sqref="C2:C21">
    <cfRule type="dataBar" priority="3">
      <dataBar>
        <cfvo type="num" val="0"/>
        <cfvo type="num" val="0.2"/>
        <color rgb="FF3B82F6"/>
      </dataBar>
    </cfRule>
  </conditionalFormatting>
  <conditionalFormatting sqref="R1:R1048576">
    <cfRule type="dataBar" priority="2">
      <dataBar>
        <cfvo type="min"/>
        <cfvo type="max"/>
        <color rgb="FF638EC6"/>
      </dataBar>
    </cfRule>
  </conditionalFormatting>
  <conditionalFormatting sqref="R2:R16">
    <cfRule type="dataBar" priority="4">
      <dataBar>
        <cfvo type="num" val="0"/>
        <cfvo type="num" val="0.2"/>
        <color rgb="FFFACC15"/>
      </dataBar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N116"/>
  <sheetViews>
    <sheetView showGridLines="0" workbookViewId="0">
      <selection sqref="A1:K1"/>
    </sheetView>
  </sheetViews>
  <sheetFormatPr defaultRowHeight="15"/>
  <cols>
    <col min="1" max="1" width="16" bestFit="1" customWidth="1"/>
    <col min="2" max="2" width="17" customWidth="1"/>
    <col min="3" max="3" width="8" customWidth="1"/>
    <col min="4" max="4" width="20" customWidth="1"/>
    <col min="5" max="5" width="21.7109375" bestFit="1" customWidth="1"/>
    <col min="6" max="6" width="14.42578125" customWidth="1"/>
    <col min="7" max="7" width="15.42578125" customWidth="1"/>
    <col min="8" max="8" width="9" customWidth="1"/>
    <col min="9" max="9" width="19.42578125" customWidth="1"/>
    <col min="10" max="10" width="18.5703125" customWidth="1"/>
    <col min="11" max="11" width="20.85546875" customWidth="1"/>
    <col min="12" max="12" width="22.28515625" bestFit="1" customWidth="1"/>
    <col min="14" max="14" width="20" customWidth="1"/>
    <col min="15" max="19" width="8" customWidth="1"/>
    <col min="20" max="20" width="12.7109375" customWidth="1"/>
    <col min="21" max="21" width="8" customWidth="1"/>
    <col min="22" max="23" width="13" bestFit="1" customWidth="1"/>
    <col min="24" max="24" width="16.42578125" customWidth="1"/>
    <col min="26" max="26" width="30" customWidth="1"/>
    <col min="27" max="27" width="13" bestFit="1" customWidth="1"/>
    <col min="28" max="29" width="11.42578125" bestFit="1" customWidth="1"/>
  </cols>
  <sheetData>
    <row r="1" spans="1:40" ht="27.95" customHeight="1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 ht="21.95" customHeight="1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/>
      <c r="G4" s="13"/>
      <c r="H4" s="40" t="str">
        <f t="shared" ref="H4:H35" si="0">IF(OR(F4="",G4=""),"",IF(F4&gt;G4,"1",IF(F4&lt;G4,"2","X")))</f>
        <v/>
      </c>
      <c r="I4" s="40" t="str">
        <f>IF(OR(F4="",G4="",'📊 Resultat &amp; Tabell'!K5="",'📊 Resultat &amp; Tabell'!L5=""),"",IF(F4='📊 Resultat &amp; Tabell'!K5,2,0)+IF(G4='📊 Resultat &amp; Tabell'!L5,2,0))</f>
        <v/>
      </c>
      <c r="J4" s="40" t="str">
        <f>IF(OR(H4="",'📊 Resultat &amp; Tabell'!M5=""),"",IF(H4='📊 Resultat &amp; Tabell'!M5,2,0))</f>
        <v/>
      </c>
      <c r="K4" s="40" t="str">
        <f t="shared" ref="K4:K35" si="1">IF(AND(I4="",J4=""),"",N(I4)+N(J4))</f>
        <v/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/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/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/>
      </c>
      <c r="AA4" s="72" t="str">
        <f>IF(COUNTIFS($C$4:$C$75,"A",$F$4:$F$75,"&lt;&gt;",$G$4:$G$75,"&lt;&gt;")=0,"",IFERROR(LARGE($T$6:$T$9,3),""))</f>
        <v/>
      </c>
      <c r="AB4" s="72" t="str">
        <f>IF(AA4="","",_xlfn.RANK.EQ(AA4,$AA$4:$AA$15,0))</f>
        <v/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6.5" customHeight="1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/>
      <c r="G5" s="13"/>
      <c r="H5" s="40" t="str">
        <f t="shared" si="0"/>
        <v/>
      </c>
      <c r="I5" s="40" t="str">
        <f>IF(OR(F5="",G5="",'📊 Resultat &amp; Tabell'!K6="",'📊 Resultat &amp; Tabell'!L6=""),"",IF(F5='📊 Resultat &amp; Tabell'!K6,2,0)+IF(G5='📊 Resultat &amp; Tabell'!L6,2,0))</f>
        <v/>
      </c>
      <c r="J5" s="40" t="str">
        <f>IF(OR(H5="",'📊 Resultat &amp; Tabell'!M6=""),"",IF(H5='📊 Resultat &amp; Tabell'!M6,2,0))</f>
        <v/>
      </c>
      <c r="K5" s="40" t="str">
        <f t="shared" si="1"/>
        <v/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/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/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/>
      </c>
      <c r="AA5" s="72" t="str" cm="1">
        <f t="array" ref="AA5">IF(COUNTIFS($C$4:$C$75,"B",$F$4:$F$75,"&lt;&gt;",$G$4:$G$75,"&lt;&gt;")=0,"",LARGE($T$13:$T$16+ROW($T$13:$T$16)/100000,3))</f>
        <v/>
      </c>
      <c r="AB5" s="72" t="str">
        <f t="shared" ref="AB5:AB15" si="2">IF(AA5="","",_xlfn.RANK.EQ(AA5,$AA$4:$AA$15,0))</f>
        <v/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/>
      <c r="G6" s="13"/>
      <c r="H6" s="40" t="str">
        <f t="shared" si="0"/>
        <v/>
      </c>
      <c r="I6" s="40" t="str">
        <f>IF(OR(F6="",G6="",'📊 Resultat &amp; Tabell'!K7="",'📊 Resultat &amp; Tabell'!L7=""),"",IF(F6='📊 Resultat &amp; Tabell'!K7,2,0)+IF(G6='📊 Resultat &amp; Tabell'!L7,2,0))</f>
        <v/>
      </c>
      <c r="J6" s="40" t="str">
        <f>IF(OR(H6="",'📊 Resultat &amp; Tabell'!M7=""),"",IF(H6='📊 Resultat &amp; Tabell'!M7,2,0))</f>
        <v/>
      </c>
      <c r="K6" s="40" t="str">
        <f t="shared" si="1"/>
        <v/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0</v>
      </c>
      <c r="N6" s="59" cm="1">
        <f t="array" ref="N6">SUMPRODUCT(--($C$4:$C$75="A"),--(($D$4:$D$75=L6)+($E$4:$E$75=L6)&gt;0),--($F$4:$F$75=$G$4:$G$75),--($F$4:$F$75&lt;&gt;""),--($G$4:$G$75&lt;&gt;""))</f>
        <v>0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0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0</v>
      </c>
      <c r="R6" s="60">
        <f>P6-Q6</f>
        <v>0</v>
      </c>
      <c r="S6" s="60">
        <f>M6*3+N6</f>
        <v>0</v>
      </c>
      <c r="T6" s="71">
        <f>S6*100000+R6*1000+P6</f>
        <v>0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/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/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/>
      </c>
      <c r="AA6" s="72" t="str" cm="1">
        <f t="array" ref="AA6">IF(COUNTIFS($C$4:$C$75,"C",$F$4:$F$75,"&lt;&gt;",$G$4:$G$75,"&lt;&gt;")=0,"",LARGE($T$20:$T$23+ROW($T$20:$T$23)/100000,3))</f>
        <v/>
      </c>
      <c r="AB6" s="72" t="str">
        <f t="shared" si="2"/>
        <v/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/>
      <c r="G7" s="13"/>
      <c r="H7" s="40" t="str">
        <f t="shared" si="0"/>
        <v/>
      </c>
      <c r="I7" s="40" t="str">
        <f>IF(OR(F7="",G7="",'📊 Resultat &amp; Tabell'!K8="",'📊 Resultat &amp; Tabell'!L8=""),"",IF(F7='📊 Resultat &amp; Tabell'!K8,2,0)+IF(G7='📊 Resultat &amp; Tabell'!L8,2,0))</f>
        <v/>
      </c>
      <c r="J7" s="40" t="str">
        <f>IF(OR(H7="",'📊 Resultat &amp; Tabell'!M8=""),"",IF(H7='📊 Resultat &amp; Tabell'!M8,2,0))</f>
        <v/>
      </c>
      <c r="K7" s="40" t="str">
        <f t="shared" si="1"/>
        <v/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0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0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0</v>
      </c>
      <c r="R7" s="60">
        <f t="shared" ref="R7:R9" si="3">P7-Q7</f>
        <v>0</v>
      </c>
      <c r="S7" s="60">
        <f t="shared" ref="S7:S9" si="4">M7*3+N7</f>
        <v>0</v>
      </c>
      <c r="T7" s="71">
        <f t="shared" ref="T7:T9" si="5">S7*100000+R7*1000+P7</f>
        <v>0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/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/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/>
      </c>
      <c r="AA7" s="72" t="str" cm="1">
        <f t="array" ref="AA7">IF(COUNTIFS($C$4:$C$75,"D",$F$4:$F$75,"&lt;&gt;",$G$4:$G$75,"&lt;&gt;")=0,"",LARGE($T$27:$T$30+ROW($T$27:$T$30)/100000,3))</f>
        <v/>
      </c>
      <c r="AB7" s="72" t="str">
        <f t="shared" si="2"/>
        <v/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/>
      <c r="G8" s="13"/>
      <c r="H8" s="40" t="str">
        <f t="shared" si="0"/>
        <v/>
      </c>
      <c r="I8" s="40" t="str">
        <f>IF(OR(F8="",G8="",'📊 Resultat &amp; Tabell'!K9="",'📊 Resultat &amp; Tabell'!L9=""),"",IF(F8='📊 Resultat &amp; Tabell'!K9,2,0)+IF(G8='📊 Resultat &amp; Tabell'!L9,2,0))</f>
        <v/>
      </c>
      <c r="J8" s="40" t="str">
        <f>IF(OR(H8="",'📊 Resultat &amp; Tabell'!M9=""),"",IF(H8='📊 Resultat &amp; Tabell'!M9,2,0))</f>
        <v/>
      </c>
      <c r="K8" s="40" t="str">
        <f t="shared" si="1"/>
        <v/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0</v>
      </c>
      <c r="N8" s="59" cm="1">
        <f t="array" ref="N8">SUMPRODUCT(--($C$4:$C$75="A"),--(($D$4:$D$75=L8)+($E$4:$E$75=L8)&gt;0),--($F$4:$F$75=$G$4:$G$75),--($F$4:$F$75&lt;&gt;""),--($G$4:$G$75&lt;&gt;""))</f>
        <v>0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0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0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0</v>
      </c>
      <c r="R8" s="60">
        <f t="shared" si="3"/>
        <v>0</v>
      </c>
      <c r="S8" s="60">
        <f t="shared" si="4"/>
        <v>0</v>
      </c>
      <c r="T8" s="71">
        <f t="shared" si="5"/>
        <v>0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/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/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/>
      </c>
      <c r="AA8" s="72" t="str" cm="1">
        <f t="array" ref="AA8">IF(COUNTIFS($C$4:$C$75,"E",$F$4:$F$75,"&lt;&gt;",$G$4:$G$75,"&lt;&gt;")=0,"",LARGE($T$34:$T$37+ROW($T$34:$T$37)/100000,3))</f>
        <v/>
      </c>
      <c r="AB8" s="72" t="str">
        <f t="shared" si="2"/>
        <v/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/>
      <c r="G9" s="13"/>
      <c r="H9" s="40" t="str">
        <f t="shared" si="0"/>
        <v/>
      </c>
      <c r="I9" s="40" t="str">
        <f>IF(OR(F9="",G9="",'📊 Resultat &amp; Tabell'!K10="",'📊 Resultat &amp; Tabell'!L10=""),"",IF(F9='📊 Resultat &amp; Tabell'!K10,2,0)+IF(G9='📊 Resultat &amp; Tabell'!L10,2,0))</f>
        <v/>
      </c>
      <c r="J9" s="40" t="str">
        <f>IF(OR(H9="",'📊 Resultat &amp; Tabell'!M10=""),"",IF(H9='📊 Resultat &amp; Tabell'!M10,2,0))</f>
        <v/>
      </c>
      <c r="K9" s="40" t="str">
        <f t="shared" si="1"/>
        <v/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0</v>
      </c>
      <c r="N9" s="59" cm="1">
        <f t="array" ref="N9">SUMPRODUCT(--($C$4:$C$75="A"),--(($D$4:$D$75=L9)+($E$4:$E$75=L9)&gt;0),--($F$4:$F$75=$G$4:$G$75),--($F$4:$F$75&lt;&gt;""),--($G$4:$G$75&lt;&gt;""))</f>
        <v>0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0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0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0</v>
      </c>
      <c r="R9" s="60">
        <f t="shared" si="3"/>
        <v>0</v>
      </c>
      <c r="S9" s="60">
        <f t="shared" si="4"/>
        <v>0</v>
      </c>
      <c r="T9" s="71">
        <f t="shared" si="5"/>
        <v>0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/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/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/>
      </c>
      <c r="AA9" s="72" t="str" cm="1">
        <f t="array" ref="AA9">IF(COUNTIFS($C$4:$C$75,"F",$F$4:$F$75,"&lt;&gt;",$G$4:$G$75,"&lt;&gt;")=0,"",LARGE($T$41:$T$44+ROW($T$41:$T$44)/100000,3))</f>
        <v/>
      </c>
      <c r="AB9" s="72" t="str">
        <f t="shared" si="2"/>
        <v/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/>
      <c r="G10" s="13"/>
      <c r="H10" s="40" t="str">
        <f t="shared" si="0"/>
        <v/>
      </c>
      <c r="I10" s="40" t="str">
        <f>IF(OR(F10="",G10="",'📊 Resultat &amp; Tabell'!K11="",'📊 Resultat &amp; Tabell'!L11=""),"",IF(F10='📊 Resultat &amp; Tabell'!K11,2,0)+IF(G10='📊 Resultat &amp; Tabell'!L11,2,0))</f>
        <v/>
      </c>
      <c r="J10" s="40" t="str">
        <f>IF(OR(H10="",'📊 Resultat &amp; Tabell'!M11=""),"",IF(H10='📊 Resultat &amp; Tabell'!M11,2,0))</f>
        <v/>
      </c>
      <c r="K10" s="40" t="str">
        <f t="shared" si="1"/>
        <v/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/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/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/>
      </c>
      <c r="AA10" s="72" t="str" cm="1">
        <f t="array" ref="AA10">IF(COUNTIFS($C$4:$C$75,"G",$F$4:$F$75,"&lt;&gt;",$G$4:$G$75,"&lt;&gt;")=0,"",LARGE($T$48:$T$51+ROW($T$48:$T$51)/100000,3))</f>
        <v/>
      </c>
      <c r="AB10" s="72" t="str">
        <f t="shared" si="2"/>
        <v/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/>
      <c r="G11" s="13"/>
      <c r="H11" s="40" t="str">
        <f t="shared" si="0"/>
        <v/>
      </c>
      <c r="I11" s="40" t="str">
        <f>IF(OR(F11="",G11="",'📊 Resultat &amp; Tabell'!K12="",'📊 Resultat &amp; Tabell'!L12=""),"",IF(F11='📊 Resultat &amp; Tabell'!K12,2,0)+IF(G11='📊 Resultat &amp; Tabell'!L12,2,0))</f>
        <v/>
      </c>
      <c r="J11" s="40" t="str">
        <f>IF(OR(H11="",'📊 Resultat &amp; Tabell'!M12=""),"",IF(H11='📊 Resultat &amp; Tabell'!M12,2,0))</f>
        <v/>
      </c>
      <c r="K11" s="40" t="str">
        <f t="shared" si="1"/>
        <v/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/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/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/>
      </c>
      <c r="AA11" s="72" t="str" cm="1">
        <f t="array" ref="AA11">IF(COUNTIFS($C$4:$C$75,"H",$F$4:$F$75,"&lt;&gt;",$G$4:$G$75,"&lt;&gt;")=0,"",LARGE($T$55:$T$58+ROW($T$55:$T$58)/100000,3))</f>
        <v/>
      </c>
      <c r="AB11" s="72" t="str">
        <f t="shared" si="2"/>
        <v/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4.25" customHeight="1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/>
      <c r="G12" s="13"/>
      <c r="H12" s="40" t="str">
        <f t="shared" si="0"/>
        <v/>
      </c>
      <c r="I12" s="40" t="str">
        <f>IF(OR(F12="",G12="",'📊 Resultat &amp; Tabell'!K13="",'📊 Resultat &amp; Tabell'!L13=""),"",IF(F12='📊 Resultat &amp; Tabell'!K13,2,0)+IF(G12='📊 Resultat &amp; Tabell'!L13,2,0))</f>
        <v/>
      </c>
      <c r="J12" s="40" t="str">
        <f>IF(OR(H12="",'📊 Resultat &amp; Tabell'!M13=""),"",IF(H12='📊 Resultat &amp; Tabell'!M13,2,0))</f>
        <v/>
      </c>
      <c r="K12" s="40" t="str">
        <f t="shared" si="1"/>
        <v/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/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/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/>
      </c>
      <c r="AA12" s="72" t="str" cm="1">
        <f t="array" ref="AA12">IF(COUNTIFS($C$4:$C$75,"I",$F$4:$F$75,"&lt;&gt;",$G$4:$G$75,"&lt;&gt;")=0,"",LARGE($T$62:$T$65+ROW($T$62:$T$65)/100000,3))</f>
        <v/>
      </c>
      <c r="AB12" s="72" t="str">
        <f t="shared" si="2"/>
        <v/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/>
      <c r="G13" s="13"/>
      <c r="H13" s="40" t="str">
        <f t="shared" si="0"/>
        <v/>
      </c>
      <c r="I13" s="40" t="str">
        <f>IF(OR(F13="",G13="",'📊 Resultat &amp; Tabell'!K14="",'📊 Resultat &amp; Tabell'!L14=""),"",IF(F13='📊 Resultat &amp; Tabell'!K14,2,0)+IF(G13='📊 Resultat &amp; Tabell'!L14,2,0))</f>
        <v/>
      </c>
      <c r="J13" s="40" t="str">
        <f>IF(OR(H13="",'📊 Resultat &amp; Tabell'!M14=""),"",IF(H13='📊 Resultat &amp; Tabell'!M14,2,0))</f>
        <v/>
      </c>
      <c r="K13" s="40" t="str">
        <f t="shared" si="1"/>
        <v/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0</v>
      </c>
      <c r="N13" s="59" cm="1">
        <f t="array" ref="N13">SUMPRODUCT(--($C$4:$C$75="B"),--(($D$4:$D$75=L13)+($E$4:$E$75=L13)&gt;0),--($F$4:$F$75=$G$4:$G$75),--($F$4:$F$75&lt;&gt;""),--($G$4:$G$75&lt;&gt;""))</f>
        <v>0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0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0</v>
      </c>
      <c r="R13" s="60">
        <f>P13-Q13</f>
        <v>0</v>
      </c>
      <c r="S13" s="60">
        <f>M13*3+N13</f>
        <v>0</v>
      </c>
      <c r="T13" s="71">
        <f>S13*100000+R13*1000+P13</f>
        <v>0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/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/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/>
      </c>
      <c r="AA13" s="72" t="str" cm="1">
        <f t="array" ref="AA13">IF(COUNTIFS($C$4:$C$75,"J",$F$4:$F$75,"&lt;&gt;",$G$4:$G$75,"&lt;&gt;")=0,"",LARGE($T$69:$T$72+ROW($T$69:$T$72)/100000,3))</f>
        <v/>
      </c>
      <c r="AB13" s="72" t="str">
        <f t="shared" si="2"/>
        <v/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/>
      <c r="G14" s="13"/>
      <c r="H14" s="40" t="str">
        <f t="shared" si="0"/>
        <v/>
      </c>
      <c r="I14" s="40" t="str">
        <f>IF(OR(F14="",G14="",'📊 Resultat &amp; Tabell'!K15="",'📊 Resultat &amp; Tabell'!L15=""),"",IF(F14='📊 Resultat &amp; Tabell'!K15,2,0)+IF(G14='📊 Resultat &amp; Tabell'!L15,2,0))</f>
        <v/>
      </c>
      <c r="J14" s="40" t="str">
        <f>IF(OR(H14="",'📊 Resultat &amp; Tabell'!M15=""),"",IF(H14='📊 Resultat &amp; Tabell'!M15,2,0))</f>
        <v/>
      </c>
      <c r="K14" s="40" t="str">
        <f t="shared" si="1"/>
        <v/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0</v>
      </c>
      <c r="N14" s="59" cm="1">
        <f t="array" ref="N14">SUMPRODUCT(--($C$4:$C$75="B"),--(($D$4:$D$75=L14)+($E$4:$E$75=L14)&gt;0),--($F$4:$F$75=$G$4:$G$75),--($F$4:$F$75&lt;&gt;""),--($G$4:$G$75&lt;&gt;""))</f>
        <v>0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0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0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0</v>
      </c>
      <c r="R14" s="60">
        <f t="shared" ref="R14:R16" si="6">P14-Q14</f>
        <v>0</v>
      </c>
      <c r="S14" s="60">
        <f t="shared" ref="S14:S16" si="7">M14*3+N14</f>
        <v>0</v>
      </c>
      <c r="T14" s="71">
        <f t="shared" ref="T14:T16" si="8">S14*100000+R14*1000+P14</f>
        <v>0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/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/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/>
      </c>
      <c r="AA14" s="72" t="str" cm="1">
        <f t="array" ref="AA14">IF(COUNTIFS($C$4:$C$75,"K",$F$4:$F$75,"&lt;&gt;",$G$4:$G$75,"&lt;&gt;")=0,"",LARGE($T$76:$T$79+ROW($T$76:$T$79)/100000,3))</f>
        <v/>
      </c>
      <c r="AB14" s="72" t="str">
        <f t="shared" si="2"/>
        <v/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/>
      <c r="G15" s="13"/>
      <c r="H15" s="40" t="str">
        <f t="shared" si="0"/>
        <v/>
      </c>
      <c r="I15" s="40" t="str">
        <f>IF(OR(F15="",G15="",'📊 Resultat &amp; Tabell'!K16="",'📊 Resultat &amp; Tabell'!L16=""),"",IF(F15='📊 Resultat &amp; Tabell'!K16,2,0)+IF(G15='📊 Resultat &amp; Tabell'!L16,2,0))</f>
        <v/>
      </c>
      <c r="J15" s="40" t="str">
        <f>IF(OR(H15="",'📊 Resultat &amp; Tabell'!M16=""),"",IF(H15='📊 Resultat &amp; Tabell'!M16,2,0))</f>
        <v/>
      </c>
      <c r="K15" s="40" t="str">
        <f t="shared" si="1"/>
        <v/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0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0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0</v>
      </c>
      <c r="R15" s="60">
        <f t="shared" si="6"/>
        <v>0</v>
      </c>
      <c r="S15" s="60">
        <f t="shared" si="7"/>
        <v>0</v>
      </c>
      <c r="T15" s="71">
        <f t="shared" si="8"/>
        <v>0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/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/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/>
      </c>
      <c r="AA15" s="72" t="str" cm="1">
        <f t="array" ref="AA15">IF(COUNTIFS($C$4:$C$75,"L",$F$4:$F$75,"&lt;&gt;",$G$4:$G$75,"&lt;&gt;")=0,"",LARGE($T$83:$T$86+ROW($T$83:$T$86)/100000,3))</f>
        <v/>
      </c>
      <c r="AB15" s="72" t="str">
        <f t="shared" si="2"/>
        <v/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/>
      <c r="G16" s="13"/>
      <c r="H16" s="40" t="str">
        <f t="shared" si="0"/>
        <v/>
      </c>
      <c r="I16" s="40" t="str">
        <f>IF(OR(F16="",G16="",'📊 Resultat &amp; Tabell'!K17="",'📊 Resultat &amp; Tabell'!L17=""),"",IF(F16='📊 Resultat &amp; Tabell'!K17,2,0)+IF(G16='📊 Resultat &amp; Tabell'!L17,2,0))</f>
        <v/>
      </c>
      <c r="J16" s="40" t="str">
        <f>IF(OR(H16="",'📊 Resultat &amp; Tabell'!M17=""),"",IF(H16='📊 Resultat &amp; Tabell'!M17,2,0))</f>
        <v/>
      </c>
      <c r="K16" s="40" t="str">
        <f t="shared" si="1"/>
        <v/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0</v>
      </c>
      <c r="N16" s="59" cm="1">
        <f t="array" ref="N16">SUMPRODUCT(--($C$4:$C$75="B"),--(($D$4:$D$75=L16)+($E$4:$E$75=L16)&gt;0),--($F$4:$F$75=$G$4:$G$75),--($F$4:$F$75&lt;&gt;""),--($G$4:$G$75&lt;&gt;""))</f>
        <v>0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0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0</v>
      </c>
      <c r="R16" s="60">
        <f t="shared" si="6"/>
        <v>0</v>
      </c>
      <c r="S16" s="60">
        <f t="shared" si="7"/>
        <v>0</v>
      </c>
      <c r="T16" s="71">
        <f t="shared" si="8"/>
        <v>0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/>
      <c r="G17" s="13"/>
      <c r="H17" s="40" t="str">
        <f t="shared" si="0"/>
        <v/>
      </c>
      <c r="I17" s="40" t="str">
        <f>IF(OR(F17="",G17="",'📊 Resultat &amp; Tabell'!K18="",'📊 Resultat &amp; Tabell'!L18=""),"",IF(F17='📊 Resultat &amp; Tabell'!K18,2,0)+IF(G17='📊 Resultat &amp; Tabell'!L18,2,0))</f>
        <v/>
      </c>
      <c r="J17" s="40" t="str">
        <f>IF(OR(H17="",'📊 Resultat &amp; Tabell'!M18=""),"",IF(H17='📊 Resultat &amp; Tabell'!M18,2,0))</f>
        <v/>
      </c>
      <c r="K17" s="40" t="str">
        <f t="shared" si="1"/>
        <v/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/>
      <c r="G18" s="13"/>
      <c r="H18" s="40" t="str">
        <f t="shared" si="0"/>
        <v/>
      </c>
      <c r="I18" s="40" t="str">
        <f>IF(OR(F18="",G18="",'📊 Resultat &amp; Tabell'!K19="",'📊 Resultat &amp; Tabell'!L19=""),"",IF(F18='📊 Resultat &amp; Tabell'!K19,2,0)+IF(G18='📊 Resultat &amp; Tabell'!L19,2,0))</f>
        <v/>
      </c>
      <c r="J18" s="40" t="str">
        <f>IF(OR(H18="",'📊 Resultat &amp; Tabell'!M19=""),"",IF(H18='📊 Resultat &amp; Tabell'!M19,2,0))</f>
        <v/>
      </c>
      <c r="K18" s="40" t="str">
        <f t="shared" si="1"/>
        <v/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2.75" customHeight="1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/>
      <c r="G19" s="13"/>
      <c r="H19" s="40" t="str">
        <f t="shared" si="0"/>
        <v/>
      </c>
      <c r="I19" s="40" t="str">
        <f>IF(OR(F19="",G19="",'📊 Resultat &amp; Tabell'!K20="",'📊 Resultat &amp; Tabell'!L20=""),"",IF(F19='📊 Resultat &amp; Tabell'!K20,2,0)+IF(G19='📊 Resultat &amp; Tabell'!L20,2,0))</f>
        <v/>
      </c>
      <c r="J19" s="40" t="str">
        <f>IF(OR(H19="",'📊 Resultat &amp; Tabell'!M20=""),"",IF(H19='📊 Resultat &amp; Tabell'!M20,2,0))</f>
        <v/>
      </c>
      <c r="K19" s="40" t="str">
        <f t="shared" si="1"/>
        <v/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/>
      <c r="G20" s="13"/>
      <c r="H20" s="40" t="str">
        <f t="shared" si="0"/>
        <v/>
      </c>
      <c r="I20" s="40" t="str">
        <f>IF(OR(F20="",G20="",'📊 Resultat &amp; Tabell'!K21="",'📊 Resultat &amp; Tabell'!L21=""),"",IF(F20='📊 Resultat &amp; Tabell'!K21,2,0)+IF(G20='📊 Resultat &amp; Tabell'!L21,2,0))</f>
        <v/>
      </c>
      <c r="J20" s="40" t="str">
        <f>IF(OR(H20="",'📊 Resultat &amp; Tabell'!M21=""),"",IF(H20='📊 Resultat &amp; Tabell'!M21,2,0))</f>
        <v/>
      </c>
      <c r="K20" s="40" t="str">
        <f t="shared" si="1"/>
        <v/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0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0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0</v>
      </c>
      <c r="R20" s="60">
        <f t="shared" ref="R20:R23" si="9">P20-Q20</f>
        <v>0</v>
      </c>
      <c r="S20" s="60">
        <f t="shared" ref="S20:S23" si="10">M20*3+N20</f>
        <v>0</v>
      </c>
      <c r="T20" s="71">
        <f t="shared" ref="T20:T23" si="11">S20*100000+R20*1000+P20</f>
        <v>0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/>
      <c r="G21" s="13"/>
      <c r="H21" s="40" t="str">
        <f t="shared" si="0"/>
        <v/>
      </c>
      <c r="I21" s="40" t="str">
        <f>IF(OR(F21="",G21="",'📊 Resultat &amp; Tabell'!K22="",'📊 Resultat &amp; Tabell'!L22=""),"",IF(F21='📊 Resultat &amp; Tabell'!K22,2,0)+IF(G21='📊 Resultat &amp; Tabell'!L22,2,0))</f>
        <v/>
      </c>
      <c r="J21" s="40" t="str">
        <f>IF(OR(H21="",'📊 Resultat &amp; Tabell'!M22=""),"",IF(H21='📊 Resultat &amp; Tabell'!M22,2,0))</f>
        <v/>
      </c>
      <c r="K21" s="40" t="str">
        <f t="shared" si="1"/>
        <v/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0</v>
      </c>
      <c r="N21" s="59" cm="1">
        <f t="array" ref="N21">SUMPRODUCT(--($C$4:$C$75="C"),--(($D$4:$D$75=L21)+($E$4:$E$75=L21)&gt;0),--($F$4:$F$75=$G$4:$G$75),--($F$4:$F$75&lt;&gt;""),--($G$4:$G$75&lt;&gt;""))</f>
        <v>0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0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0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0</v>
      </c>
      <c r="R21" s="60">
        <f t="shared" si="9"/>
        <v>0</v>
      </c>
      <c r="S21" s="60">
        <f t="shared" si="10"/>
        <v>0</v>
      </c>
      <c r="T21" s="71">
        <f t="shared" si="11"/>
        <v>0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/>
      <c r="G22" s="13"/>
      <c r="H22" s="40" t="str">
        <f t="shared" si="0"/>
        <v/>
      </c>
      <c r="I22" s="40" t="str">
        <f>IF(OR(F22="",G22="",'📊 Resultat &amp; Tabell'!K23="",'📊 Resultat &amp; Tabell'!L23=""),"",IF(F22='📊 Resultat &amp; Tabell'!K23,2,0)+IF(G22='📊 Resultat &amp; Tabell'!L23,2,0))</f>
        <v/>
      </c>
      <c r="J22" s="40" t="str">
        <f>IF(OR(H22="",'📊 Resultat &amp; Tabell'!M23=""),"",IF(H22='📊 Resultat &amp; Tabell'!M23,2,0))</f>
        <v/>
      </c>
      <c r="K22" s="40" t="str">
        <f t="shared" si="1"/>
        <v/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0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0</v>
      </c>
      <c r="R22" s="60">
        <f t="shared" si="9"/>
        <v>0</v>
      </c>
      <c r="S22" s="60">
        <f t="shared" si="10"/>
        <v>0</v>
      </c>
      <c r="T22" s="71">
        <f t="shared" si="11"/>
        <v>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/>
      <c r="G23" s="13"/>
      <c r="H23" s="40" t="str">
        <f t="shared" si="0"/>
        <v/>
      </c>
      <c r="I23" s="40" t="str">
        <f>IF(OR(F23="",G23="",'📊 Resultat &amp; Tabell'!K24="",'📊 Resultat &amp; Tabell'!L24=""),"",IF(F23='📊 Resultat &amp; Tabell'!K24,2,0)+IF(G23='📊 Resultat &amp; Tabell'!L24,2,0))</f>
        <v/>
      </c>
      <c r="J23" s="40" t="str">
        <f>IF(OR(H23="",'📊 Resultat &amp; Tabell'!M24=""),"",IF(H23='📊 Resultat &amp; Tabell'!M24,2,0))</f>
        <v/>
      </c>
      <c r="K23" s="40" t="str">
        <f t="shared" si="1"/>
        <v/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0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0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0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0</v>
      </c>
      <c r="R23" s="60">
        <f t="shared" si="9"/>
        <v>0</v>
      </c>
      <c r="S23" s="60">
        <f t="shared" si="10"/>
        <v>0</v>
      </c>
      <c r="T23" s="71">
        <f t="shared" si="11"/>
        <v>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/>
      <c r="G24" s="13"/>
      <c r="H24" s="40" t="str">
        <f t="shared" si="0"/>
        <v/>
      </c>
      <c r="I24" s="40" t="str">
        <f>IF(OR(F24="",G24="",'📊 Resultat &amp; Tabell'!K25="",'📊 Resultat &amp; Tabell'!L25=""),"",IF(F24='📊 Resultat &amp; Tabell'!K25,2,0)+IF(G24='📊 Resultat &amp; Tabell'!L25,2,0))</f>
        <v/>
      </c>
      <c r="J24" s="40" t="str">
        <f>IF(OR(H24="",'📊 Resultat &amp; Tabell'!M25=""),"",IF(H24='📊 Resultat &amp; Tabell'!M25,2,0))</f>
        <v/>
      </c>
      <c r="K24" s="40" t="str">
        <f t="shared" si="1"/>
        <v/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/>
      <c r="G25" s="13"/>
      <c r="H25" s="40" t="str">
        <f t="shared" si="0"/>
        <v/>
      </c>
      <c r="I25" s="40" t="str">
        <f>IF(OR(F25="",G25="",'📊 Resultat &amp; Tabell'!K26="",'📊 Resultat &amp; Tabell'!L26=""),"",IF(F25='📊 Resultat &amp; Tabell'!K26,2,0)+IF(G25='📊 Resultat &amp; Tabell'!L26,2,0))</f>
        <v/>
      </c>
      <c r="J25" s="40" t="str">
        <f>IF(OR(H25="",'📊 Resultat &amp; Tabell'!M26=""),"",IF(H25='📊 Resultat &amp; Tabell'!M26,2,0))</f>
        <v/>
      </c>
      <c r="K25" s="40" t="str">
        <f t="shared" si="1"/>
        <v/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3.5" customHeight="1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/>
      <c r="G26" s="13"/>
      <c r="H26" s="40" t="str">
        <f t="shared" si="0"/>
        <v/>
      </c>
      <c r="I26" s="40" t="str">
        <f>IF(OR(F26="",G26="",'📊 Resultat &amp; Tabell'!K27="",'📊 Resultat &amp; Tabell'!L27=""),"",IF(F26='📊 Resultat &amp; Tabell'!K27,2,0)+IF(G26='📊 Resultat &amp; Tabell'!L27,2,0))</f>
        <v/>
      </c>
      <c r="J26" s="40" t="str">
        <f>IF(OR(H26="",'📊 Resultat &amp; Tabell'!M27=""),"",IF(H26='📊 Resultat &amp; Tabell'!M27,2,0))</f>
        <v/>
      </c>
      <c r="K26" s="40" t="str">
        <f t="shared" si="1"/>
        <v/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/>
      <c r="G27" s="13"/>
      <c r="H27" s="40" t="str">
        <f t="shared" si="0"/>
        <v/>
      </c>
      <c r="I27" s="40" t="str">
        <f>IF(OR(F27="",G27="",'📊 Resultat &amp; Tabell'!K28="",'📊 Resultat &amp; Tabell'!L28=""),"",IF(F27='📊 Resultat &amp; Tabell'!K28,2,0)+IF(G27='📊 Resultat &amp; Tabell'!L28,2,0))</f>
        <v/>
      </c>
      <c r="J27" s="40" t="str">
        <f>IF(OR(H27="",'📊 Resultat &amp; Tabell'!M28=""),"",IF(H27='📊 Resultat &amp; Tabell'!M28,2,0))</f>
        <v/>
      </c>
      <c r="K27" s="40" t="str">
        <f t="shared" si="1"/>
        <v/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0</v>
      </c>
      <c r="N27" s="59" cm="1">
        <f t="array" ref="N27">SUMPRODUCT(--($C$4:$C$75="D"),--(($D$4:$D$75=L27)+($E$4:$E$75=L27)&gt;0),--($F$4:$F$75=$G$4:$G$75),--($F$4:$F$75&lt;&gt;""),--($G$4:$G$75&lt;&gt;""))</f>
        <v>0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0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0</v>
      </c>
      <c r="R27" s="60">
        <f t="shared" ref="R27:R30" si="12">P27-Q27</f>
        <v>0</v>
      </c>
      <c r="S27" s="60">
        <f t="shared" ref="S27:S30" si="13">M27*3+N27</f>
        <v>0</v>
      </c>
      <c r="T27" s="71">
        <f t="shared" ref="T27:T30" si="14">S27*100000+R27*1000+P27</f>
        <v>0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/>
      <c r="G28" s="13"/>
      <c r="H28" s="40" t="str">
        <f t="shared" si="0"/>
        <v/>
      </c>
      <c r="I28" s="40" t="str">
        <f>IF(OR(F28="",G28="",'📊 Resultat &amp; Tabell'!K29="",'📊 Resultat &amp; Tabell'!L29=""),"",IF(F28='📊 Resultat &amp; Tabell'!K29,2,0)+IF(G28='📊 Resultat &amp; Tabell'!L29,2,0))</f>
        <v/>
      </c>
      <c r="J28" s="40" t="str">
        <f>IF(OR(H28="",'📊 Resultat &amp; Tabell'!M29=""),"",IF(H28='📊 Resultat &amp; Tabell'!M29,2,0))</f>
        <v/>
      </c>
      <c r="K28" s="40" t="str">
        <f t="shared" si="1"/>
        <v/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0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0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0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0</v>
      </c>
      <c r="R28" s="60">
        <f t="shared" si="12"/>
        <v>0</v>
      </c>
      <c r="S28" s="60">
        <f t="shared" si="13"/>
        <v>0</v>
      </c>
      <c r="T28" s="71">
        <f t="shared" si="14"/>
        <v>0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/>
      <c r="G29" s="13"/>
      <c r="H29" s="40" t="str">
        <f t="shared" si="0"/>
        <v/>
      </c>
      <c r="I29" s="40" t="str">
        <f>IF(OR(F29="",G29="",'📊 Resultat &amp; Tabell'!K30="",'📊 Resultat &amp; Tabell'!L30=""),"",IF(F29='📊 Resultat &amp; Tabell'!K30,2,0)+IF(G29='📊 Resultat &amp; Tabell'!L30,2,0))</f>
        <v/>
      </c>
      <c r="J29" s="40" t="str">
        <f>IF(OR(H29="",'📊 Resultat &amp; Tabell'!M30=""),"",IF(H29='📊 Resultat &amp; Tabell'!M30,2,0))</f>
        <v/>
      </c>
      <c r="K29" s="40" t="str">
        <f t="shared" si="1"/>
        <v/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0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0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0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0</v>
      </c>
      <c r="R29" s="60">
        <f t="shared" si="12"/>
        <v>0</v>
      </c>
      <c r="S29" s="60">
        <f t="shared" si="13"/>
        <v>0</v>
      </c>
      <c r="T29" s="71">
        <f t="shared" si="14"/>
        <v>0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/>
      <c r="G30" s="13"/>
      <c r="H30" s="40" t="str">
        <f t="shared" si="0"/>
        <v/>
      </c>
      <c r="I30" s="40" t="str">
        <f>IF(OR(F30="",G30="",'📊 Resultat &amp; Tabell'!K31="",'📊 Resultat &amp; Tabell'!L31=""),"",IF(F30='📊 Resultat &amp; Tabell'!K31,2,0)+IF(G30='📊 Resultat &amp; Tabell'!L31,2,0))</f>
        <v/>
      </c>
      <c r="J30" s="40" t="str">
        <f>IF(OR(H30="",'📊 Resultat &amp; Tabell'!M31=""),"",IF(H30='📊 Resultat &amp; Tabell'!M31,2,0))</f>
        <v/>
      </c>
      <c r="K30" s="40" t="str">
        <f t="shared" si="1"/>
        <v/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0</v>
      </c>
      <c r="N30" s="59" cm="1">
        <f t="array" ref="N30">SUMPRODUCT(--($C$4:$C$75="D"),--(($D$4:$D$75=L30)+($E$4:$E$75=L30)&gt;0),--($F$4:$F$75=$G$4:$G$75),--($F$4:$F$75&lt;&gt;""),--($G$4:$G$75&lt;&gt;""))</f>
        <v>0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0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0</v>
      </c>
      <c r="R30" s="60">
        <f t="shared" si="12"/>
        <v>0</v>
      </c>
      <c r="S30" s="60">
        <f t="shared" si="13"/>
        <v>0</v>
      </c>
      <c r="T30" s="71">
        <f t="shared" si="14"/>
        <v>0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/>
      <c r="G31" s="13"/>
      <c r="H31" s="40" t="str">
        <f t="shared" si="0"/>
        <v/>
      </c>
      <c r="I31" s="40" t="str">
        <f>IF(OR(F31="",G31="",'📊 Resultat &amp; Tabell'!K32="",'📊 Resultat &amp; Tabell'!L32=""),"",IF(F31='📊 Resultat &amp; Tabell'!K32,2,0)+IF(G31='📊 Resultat &amp; Tabell'!L32,2,0))</f>
        <v/>
      </c>
      <c r="J31" s="40" t="str">
        <f>IF(OR(H31="",'📊 Resultat &amp; Tabell'!M32=""),"",IF(H31='📊 Resultat &amp; Tabell'!M32,2,0))</f>
        <v/>
      </c>
      <c r="K31" s="40" t="str">
        <f t="shared" si="1"/>
        <v/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/>
      <c r="G32" s="13"/>
      <c r="H32" s="40" t="str">
        <f t="shared" si="0"/>
        <v/>
      </c>
      <c r="I32" s="40" t="str">
        <f>IF(OR(F32="",G32="",'📊 Resultat &amp; Tabell'!K33="",'📊 Resultat &amp; Tabell'!L33=""),"",IF(F32='📊 Resultat &amp; Tabell'!K33,2,0)+IF(G32='📊 Resultat &amp; Tabell'!L33,2,0))</f>
        <v/>
      </c>
      <c r="J32" s="40" t="str">
        <f>IF(OR(H32="",'📊 Resultat &amp; Tabell'!M33=""),"",IF(H32='📊 Resultat &amp; Tabell'!M33,2,0))</f>
        <v/>
      </c>
      <c r="K32" s="40" t="str">
        <f t="shared" si="1"/>
        <v/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 ht="14.25" customHeight="1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/>
      <c r="G33" s="13"/>
      <c r="H33" s="40" t="str">
        <f t="shared" si="0"/>
        <v/>
      </c>
      <c r="I33" s="40" t="str">
        <f>IF(OR(F33="",G33="",'📊 Resultat &amp; Tabell'!K34="",'📊 Resultat &amp; Tabell'!L34=""),"",IF(F33='📊 Resultat &amp; Tabell'!K34,2,0)+IF(G33='📊 Resultat &amp; Tabell'!L34,2,0))</f>
        <v/>
      </c>
      <c r="J33" s="40" t="str">
        <f>IF(OR(H33="",'📊 Resultat &amp; Tabell'!M34=""),"",IF(H33='📊 Resultat &amp; Tabell'!M34,2,0))</f>
        <v/>
      </c>
      <c r="K33" s="40" t="str">
        <f t="shared" si="1"/>
        <v/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/>
      <c r="G34" s="13"/>
      <c r="H34" s="40" t="str">
        <f t="shared" si="0"/>
        <v/>
      </c>
      <c r="I34" s="40" t="str">
        <f>IF(OR(F34="",G34="",'📊 Resultat &amp; Tabell'!K35="",'📊 Resultat &amp; Tabell'!L35=""),"",IF(F34='📊 Resultat &amp; Tabell'!K35,2,0)+IF(G34='📊 Resultat &amp; Tabell'!L35,2,0))</f>
        <v/>
      </c>
      <c r="J34" s="40" t="str">
        <f>IF(OR(H34="",'📊 Resultat &amp; Tabell'!M35=""),"",IF(H34='📊 Resultat &amp; Tabell'!M35,2,0))</f>
        <v/>
      </c>
      <c r="K34" s="40" t="str">
        <f t="shared" si="1"/>
        <v/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0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0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0</v>
      </c>
      <c r="R34" s="60">
        <f t="shared" ref="R34:R37" si="15">P34-Q34</f>
        <v>0</v>
      </c>
      <c r="S34" s="60">
        <f t="shared" ref="S34:S37" si="16">M34*3+N34</f>
        <v>0</v>
      </c>
      <c r="T34" s="71">
        <f t="shared" ref="T34:T37" si="17">S34*100000+R34*1000+P34</f>
        <v>0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/>
      <c r="G35" s="13"/>
      <c r="H35" s="40" t="str">
        <f t="shared" si="0"/>
        <v/>
      </c>
      <c r="I35" s="40" t="str">
        <f>IF(OR(F35="",G35="",'📊 Resultat &amp; Tabell'!K36="",'📊 Resultat &amp; Tabell'!L36=""),"",IF(F35='📊 Resultat &amp; Tabell'!K36,2,0)+IF(G35='📊 Resultat &amp; Tabell'!L36,2,0))</f>
        <v/>
      </c>
      <c r="J35" s="40" t="str">
        <f>IF(OR(H35="",'📊 Resultat &amp; Tabell'!M36=""),"",IF(H35='📊 Resultat &amp; Tabell'!M36,2,0))</f>
        <v/>
      </c>
      <c r="K35" s="40" t="str">
        <f t="shared" si="1"/>
        <v/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0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0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0</v>
      </c>
      <c r="R35" s="60">
        <f t="shared" si="15"/>
        <v>0</v>
      </c>
      <c r="S35" s="60">
        <f t="shared" si="16"/>
        <v>0</v>
      </c>
      <c r="T35" s="71">
        <f t="shared" si="17"/>
        <v>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/>
      <c r="G36" s="13"/>
      <c r="H36" s="40" t="str">
        <f t="shared" ref="H36:H67" si="18">IF(OR(F36="",G36=""),"",IF(F36&gt;G36,"1",IF(F36&lt;G36,"2","X")))</f>
        <v/>
      </c>
      <c r="I36" s="40" t="str">
        <f>IF(OR(F36="",G36="",'📊 Resultat &amp; Tabell'!K37="",'📊 Resultat &amp; Tabell'!L37=""),"",IF(F36='📊 Resultat &amp; Tabell'!K37,2,0)+IF(G36='📊 Resultat &amp; Tabell'!L37,2,0))</f>
        <v/>
      </c>
      <c r="J36" s="40" t="str">
        <f>IF(OR(H36="",'📊 Resultat &amp; Tabell'!M37=""),"",IF(H36='📊 Resultat &amp; Tabell'!M37,2,0))</f>
        <v/>
      </c>
      <c r="K36" s="40" t="str">
        <f t="shared" ref="K36:K67" si="19">IF(AND(I36="",J36=""),"",N(I36)+N(J36))</f>
        <v/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0</v>
      </c>
      <c r="N36" s="59" cm="1">
        <f t="array" ref="N36">SUMPRODUCT(--($C$4:$C$75="E"),--(($D$4:$D$75=L36)+($E$4:$E$75=L36)&gt;0),--($F$4:$F$75=$G$4:$G$75),--($F$4:$F$75&lt;&gt;""),--($G$4:$G$75&lt;&gt;""))</f>
        <v>0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0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0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0</v>
      </c>
      <c r="R36" s="60">
        <f t="shared" si="15"/>
        <v>0</v>
      </c>
      <c r="S36" s="60">
        <f t="shared" si="16"/>
        <v>0</v>
      </c>
      <c r="T36" s="71">
        <f t="shared" si="17"/>
        <v>0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/>
      <c r="G37" s="13"/>
      <c r="H37" s="40" t="str">
        <f t="shared" si="18"/>
        <v/>
      </c>
      <c r="I37" s="40" t="str">
        <f>IF(OR(F37="",G37="",'📊 Resultat &amp; Tabell'!K38="",'📊 Resultat &amp; Tabell'!L38=""),"",IF(F37='📊 Resultat &amp; Tabell'!K38,2,0)+IF(G37='📊 Resultat &amp; Tabell'!L38,2,0))</f>
        <v/>
      </c>
      <c r="J37" s="40" t="str">
        <f>IF(OR(H37="",'📊 Resultat &amp; Tabell'!M38=""),"",IF(H37='📊 Resultat &amp; Tabell'!M38,2,0))</f>
        <v/>
      </c>
      <c r="K37" s="40" t="str">
        <f t="shared" si="19"/>
        <v/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0</v>
      </c>
      <c r="N37" s="59" cm="1">
        <f t="array" ref="N37">SUMPRODUCT(--($C$4:$C$75="E"),--(($D$4:$D$75=L37)+($E$4:$E$75=L37)&gt;0),--($F$4:$F$75=$G$4:$G$75),--($F$4:$F$75&lt;&gt;""),--($G$4:$G$75&lt;&gt;""))</f>
        <v>0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0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0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0</v>
      </c>
      <c r="R37" s="60">
        <f t="shared" si="15"/>
        <v>0</v>
      </c>
      <c r="S37" s="60">
        <f t="shared" si="16"/>
        <v>0</v>
      </c>
      <c r="T37" s="71">
        <f t="shared" si="17"/>
        <v>0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/>
      <c r="G38" s="13"/>
      <c r="H38" s="40" t="str">
        <f t="shared" si="18"/>
        <v/>
      </c>
      <c r="I38" s="40" t="str">
        <f>IF(OR(F38="",G38="",'📊 Resultat &amp; Tabell'!K39="",'📊 Resultat &amp; Tabell'!L39=""),"",IF(F38='📊 Resultat &amp; Tabell'!K39,2,0)+IF(G38='📊 Resultat &amp; Tabell'!L39,2,0))</f>
        <v/>
      </c>
      <c r="J38" s="40" t="str">
        <f>IF(OR(H38="",'📊 Resultat &amp; Tabell'!M39=""),"",IF(H38='📊 Resultat &amp; Tabell'!M39,2,0))</f>
        <v/>
      </c>
      <c r="K38" s="40" t="str">
        <f t="shared" si="19"/>
        <v/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/>
      <c r="G39" s="13"/>
      <c r="H39" s="40" t="str">
        <f t="shared" si="18"/>
        <v/>
      </c>
      <c r="I39" s="40" t="str">
        <f>IF(OR(F39="",G39="",'📊 Resultat &amp; Tabell'!K40="",'📊 Resultat &amp; Tabell'!L40=""),"",IF(F39='📊 Resultat &amp; Tabell'!K40,2,0)+IF(G39='📊 Resultat &amp; Tabell'!L40,2,0))</f>
        <v/>
      </c>
      <c r="J39" s="40" t="str">
        <f>IF(OR(H39="",'📊 Resultat &amp; Tabell'!M40=""),"",IF(H39='📊 Resultat &amp; Tabell'!M40,2,0))</f>
        <v/>
      </c>
      <c r="K39" s="40" t="str">
        <f t="shared" si="19"/>
        <v/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" customHeight="1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/>
      <c r="G40" s="13"/>
      <c r="H40" s="40" t="str">
        <f t="shared" si="18"/>
        <v/>
      </c>
      <c r="I40" s="40" t="str">
        <f>IF(OR(F40="",G40="",'📊 Resultat &amp; Tabell'!K41="",'📊 Resultat &amp; Tabell'!L41=""),"",IF(F40='📊 Resultat &amp; Tabell'!K41,2,0)+IF(G40='📊 Resultat &amp; Tabell'!L41,2,0))</f>
        <v/>
      </c>
      <c r="J40" s="40" t="str">
        <f>IF(OR(H40="",'📊 Resultat &amp; Tabell'!M41=""),"",IF(H40='📊 Resultat &amp; Tabell'!M41,2,0))</f>
        <v/>
      </c>
      <c r="K40" s="40" t="str">
        <f t="shared" si="19"/>
        <v/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/>
      <c r="G41" s="13"/>
      <c r="H41" s="40" t="str">
        <f t="shared" si="18"/>
        <v/>
      </c>
      <c r="I41" s="40" t="str">
        <f>IF(OR(F41="",G41="",'📊 Resultat &amp; Tabell'!K42="",'📊 Resultat &amp; Tabell'!L42=""),"",IF(F41='📊 Resultat &amp; Tabell'!K42,2,0)+IF(G41='📊 Resultat &amp; Tabell'!L42,2,0))</f>
        <v/>
      </c>
      <c r="J41" s="40" t="str">
        <f>IF(OR(H41="",'📊 Resultat &amp; Tabell'!M42=""),"",IF(H41='📊 Resultat &amp; Tabell'!M42,2,0))</f>
        <v/>
      </c>
      <c r="K41" s="40" t="str">
        <f t="shared" si="19"/>
        <v/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0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0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0</v>
      </c>
      <c r="R41" s="60">
        <f t="shared" ref="R41:R44" si="20">P41-Q41</f>
        <v>0</v>
      </c>
      <c r="S41" s="60">
        <f t="shared" ref="S41:S44" si="21">M41*3+N41</f>
        <v>0</v>
      </c>
      <c r="T41" s="71">
        <f t="shared" ref="T41:T44" si="22">S41*100000+R41*1000+P41</f>
        <v>0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/>
      <c r="G42" s="13"/>
      <c r="H42" s="40" t="str">
        <f t="shared" si="18"/>
        <v/>
      </c>
      <c r="I42" s="40" t="str">
        <f>IF(OR(F42="",G42="",'📊 Resultat &amp; Tabell'!K43="",'📊 Resultat &amp; Tabell'!L43=""),"",IF(F42='📊 Resultat &amp; Tabell'!K43,2,0)+IF(G42='📊 Resultat &amp; Tabell'!L43,2,0))</f>
        <v/>
      </c>
      <c r="J42" s="40" t="str">
        <f>IF(OR(H42="",'📊 Resultat &amp; Tabell'!M43=""),"",IF(H42='📊 Resultat &amp; Tabell'!M43,2,0))</f>
        <v/>
      </c>
      <c r="K42" s="40" t="str">
        <f t="shared" si="19"/>
        <v/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0</v>
      </c>
      <c r="N42" s="59" cm="1">
        <f t="array" ref="N42">SUMPRODUCT(--($C$4:$C$75="F"),--(($D$4:$D$75=L42)+($E$4:$E$75=L42)&gt;0),--($F$4:$F$75=$G$4:$G$75),--($F$4:$F$75&lt;&gt;""),--($G$4:$G$75&lt;&gt;""))</f>
        <v>0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0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0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0</v>
      </c>
      <c r="R42" s="60">
        <f t="shared" si="20"/>
        <v>0</v>
      </c>
      <c r="S42" s="60">
        <f t="shared" si="21"/>
        <v>0</v>
      </c>
      <c r="T42" s="71">
        <f t="shared" si="22"/>
        <v>0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/>
      <c r="G43" s="13"/>
      <c r="H43" s="40" t="str">
        <f t="shared" si="18"/>
        <v/>
      </c>
      <c r="I43" s="40" t="str">
        <f>IF(OR(F43="",G43="",'📊 Resultat &amp; Tabell'!K44="",'📊 Resultat &amp; Tabell'!L44=""),"",IF(F43='📊 Resultat &amp; Tabell'!K44,2,0)+IF(G43='📊 Resultat &amp; Tabell'!L44,2,0))</f>
        <v/>
      </c>
      <c r="J43" s="40" t="str">
        <f>IF(OR(H43="",'📊 Resultat &amp; Tabell'!M44=""),"",IF(H43='📊 Resultat &amp; Tabell'!M44,2,0))</f>
        <v/>
      </c>
      <c r="K43" s="40" t="str">
        <f t="shared" si="19"/>
        <v/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0</v>
      </c>
      <c r="N43" s="59" cm="1">
        <f t="array" ref="N43">SUMPRODUCT(--($C$4:$C$75="F"),--(($D$4:$D$75=L43)+($E$4:$E$75=L43)&gt;0),--($F$4:$F$75=$G$4:$G$75),--($F$4:$F$75&lt;&gt;""),--($G$4:$G$75&lt;&gt;""))</f>
        <v>0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0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0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0</v>
      </c>
      <c r="R43" s="60">
        <f t="shared" si="20"/>
        <v>0</v>
      </c>
      <c r="S43" s="60">
        <f t="shared" si="21"/>
        <v>0</v>
      </c>
      <c r="T43" s="71">
        <f t="shared" si="22"/>
        <v>0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/>
      <c r="G44" s="13"/>
      <c r="H44" s="40" t="str">
        <f t="shared" si="18"/>
        <v/>
      </c>
      <c r="I44" s="40" t="str">
        <f>IF(OR(F44="",G44="",'📊 Resultat &amp; Tabell'!K45="",'📊 Resultat &amp; Tabell'!L45=""),"",IF(F44='📊 Resultat &amp; Tabell'!K45,2,0)+IF(G44='📊 Resultat &amp; Tabell'!L45,2,0))</f>
        <v/>
      </c>
      <c r="J44" s="40" t="str">
        <f>IF(OR(H44="",'📊 Resultat &amp; Tabell'!M45=""),"",IF(H44='📊 Resultat &amp; Tabell'!M45,2,0))</f>
        <v/>
      </c>
      <c r="K44" s="40" t="str">
        <f t="shared" si="19"/>
        <v/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0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0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0</v>
      </c>
      <c r="R44" s="60">
        <f t="shared" si="20"/>
        <v>0</v>
      </c>
      <c r="S44" s="60">
        <f t="shared" si="21"/>
        <v>0</v>
      </c>
      <c r="T44" s="71">
        <f t="shared" si="22"/>
        <v>0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/>
      <c r="G45" s="13"/>
      <c r="H45" s="40" t="str">
        <f t="shared" si="18"/>
        <v/>
      </c>
      <c r="I45" s="40" t="str">
        <f>IF(OR(F45="",G45="",'📊 Resultat &amp; Tabell'!K46="",'📊 Resultat &amp; Tabell'!L46=""),"",IF(F45='📊 Resultat &amp; Tabell'!K46,2,0)+IF(G45='📊 Resultat &amp; Tabell'!L46,2,0))</f>
        <v/>
      </c>
      <c r="J45" s="40" t="str">
        <f>IF(OR(H45="",'📊 Resultat &amp; Tabell'!M46=""),"",IF(H45='📊 Resultat &amp; Tabell'!M46,2,0))</f>
        <v/>
      </c>
      <c r="K45" s="40" t="str">
        <f t="shared" si="19"/>
        <v/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/>
      <c r="G46" s="13"/>
      <c r="H46" s="40" t="str">
        <f t="shared" si="18"/>
        <v/>
      </c>
      <c r="I46" s="40" t="str">
        <f>IF(OR(F46="",G46="",'📊 Resultat &amp; Tabell'!K47="",'📊 Resultat &amp; Tabell'!L47=""),"",IF(F46='📊 Resultat &amp; Tabell'!K47,2,0)+IF(G46='📊 Resultat &amp; Tabell'!L47,2,0))</f>
        <v/>
      </c>
      <c r="J46" s="40" t="str">
        <f>IF(OR(H46="",'📊 Resultat &amp; Tabell'!M47=""),"",IF(H46='📊 Resultat &amp; Tabell'!M47,2,0))</f>
        <v/>
      </c>
      <c r="K46" s="40" t="str">
        <f t="shared" si="19"/>
        <v/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" customHeight="1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/>
      <c r="G47" s="13"/>
      <c r="H47" s="40" t="str">
        <f t="shared" si="18"/>
        <v/>
      </c>
      <c r="I47" s="40" t="str">
        <f>IF(OR(F47="",G47="",'📊 Resultat &amp; Tabell'!K48="",'📊 Resultat &amp; Tabell'!L48=""),"",IF(F47='📊 Resultat &amp; Tabell'!K48,2,0)+IF(G47='📊 Resultat &amp; Tabell'!L48,2,0))</f>
        <v/>
      </c>
      <c r="J47" s="40" t="str">
        <f>IF(OR(H47="",'📊 Resultat &amp; Tabell'!M48=""),"",IF(H47='📊 Resultat &amp; Tabell'!M48,2,0))</f>
        <v/>
      </c>
      <c r="K47" s="40" t="str">
        <f t="shared" si="19"/>
        <v/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/>
      <c r="G48" s="13"/>
      <c r="H48" s="40" t="str">
        <f t="shared" si="18"/>
        <v/>
      </c>
      <c r="I48" s="40" t="str">
        <f>IF(OR(F48="",G48="",'📊 Resultat &amp; Tabell'!K49="",'📊 Resultat &amp; Tabell'!L49=""),"",IF(F48='📊 Resultat &amp; Tabell'!K49,2,0)+IF(G48='📊 Resultat &amp; Tabell'!L49,2,0))</f>
        <v/>
      </c>
      <c r="J48" s="40" t="str">
        <f>IF(OR(H48="",'📊 Resultat &amp; Tabell'!M49=""),"",IF(H48='📊 Resultat &amp; Tabell'!M49,2,0))</f>
        <v/>
      </c>
      <c r="K48" s="40" t="str">
        <f t="shared" si="19"/>
        <v/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0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0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0</v>
      </c>
      <c r="R48" s="60">
        <f t="shared" ref="R48:R51" si="23">P48-Q48</f>
        <v>0</v>
      </c>
      <c r="S48" s="60">
        <f t="shared" ref="S48:S51" si="24">M48*3+N48</f>
        <v>0</v>
      </c>
      <c r="T48" s="71">
        <f t="shared" ref="T48:T51" si="25">S48*100000+R48*1000+P48</f>
        <v>0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/>
      <c r="G49" s="13"/>
      <c r="H49" s="40" t="str">
        <f t="shared" si="18"/>
        <v/>
      </c>
      <c r="I49" s="40" t="str">
        <f>IF(OR(F49="",G49="",'📊 Resultat &amp; Tabell'!K50="",'📊 Resultat &amp; Tabell'!L50=""),"",IF(F49='📊 Resultat &amp; Tabell'!K50,2,0)+IF(G49='📊 Resultat &amp; Tabell'!L50,2,0))</f>
        <v/>
      </c>
      <c r="J49" s="40" t="str">
        <f>IF(OR(H49="",'📊 Resultat &amp; Tabell'!M50=""),"",IF(H49='📊 Resultat &amp; Tabell'!M50,2,0))</f>
        <v/>
      </c>
      <c r="K49" s="40" t="str">
        <f t="shared" si="19"/>
        <v/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0</v>
      </c>
      <c r="N49" s="59" cm="1">
        <f t="array" ref="N49">SUMPRODUCT(--($C$4:$C$75="G"),--(($D$4:$D$75=L49)+($E$4:$E$75=L49)&gt;0),--($F$4:$F$75=$G$4:$G$75),--($F$4:$F$75&lt;&gt;""),--($G$4:$G$75&lt;&gt;""))</f>
        <v>0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0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0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0</v>
      </c>
      <c r="R49" s="60">
        <f t="shared" si="23"/>
        <v>0</v>
      </c>
      <c r="S49" s="60">
        <f t="shared" si="24"/>
        <v>0</v>
      </c>
      <c r="T49" s="71">
        <f t="shared" si="25"/>
        <v>0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/>
      <c r="G50" s="13"/>
      <c r="H50" s="40" t="str">
        <f t="shared" si="18"/>
        <v/>
      </c>
      <c r="I50" s="40" t="str">
        <f>IF(OR(F50="",G50="",'📊 Resultat &amp; Tabell'!K51="",'📊 Resultat &amp; Tabell'!L51=""),"",IF(F50='📊 Resultat &amp; Tabell'!K51,2,0)+IF(G50='📊 Resultat &amp; Tabell'!L51,2,0))</f>
        <v/>
      </c>
      <c r="J50" s="40" t="str">
        <f>IF(OR(H50="",'📊 Resultat &amp; Tabell'!M51=""),"",IF(H50='📊 Resultat &amp; Tabell'!M51,2,0))</f>
        <v/>
      </c>
      <c r="K50" s="40" t="str">
        <f t="shared" si="19"/>
        <v/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0</v>
      </c>
      <c r="N50" s="59" cm="1">
        <f t="array" ref="N50">SUMPRODUCT(--($C$4:$C$75="G"),--(($D$4:$D$75=L50)+($E$4:$E$75=L50)&gt;0),--($F$4:$F$75=$G$4:$G$75),--($F$4:$F$75&lt;&gt;""),--($G$4:$G$75&lt;&gt;""))</f>
        <v>0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0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0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0</v>
      </c>
      <c r="R50" s="60">
        <f t="shared" si="23"/>
        <v>0</v>
      </c>
      <c r="S50" s="60">
        <f t="shared" si="24"/>
        <v>0</v>
      </c>
      <c r="T50" s="71">
        <f t="shared" si="25"/>
        <v>0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/>
      <c r="G51" s="13"/>
      <c r="H51" s="40" t="str">
        <f t="shared" si="18"/>
        <v/>
      </c>
      <c r="I51" s="40" t="str">
        <f>IF(OR(F51="",G51="",'📊 Resultat &amp; Tabell'!K52="",'📊 Resultat &amp; Tabell'!L52=""),"",IF(F51='📊 Resultat &amp; Tabell'!K52,2,0)+IF(G51='📊 Resultat &amp; Tabell'!L52,2,0))</f>
        <v/>
      </c>
      <c r="J51" s="40" t="str">
        <f>IF(OR(H51="",'📊 Resultat &amp; Tabell'!M52=""),"",IF(H51='📊 Resultat &amp; Tabell'!M52,2,0))</f>
        <v/>
      </c>
      <c r="K51" s="40" t="str">
        <f t="shared" si="19"/>
        <v/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0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0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0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0</v>
      </c>
      <c r="R51" s="60">
        <f t="shared" si="23"/>
        <v>0</v>
      </c>
      <c r="S51" s="60">
        <f t="shared" si="24"/>
        <v>0</v>
      </c>
      <c r="T51" s="71">
        <f t="shared" si="25"/>
        <v>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/>
      <c r="G52" s="13"/>
      <c r="H52" s="40" t="str">
        <f t="shared" si="18"/>
        <v/>
      </c>
      <c r="I52" s="40" t="str">
        <f>IF(OR(F52="",G52="",'📊 Resultat &amp; Tabell'!K53="",'📊 Resultat &amp; Tabell'!L53=""),"",IF(F52='📊 Resultat &amp; Tabell'!K53,2,0)+IF(G52='📊 Resultat &amp; Tabell'!L53,2,0))</f>
        <v/>
      </c>
      <c r="J52" s="40" t="str">
        <f>IF(OR(H52="",'📊 Resultat &amp; Tabell'!M53=""),"",IF(H52='📊 Resultat &amp; Tabell'!M53,2,0))</f>
        <v/>
      </c>
      <c r="K52" s="40" t="str">
        <f t="shared" si="19"/>
        <v/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/>
      <c r="G53" s="13"/>
      <c r="H53" s="40" t="str">
        <f t="shared" si="18"/>
        <v/>
      </c>
      <c r="I53" s="40" t="str">
        <f>IF(OR(F53="",G53="",'📊 Resultat &amp; Tabell'!K54="",'📊 Resultat &amp; Tabell'!L54=""),"",IF(F53='📊 Resultat &amp; Tabell'!K54,2,0)+IF(G53='📊 Resultat &amp; Tabell'!L54,2,0))</f>
        <v/>
      </c>
      <c r="J53" s="40" t="str">
        <f>IF(OR(H53="",'📊 Resultat &amp; Tabell'!M54=""),"",IF(H53='📊 Resultat &amp; Tabell'!M54,2,0))</f>
        <v/>
      </c>
      <c r="K53" s="40" t="str">
        <f t="shared" si="19"/>
        <v/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/>
      <c r="G54" s="13"/>
      <c r="H54" s="40" t="str">
        <f t="shared" si="18"/>
        <v/>
      </c>
      <c r="I54" s="40" t="str">
        <f>IF(OR(F54="",G54="",'📊 Resultat &amp; Tabell'!K55="",'📊 Resultat &amp; Tabell'!L55=""),"",IF(F54='📊 Resultat &amp; Tabell'!K55,2,0)+IF(G54='📊 Resultat &amp; Tabell'!L55,2,0))</f>
        <v/>
      </c>
      <c r="J54" s="40" t="str">
        <f>IF(OR(H54="",'📊 Resultat &amp; Tabell'!M55=""),"",IF(H54='📊 Resultat &amp; Tabell'!M55,2,0))</f>
        <v/>
      </c>
      <c r="K54" s="40" t="str">
        <f t="shared" si="19"/>
        <v/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/>
      <c r="G55" s="13"/>
      <c r="H55" s="40" t="str">
        <f t="shared" si="18"/>
        <v/>
      </c>
      <c r="I55" s="40" t="str">
        <f>IF(OR(F55="",G55="",'📊 Resultat &amp; Tabell'!K56="",'📊 Resultat &amp; Tabell'!L56=""),"",IF(F55='📊 Resultat &amp; Tabell'!K56,2,0)+IF(G55='📊 Resultat &amp; Tabell'!L56,2,0))</f>
        <v/>
      </c>
      <c r="J55" s="40" t="str">
        <f>IF(OR(H55="",'📊 Resultat &amp; Tabell'!M56=""),"",IF(H55='📊 Resultat &amp; Tabell'!M56,2,0))</f>
        <v/>
      </c>
      <c r="K55" s="40" t="str">
        <f t="shared" si="19"/>
        <v/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0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0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0</v>
      </c>
      <c r="R55" s="60">
        <f t="shared" ref="R55:R58" si="26">P55-Q55</f>
        <v>0</v>
      </c>
      <c r="S55" s="60">
        <f t="shared" ref="S55:S58" si="27">M55*3+N55</f>
        <v>0</v>
      </c>
      <c r="T55" s="71">
        <f t="shared" ref="T55:T58" si="28">S55*100000+R55*1000+P55</f>
        <v>0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/>
      <c r="G56" s="13"/>
      <c r="H56" s="40" t="str">
        <f t="shared" si="18"/>
        <v/>
      </c>
      <c r="I56" s="40" t="str">
        <f>IF(OR(F56="",G56="",'📊 Resultat &amp; Tabell'!K57="",'📊 Resultat &amp; Tabell'!L57=""),"",IF(F56='📊 Resultat &amp; Tabell'!K57,2,0)+IF(G56='📊 Resultat &amp; Tabell'!L57,2,0))</f>
        <v/>
      </c>
      <c r="J56" s="40" t="str">
        <f>IF(OR(H56="",'📊 Resultat &amp; Tabell'!M57=""),"",IF(H56='📊 Resultat &amp; Tabell'!M57,2,0))</f>
        <v/>
      </c>
      <c r="K56" s="40" t="str">
        <f t="shared" si="19"/>
        <v/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0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0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0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0</v>
      </c>
      <c r="R56" s="60">
        <f t="shared" si="26"/>
        <v>0</v>
      </c>
      <c r="S56" s="60">
        <f t="shared" si="27"/>
        <v>0</v>
      </c>
      <c r="T56" s="71">
        <f t="shared" si="28"/>
        <v>0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/>
      <c r="G57" s="13"/>
      <c r="H57" s="40" t="str">
        <f t="shared" si="18"/>
        <v/>
      </c>
      <c r="I57" s="40" t="str">
        <f>IF(OR(F57="",G57="",'📊 Resultat &amp; Tabell'!K58="",'📊 Resultat &amp; Tabell'!L58=""),"",IF(F57='📊 Resultat &amp; Tabell'!K58,2,0)+IF(G57='📊 Resultat &amp; Tabell'!L58,2,0))</f>
        <v/>
      </c>
      <c r="J57" s="40" t="str">
        <f>IF(OR(H57="",'📊 Resultat &amp; Tabell'!M58=""),"",IF(H57='📊 Resultat &amp; Tabell'!M58,2,0))</f>
        <v/>
      </c>
      <c r="K57" s="40" t="str">
        <f t="shared" si="19"/>
        <v/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0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0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0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0</v>
      </c>
      <c r="R57" s="60">
        <f t="shared" si="26"/>
        <v>0</v>
      </c>
      <c r="S57" s="60">
        <f t="shared" si="27"/>
        <v>0</v>
      </c>
      <c r="T57" s="71">
        <f t="shared" si="28"/>
        <v>0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/>
      <c r="G58" s="13"/>
      <c r="H58" s="40" t="str">
        <f t="shared" si="18"/>
        <v/>
      </c>
      <c r="I58" s="40" t="str">
        <f>IF(OR(F58="",G58="",'📊 Resultat &amp; Tabell'!K59="",'📊 Resultat &amp; Tabell'!L59=""),"",IF(F58='📊 Resultat &amp; Tabell'!K59,2,0)+IF(G58='📊 Resultat &amp; Tabell'!L59,2,0))</f>
        <v/>
      </c>
      <c r="J58" s="40" t="str">
        <f>IF(OR(H58="",'📊 Resultat &amp; Tabell'!M59=""),"",IF(H58='📊 Resultat &amp; Tabell'!M59,2,0))</f>
        <v/>
      </c>
      <c r="K58" s="40" t="str">
        <f t="shared" si="19"/>
        <v/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0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0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0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0</v>
      </c>
      <c r="R58" s="60">
        <f t="shared" si="26"/>
        <v>0</v>
      </c>
      <c r="S58" s="60">
        <f t="shared" si="27"/>
        <v>0</v>
      </c>
      <c r="T58" s="71">
        <f t="shared" si="28"/>
        <v>0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/>
      <c r="G59" s="13"/>
      <c r="H59" s="40" t="str">
        <f t="shared" si="18"/>
        <v/>
      </c>
      <c r="I59" s="40" t="str">
        <f>IF(OR(F59="",G59="",'📊 Resultat &amp; Tabell'!K60="",'📊 Resultat &amp; Tabell'!L60=""),"",IF(F59='📊 Resultat &amp; Tabell'!K60,2,0)+IF(G59='📊 Resultat &amp; Tabell'!L60,2,0))</f>
        <v/>
      </c>
      <c r="J59" s="40" t="str">
        <f>IF(OR(H59="",'📊 Resultat &amp; Tabell'!M60=""),"",IF(H59='📊 Resultat &amp; Tabell'!M60,2,0))</f>
        <v/>
      </c>
      <c r="K59" s="40" t="str">
        <f t="shared" si="19"/>
        <v/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/>
      <c r="G60" s="13"/>
      <c r="H60" s="40" t="str">
        <f t="shared" si="18"/>
        <v/>
      </c>
      <c r="I60" s="40" t="str">
        <f>IF(OR(F60="",G60="",'📊 Resultat &amp; Tabell'!K61="",'📊 Resultat &amp; Tabell'!L61=""),"",IF(F60='📊 Resultat &amp; Tabell'!K61,2,0)+IF(G60='📊 Resultat &amp; Tabell'!L61,2,0))</f>
        <v/>
      </c>
      <c r="J60" s="40" t="str">
        <f>IF(OR(H60="",'📊 Resultat &amp; Tabell'!M61=""),"",IF(H60='📊 Resultat &amp; Tabell'!M61,2,0))</f>
        <v/>
      </c>
      <c r="K60" s="40" t="str">
        <f t="shared" si="19"/>
        <v/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/>
      <c r="G61" s="13"/>
      <c r="H61" s="40" t="str">
        <f t="shared" si="18"/>
        <v/>
      </c>
      <c r="I61" s="40" t="str">
        <f>IF(OR(F61="",G61="",'📊 Resultat &amp; Tabell'!K62="",'📊 Resultat &amp; Tabell'!L62=""),"",IF(F61='📊 Resultat &amp; Tabell'!K62,2,0)+IF(G61='📊 Resultat &amp; Tabell'!L62,2,0))</f>
        <v/>
      </c>
      <c r="J61" s="40" t="str">
        <f>IF(OR(H61="",'📊 Resultat &amp; Tabell'!M62=""),"",IF(H61='📊 Resultat &amp; Tabell'!M62,2,0))</f>
        <v/>
      </c>
      <c r="K61" s="40" t="str">
        <f t="shared" si="19"/>
        <v/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/>
      <c r="G62" s="13"/>
      <c r="H62" s="40" t="str">
        <f t="shared" si="18"/>
        <v/>
      </c>
      <c r="I62" s="40" t="str">
        <f>IF(OR(F62="",G62="",'📊 Resultat &amp; Tabell'!K63="",'📊 Resultat &amp; Tabell'!L63=""),"",IF(F62='📊 Resultat &amp; Tabell'!K63,2,0)+IF(G62='📊 Resultat &amp; Tabell'!L63,2,0))</f>
        <v/>
      </c>
      <c r="J62" s="40" t="str">
        <f>IF(OR(H62="",'📊 Resultat &amp; Tabell'!M63=""),"",IF(H62='📊 Resultat &amp; Tabell'!M63,2,0))</f>
        <v/>
      </c>
      <c r="K62" s="40" t="str">
        <f t="shared" si="19"/>
        <v/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0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0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0</v>
      </c>
      <c r="R62" s="60">
        <f t="shared" ref="R62:R65" si="29">P62-Q62</f>
        <v>0</v>
      </c>
      <c r="S62" s="60">
        <f t="shared" ref="S62:S65" si="30">M62*3+N62</f>
        <v>0</v>
      </c>
      <c r="T62" s="71">
        <f t="shared" ref="T62:T65" si="31">S62*100000+R62*1000+P62</f>
        <v>0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/>
      <c r="G63" s="13"/>
      <c r="H63" s="40" t="str">
        <f t="shared" si="18"/>
        <v/>
      </c>
      <c r="I63" s="40" t="str">
        <f>IF(OR(F63="",G63="",'📊 Resultat &amp; Tabell'!K64="",'📊 Resultat &amp; Tabell'!L64=""),"",IF(F63='📊 Resultat &amp; Tabell'!K64,2,0)+IF(G63='📊 Resultat &amp; Tabell'!L64,2,0))</f>
        <v/>
      </c>
      <c r="J63" s="40" t="str">
        <f>IF(OR(H63="",'📊 Resultat &amp; Tabell'!M64=""),"",IF(H63='📊 Resultat &amp; Tabell'!M64,2,0))</f>
        <v/>
      </c>
      <c r="K63" s="40" t="str">
        <f t="shared" si="19"/>
        <v/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0</v>
      </c>
      <c r="N63" s="59" cm="1">
        <f t="array" ref="N63">SUMPRODUCT(--($C$4:$C$75="I"),--(($D$4:$D$75=L63)+($E$4:$E$75=L63)&gt;0),--($F$4:$F$75=$G$4:$G$75),--($F$4:$F$75&lt;&gt;""),--($G$4:$G$75&lt;&gt;""))</f>
        <v>0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0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0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0</v>
      </c>
      <c r="R63" s="60">
        <f t="shared" si="29"/>
        <v>0</v>
      </c>
      <c r="S63" s="60">
        <f t="shared" si="30"/>
        <v>0</v>
      </c>
      <c r="T63" s="71">
        <f t="shared" si="31"/>
        <v>0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/>
      <c r="G64" s="13"/>
      <c r="H64" s="40" t="str">
        <f t="shared" si="18"/>
        <v/>
      </c>
      <c r="I64" s="40" t="str">
        <f>IF(OR(F64="",G64="",'📊 Resultat &amp; Tabell'!K65="",'📊 Resultat &amp; Tabell'!L65=""),"",IF(F64='📊 Resultat &amp; Tabell'!K65,2,0)+IF(G64='📊 Resultat &amp; Tabell'!L65,2,0))</f>
        <v/>
      </c>
      <c r="J64" s="40" t="str">
        <f>IF(OR(H64="",'📊 Resultat &amp; Tabell'!M65=""),"",IF(H64='📊 Resultat &amp; Tabell'!M65,2,0))</f>
        <v/>
      </c>
      <c r="K64" s="40" t="str">
        <f t="shared" si="19"/>
        <v/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0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0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0</v>
      </c>
      <c r="R64" s="60">
        <f t="shared" si="29"/>
        <v>0</v>
      </c>
      <c r="S64" s="60">
        <f t="shared" si="30"/>
        <v>0</v>
      </c>
      <c r="T64" s="71">
        <f t="shared" si="31"/>
        <v>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/>
      <c r="G65" s="13"/>
      <c r="H65" s="40" t="str">
        <f t="shared" si="18"/>
        <v/>
      </c>
      <c r="I65" s="40" t="str">
        <f>IF(OR(F65="",G65="",'📊 Resultat &amp; Tabell'!K66="",'📊 Resultat &amp; Tabell'!L66=""),"",IF(F65='📊 Resultat &amp; Tabell'!K66,2,0)+IF(G65='📊 Resultat &amp; Tabell'!L66,2,0))</f>
        <v/>
      </c>
      <c r="J65" s="40" t="str">
        <f>IF(OR(H65="",'📊 Resultat &amp; Tabell'!M66=""),"",IF(H65='📊 Resultat &amp; Tabell'!M66,2,0))</f>
        <v/>
      </c>
      <c r="K65" s="40" t="str">
        <f t="shared" si="19"/>
        <v/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0</v>
      </c>
      <c r="N65" s="59" cm="1">
        <f t="array" ref="N65">SUMPRODUCT(--($C$4:$C$75="I"),--(($D$4:$D$75=L65)+($E$4:$E$75=L65)&gt;0),--($F$4:$F$75=$G$4:$G$75),--($F$4:$F$75&lt;&gt;""),--($G$4:$G$75&lt;&gt;""))</f>
        <v>0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0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0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0</v>
      </c>
      <c r="R65" s="60">
        <f t="shared" si="29"/>
        <v>0</v>
      </c>
      <c r="S65" s="60">
        <f t="shared" si="30"/>
        <v>0</v>
      </c>
      <c r="T65" s="71">
        <f t="shared" si="31"/>
        <v>0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/>
      <c r="G66" s="13"/>
      <c r="H66" s="40" t="str">
        <f t="shared" si="18"/>
        <v/>
      </c>
      <c r="I66" s="40" t="str">
        <f>IF(OR(F66="",G66="",'📊 Resultat &amp; Tabell'!K67="",'📊 Resultat &amp; Tabell'!L67=""),"",IF(F66='📊 Resultat &amp; Tabell'!K67,2,0)+IF(G66='📊 Resultat &amp; Tabell'!L67,2,0))</f>
        <v/>
      </c>
      <c r="J66" s="40" t="str">
        <f>IF(OR(H66="",'📊 Resultat &amp; Tabell'!M67=""),"",IF(H66='📊 Resultat &amp; Tabell'!M67,2,0))</f>
        <v/>
      </c>
      <c r="K66" s="40" t="str">
        <f t="shared" si="19"/>
        <v/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/>
      <c r="G67" s="13"/>
      <c r="H67" s="40" t="str">
        <f t="shared" si="18"/>
        <v/>
      </c>
      <c r="I67" s="40" t="str">
        <f>IF(OR(F67="",G67="",'📊 Resultat &amp; Tabell'!K68="",'📊 Resultat &amp; Tabell'!L68=""),"",IF(F67='📊 Resultat &amp; Tabell'!K68,2,0)+IF(G67='📊 Resultat &amp; Tabell'!L68,2,0))</f>
        <v/>
      </c>
      <c r="J67" s="40" t="str">
        <f>IF(OR(H67="",'📊 Resultat &amp; Tabell'!M68=""),"",IF(H67='📊 Resultat &amp; Tabell'!M68,2,0))</f>
        <v/>
      </c>
      <c r="K67" s="40" t="str">
        <f t="shared" si="19"/>
        <v/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" customHeight="1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/>
      <c r="G68" s="13"/>
      <c r="H68" s="40" t="str">
        <f t="shared" ref="H68:H99" si="32">IF(OR(F68="",G68=""),"",IF(F68&gt;G68,"1",IF(F68&lt;G68,"2","X")))</f>
        <v/>
      </c>
      <c r="I68" s="40" t="str">
        <f>IF(OR(F68="",G68="",'📊 Resultat &amp; Tabell'!K69="",'📊 Resultat &amp; Tabell'!L69=""),"",IF(F68='📊 Resultat &amp; Tabell'!K69,2,0)+IF(G68='📊 Resultat &amp; Tabell'!L69,2,0))</f>
        <v/>
      </c>
      <c r="J68" s="40" t="str">
        <f>IF(OR(H68="",'📊 Resultat &amp; Tabell'!M69=""),"",IF(H68='📊 Resultat &amp; Tabell'!M69,2,0))</f>
        <v/>
      </c>
      <c r="K68" s="40" t="str">
        <f t="shared" ref="K68:K99" si="33">IF(AND(I68="",J68=""),"",N(I68)+N(J68))</f>
        <v/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/>
      <c r="G69" s="13"/>
      <c r="H69" s="40" t="str">
        <f t="shared" si="32"/>
        <v/>
      </c>
      <c r="I69" s="40" t="str">
        <f>IF(OR(F69="",G69="",'📊 Resultat &amp; Tabell'!K70="",'📊 Resultat &amp; Tabell'!L70=""),"",IF(F69='📊 Resultat &amp; Tabell'!K70,2,0)+IF(G69='📊 Resultat &amp; Tabell'!L70,2,0))</f>
        <v/>
      </c>
      <c r="J69" s="40" t="str">
        <f>IF(OR(H69="",'📊 Resultat &amp; Tabell'!M70=""),"",IF(H69='📊 Resultat &amp; Tabell'!M70,2,0))</f>
        <v/>
      </c>
      <c r="K69" s="40" t="str">
        <f t="shared" si="33"/>
        <v/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0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0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0</v>
      </c>
      <c r="R69" s="60">
        <f t="shared" ref="R69:R72" si="34">P69-Q69</f>
        <v>0</v>
      </c>
      <c r="S69" s="60">
        <f t="shared" ref="S69:S72" si="35">M69*3+N69</f>
        <v>0</v>
      </c>
      <c r="T69" s="71">
        <f t="shared" ref="T69:T72" si="36">S69*100000+R69*1000+P69</f>
        <v>0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/>
      <c r="G70" s="13"/>
      <c r="H70" s="40" t="str">
        <f t="shared" si="32"/>
        <v/>
      </c>
      <c r="I70" s="40" t="str">
        <f>IF(OR(F70="",G70="",'📊 Resultat &amp; Tabell'!K71="",'📊 Resultat &amp; Tabell'!L71=""),"",IF(F70='📊 Resultat &amp; Tabell'!K71,2,0)+IF(G70='📊 Resultat &amp; Tabell'!L71,2,0))</f>
        <v/>
      </c>
      <c r="J70" s="40" t="str">
        <f>IF(OR(H70="",'📊 Resultat &amp; Tabell'!M71=""),"",IF(H70='📊 Resultat &amp; Tabell'!M71,2,0))</f>
        <v/>
      </c>
      <c r="K70" s="40" t="str">
        <f t="shared" si="33"/>
        <v/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0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0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0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0</v>
      </c>
      <c r="R70" s="60">
        <f t="shared" si="34"/>
        <v>0</v>
      </c>
      <c r="S70" s="60">
        <f t="shared" si="35"/>
        <v>0</v>
      </c>
      <c r="T70" s="71">
        <f t="shared" si="36"/>
        <v>0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/>
      <c r="G71" s="13"/>
      <c r="H71" s="40" t="str">
        <f t="shared" si="32"/>
        <v/>
      </c>
      <c r="I71" s="40" t="str">
        <f>IF(OR(F71="",G71="",'📊 Resultat &amp; Tabell'!K72="",'📊 Resultat &amp; Tabell'!L72=""),"",IF(F71='📊 Resultat &amp; Tabell'!K72,2,0)+IF(G71='📊 Resultat &amp; Tabell'!L72,2,0))</f>
        <v/>
      </c>
      <c r="J71" s="40" t="str">
        <f>IF(OR(H71="",'📊 Resultat &amp; Tabell'!M72=""),"",IF(H71='📊 Resultat &amp; Tabell'!M72,2,0))</f>
        <v/>
      </c>
      <c r="K71" s="40" t="str">
        <f t="shared" si="33"/>
        <v/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0</v>
      </c>
      <c r="N71" s="59" cm="1">
        <f t="array" ref="N71">SUMPRODUCT(--($C$4:$C$75="J"),--(($D$4:$D$75=L71)+($E$4:$E$75=L71)&gt;0),--($F$4:$F$75=$G$4:$G$75),--($F$4:$F$75&lt;&gt;""),--($G$4:$G$75&lt;&gt;""))</f>
        <v>0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0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0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0</v>
      </c>
      <c r="R71" s="60">
        <f t="shared" si="34"/>
        <v>0</v>
      </c>
      <c r="S71" s="60">
        <f t="shared" si="35"/>
        <v>0</v>
      </c>
      <c r="T71" s="71">
        <f t="shared" si="36"/>
        <v>0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/>
      <c r="G72" s="13"/>
      <c r="H72" s="40" t="str">
        <f t="shared" si="32"/>
        <v/>
      </c>
      <c r="I72" s="40" t="str">
        <f>IF(OR(F72="",G72="",'📊 Resultat &amp; Tabell'!K73="",'📊 Resultat &amp; Tabell'!L73=""),"",IF(F72='📊 Resultat &amp; Tabell'!K73,2,0)+IF(G72='📊 Resultat &amp; Tabell'!L73,2,0))</f>
        <v/>
      </c>
      <c r="J72" s="40" t="str">
        <f>IF(OR(H72="",'📊 Resultat &amp; Tabell'!M73=""),"",IF(H72='📊 Resultat &amp; Tabell'!M73,2,0))</f>
        <v/>
      </c>
      <c r="K72" s="40" t="str">
        <f t="shared" si="33"/>
        <v/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0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0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0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0</v>
      </c>
      <c r="R72" s="60">
        <f t="shared" si="34"/>
        <v>0</v>
      </c>
      <c r="S72" s="60">
        <f t="shared" si="35"/>
        <v>0</v>
      </c>
      <c r="T72" s="71">
        <f t="shared" si="36"/>
        <v>0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/>
      <c r="G73" s="13"/>
      <c r="H73" s="40" t="str">
        <f t="shared" si="32"/>
        <v/>
      </c>
      <c r="I73" s="40" t="str">
        <f>IF(OR(F73="",G73="",'📊 Resultat &amp; Tabell'!K74="",'📊 Resultat &amp; Tabell'!L74=""),"",IF(F73='📊 Resultat &amp; Tabell'!K74,2,0)+IF(G73='📊 Resultat &amp; Tabell'!L74,2,0))</f>
        <v/>
      </c>
      <c r="J73" s="40" t="str">
        <f>IF(OR(H73="",'📊 Resultat &amp; Tabell'!M74=""),"",IF(H73='📊 Resultat &amp; Tabell'!M74,2,0))</f>
        <v/>
      </c>
      <c r="K73" s="40" t="str">
        <f t="shared" si="33"/>
        <v/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/>
      <c r="G74" s="13"/>
      <c r="H74" s="40" t="str">
        <f t="shared" si="32"/>
        <v/>
      </c>
      <c r="I74" s="40" t="str">
        <f>IF(OR(F74="",G74="",'📊 Resultat &amp; Tabell'!K75="",'📊 Resultat &amp; Tabell'!L75=""),"",IF(F74='📊 Resultat &amp; Tabell'!K75,2,0)+IF(G74='📊 Resultat &amp; Tabell'!L75,2,0))</f>
        <v/>
      </c>
      <c r="J74" s="40" t="str">
        <f>IF(OR(H74="",'📊 Resultat &amp; Tabell'!M75=""),"",IF(H74='📊 Resultat &amp; Tabell'!M75,2,0))</f>
        <v/>
      </c>
      <c r="K74" s="40" t="str">
        <f t="shared" si="33"/>
        <v/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2.75" customHeight="1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/>
      <c r="G75" s="13"/>
      <c r="H75" s="40" t="str">
        <f t="shared" si="32"/>
        <v/>
      </c>
      <c r="I75" s="40" t="str">
        <f>IF(OR(F75="",G75="",'📊 Resultat &amp; Tabell'!K76="",'📊 Resultat &amp; Tabell'!L76=""),"",IF(F75='📊 Resultat &amp; Tabell'!K76,2,0)+IF(G75='📊 Resultat &amp; Tabell'!L76,2,0))</f>
        <v/>
      </c>
      <c r="J75" s="40" t="str">
        <f>IF(OR(H75="",'📊 Resultat &amp; Tabell'!M76=""),"",IF(H75='📊 Resultat &amp; Tabell'!M76,2,0))</f>
        <v/>
      </c>
      <c r="K75" s="40" t="str">
        <f t="shared" si="33"/>
        <v/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76" t="str">
        <f>IF($Y$4="","",$Y$4)</f>
        <v/>
      </c>
      <c r="E76" s="76" t="str">
        <f>IF($Y$5="","",$Y$5)</f>
        <v/>
      </c>
      <c r="F76" s="13"/>
      <c r="G76" s="13"/>
      <c r="H76" s="40" t="str">
        <f t="shared" si="32"/>
        <v/>
      </c>
      <c r="I76" s="40" t="str">
        <f>IF(OR(F76="",G76="",'📊 Resultat &amp; Tabell'!K77="",'📊 Resultat &amp; Tabell'!L77=""),"",IF(F76='📊 Resultat &amp; Tabell'!K77,2,0)+IF(G76='📊 Resultat &amp; Tabell'!L77,2,0))</f>
        <v/>
      </c>
      <c r="J76" s="40" t="str">
        <f>IF(OR(H76="",'📊 Resultat &amp; Tabell'!M77=""),"",IF(H76='📊 Resultat &amp; Tabell'!M77,2,0))</f>
        <v/>
      </c>
      <c r="K76" s="40" t="str">
        <f t="shared" si="33"/>
        <v/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0</v>
      </c>
      <c r="N76" s="59" cm="1">
        <f t="array" ref="N76">SUMPRODUCT(--($C$4:$C$75="K"),--(($D$4:$D$75=L76)+($E$4:$E$75=L76)&gt;0),--($F$4:$F$75=$G$4:$G$75),--($F$4:$F$75&lt;&gt;""),--($G$4:$G$75&lt;&gt;""))</f>
        <v>0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0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0</v>
      </c>
      <c r="R76" s="60">
        <f t="shared" ref="R76:R79" si="37">P76-Q76</f>
        <v>0</v>
      </c>
      <c r="S76" s="60">
        <f t="shared" ref="S76:S79" si="38">M76*3+N76</f>
        <v>0</v>
      </c>
      <c r="T76" s="71">
        <f t="shared" ref="T76:T79" si="39">S76*100000+R76*1000+P76</f>
        <v>0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tr">
        <f>IF($X$8="","",$X$8)</f>
        <v/>
      </c>
      <c r="E77" s="78" t="str" cm="1">
        <f t="array" ref="E77">IFERROR(INDEX($Z$4:$Z$15,MATCH(MAX(IF((ISNUMBER(MATCH($W$4:$W$15,{"A","B","C","D","F"},0)))*($AB$4:$AB$15&lt;=8)*(COUNTIF($D$76:E76,$Z$4:$Z$15)=0),$AA$4:$AA$15)),$AA$4:$AA$15,0)),"")</f>
        <v/>
      </c>
      <c r="F77" s="13"/>
      <c r="G77" s="13"/>
      <c r="H77" s="40" t="str">
        <f t="shared" si="32"/>
        <v/>
      </c>
      <c r="I77" s="40" t="str">
        <f>IF(OR(F77="",G77="",'📊 Resultat &amp; Tabell'!K78="",'📊 Resultat &amp; Tabell'!L78=""),"",IF(F77='📊 Resultat &amp; Tabell'!K78,2,0)+IF(G77='📊 Resultat &amp; Tabell'!L78,2,0))</f>
        <v/>
      </c>
      <c r="J77" s="40" t="str">
        <f>IF(OR(H77="",'📊 Resultat &amp; Tabell'!M78=""),"",IF(H77='📊 Resultat &amp; Tabell'!M78,2,0))</f>
        <v/>
      </c>
      <c r="K77" s="40" t="str">
        <f t="shared" si="33"/>
        <v/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0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0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0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0</v>
      </c>
      <c r="R77" s="60">
        <f t="shared" si="37"/>
        <v>0</v>
      </c>
      <c r="S77" s="60">
        <f t="shared" si="38"/>
        <v>0</v>
      </c>
      <c r="T77" s="71">
        <f t="shared" si="39"/>
        <v>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76" t="str">
        <f>IF($X$9="","",$X$9)</f>
        <v/>
      </c>
      <c r="E78" s="76" t="str">
        <f>IF($Y$6="","",$Y$6)</f>
        <v/>
      </c>
      <c r="F78" s="13"/>
      <c r="G78" s="13"/>
      <c r="H78" s="40" t="str">
        <f t="shared" si="32"/>
        <v/>
      </c>
      <c r="I78" s="40" t="str">
        <f>IF(OR(F78="",G78="",'📊 Resultat &amp; Tabell'!K79="",'📊 Resultat &amp; Tabell'!L79=""),"",IF(F78='📊 Resultat &amp; Tabell'!K79,2,0)+IF(G78='📊 Resultat &amp; Tabell'!L79,2,0))</f>
        <v/>
      </c>
      <c r="J78" s="40" t="str">
        <f>IF(OR(H78="",'📊 Resultat &amp; Tabell'!M79=""),"",IF(H78='📊 Resultat &amp; Tabell'!M79,2,0))</f>
        <v/>
      </c>
      <c r="K78" s="40" t="str">
        <f t="shared" si="33"/>
        <v/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0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0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0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0</v>
      </c>
      <c r="R78" s="60">
        <f t="shared" si="37"/>
        <v>0</v>
      </c>
      <c r="S78" s="60">
        <f t="shared" si="38"/>
        <v>0</v>
      </c>
      <c r="T78" s="71">
        <f t="shared" si="39"/>
        <v>0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tr">
        <f>IF($X$6="","",$X$6)</f>
        <v/>
      </c>
      <c r="E79" s="78" t="str">
        <f>IF($Y$9="","",$Y$9)</f>
        <v/>
      </c>
      <c r="F79" s="13"/>
      <c r="G79" s="13"/>
      <c r="H79" s="40" t="str">
        <f t="shared" si="32"/>
        <v/>
      </c>
      <c r="I79" s="40" t="str">
        <f>IF(OR(F79="",G79="",'📊 Resultat &amp; Tabell'!K80="",'📊 Resultat &amp; Tabell'!L80=""),"",IF(F79='📊 Resultat &amp; Tabell'!K80,2,0)+IF(G79='📊 Resultat &amp; Tabell'!L80,2,0))</f>
        <v/>
      </c>
      <c r="J79" s="40" t="str">
        <f>IF(OR(H79="",'📊 Resultat &amp; Tabell'!M80=""),"",IF(H79='📊 Resultat &amp; Tabell'!M80,2,0))</f>
        <v/>
      </c>
      <c r="K79" s="40" t="str">
        <f t="shared" si="33"/>
        <v/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0</v>
      </c>
      <c r="N79" s="59" cm="1">
        <f t="array" ref="N79">SUMPRODUCT(--($C$4:$C$75="K"),--(($D$4:$D$75=L79)+($E$4:$E$75=L79)&gt;0),--($F$4:$F$75=$G$4:$G$75),--($F$4:$F$75&lt;&gt;""),--($G$4:$G$75&lt;&gt;""))</f>
        <v>0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0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0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0</v>
      </c>
      <c r="R79" s="60">
        <f t="shared" si="37"/>
        <v>0</v>
      </c>
      <c r="S79" s="60">
        <f t="shared" si="38"/>
        <v>0</v>
      </c>
      <c r="T79" s="71">
        <f t="shared" si="39"/>
        <v>0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76" t="str">
        <f>IF($X$12="","",$X$12)</f>
        <v/>
      </c>
      <c r="E80" s="76" t="str" cm="1">
        <f t="array" ref="E80">IFERROR(INDEX($Z$4:$Z$15,MATCH(MAX(IF(ISNUMBER(MATCH($W$4:$W$15,{"C","D","F","G","H"},0))*($AB$4:$AB$15&lt;=8)*(COUNTIF($D$76:E79,$Z$4:$Z$15)=0),$AA$4:$AA$15)),$AA$4:$AA$15,0)),"")</f>
        <v/>
      </c>
      <c r="F80" s="13"/>
      <c r="G80" s="13"/>
      <c r="H80" s="40" t="str">
        <f t="shared" si="32"/>
        <v/>
      </c>
      <c r="I80" s="40" t="str">
        <f>IF(OR(F80="",G80="",'📊 Resultat &amp; Tabell'!K81="",'📊 Resultat &amp; Tabell'!L81=""),"",IF(F80='📊 Resultat &amp; Tabell'!K81,2,0)+IF(G80='📊 Resultat &amp; Tabell'!L81,2,0))</f>
        <v/>
      </c>
      <c r="J80" s="40" t="str">
        <f>IF(OR(H80="",'📊 Resultat &amp; Tabell'!M81=""),"",IF(H80='📊 Resultat &amp; Tabell'!M81,2,0))</f>
        <v/>
      </c>
      <c r="K80" s="40" t="str">
        <f t="shared" si="33"/>
        <v/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tr">
        <f>IF($Y$8="","",$Y$8)</f>
        <v/>
      </c>
      <c r="E81" s="78" t="str">
        <f>IF($Y$12="","",$Y$12)</f>
        <v/>
      </c>
      <c r="F81" s="13"/>
      <c r="G81" s="13"/>
      <c r="H81" s="40" t="str">
        <f t="shared" si="32"/>
        <v/>
      </c>
      <c r="I81" s="40" t="str">
        <f>IF(OR(F81="",G81="",'📊 Resultat &amp; Tabell'!K82="",'📊 Resultat &amp; Tabell'!L82=""),"",IF(F81='📊 Resultat &amp; Tabell'!K82,2,0)+IF(G81='📊 Resultat &amp; Tabell'!L82,2,0))</f>
        <v/>
      </c>
      <c r="J81" s="40" t="str">
        <f>IF(OR(H81="",'📊 Resultat &amp; Tabell'!M82=""),"",IF(H81='📊 Resultat &amp; Tabell'!M82,2,0))</f>
        <v/>
      </c>
      <c r="K81" s="40" t="str">
        <f t="shared" si="33"/>
        <v/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76" t="str">
        <f>IF($X$4="","",$X$4)</f>
        <v/>
      </c>
      <c r="E82" s="76" t="str" cm="1">
        <f t="array" ref="E82">IFERROR(INDEX($Z$4:$Z$15,MATCH(MAX(IF(ISNUMBER(MATCH($W$4:$W$15,{"C","E","F","H","I"},0))*($AB$4:$AB$15&lt;=8)*(COUNTIF($D$76:E81,$Z$4:$Z$15)=0),$AA$4:$AA$15)),$AA$4:$AA$15,0)),"")</f>
        <v/>
      </c>
      <c r="F82" s="13"/>
      <c r="G82" s="13"/>
      <c r="H82" s="40" t="str">
        <f t="shared" si="32"/>
        <v/>
      </c>
      <c r="I82" s="40" t="str">
        <f>IF(OR(F82="",G82="",'📊 Resultat &amp; Tabell'!K83="",'📊 Resultat &amp; Tabell'!L83=""),"",IF(F82='📊 Resultat &amp; Tabell'!K83,2,0)+IF(G82='📊 Resultat &amp; Tabell'!L83,2,0))</f>
        <v/>
      </c>
      <c r="J82" s="40" t="str">
        <f>IF(OR(H82="",'📊 Resultat &amp; Tabell'!M83=""),"",IF(H82='📊 Resultat &amp; Tabell'!M83,2,0))</f>
        <v/>
      </c>
      <c r="K82" s="40" t="str">
        <f t="shared" si="33"/>
        <v/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tr">
        <f>IF($X$15="","",$X$15)</f>
        <v/>
      </c>
      <c r="E83" s="78" t="str" cm="1">
        <f t="array" ref="E83">IFERROR(INDEX($Z$4:$Z$15,MATCH(MAX(IF(ISNUMBER(MATCH($W$4:$W$15,{"E","H","I","J","K"},0))*($AB$4:$AB$15&lt;=8)*(COUNTIF($D$76:E82,$Z$4:$Z$15)=0),$AA$4:$AA$15)),$AA$4:$AA$15,0)),"")</f>
        <v/>
      </c>
      <c r="F83" s="13"/>
      <c r="G83" s="13"/>
      <c r="H83" s="40" t="str">
        <f t="shared" si="32"/>
        <v/>
      </c>
      <c r="I83" s="40" t="str">
        <f>IF(OR(F83="",G83="",'📊 Resultat &amp; Tabell'!K84="",'📊 Resultat &amp; Tabell'!L84=""),"",IF(F83='📊 Resultat &amp; Tabell'!K84,2,0)+IF(G83='📊 Resultat &amp; Tabell'!L84,2,0))</f>
        <v/>
      </c>
      <c r="J83" s="40" t="str">
        <f>IF(OR(H83="",'📊 Resultat &amp; Tabell'!M84=""),"",IF(H83='📊 Resultat &amp; Tabell'!M84,2,0))</f>
        <v/>
      </c>
      <c r="K83" s="40" t="str">
        <f t="shared" si="33"/>
        <v/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0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0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0</v>
      </c>
      <c r="R83" s="60">
        <f t="shared" ref="R83:R86" si="40">P83-Q83</f>
        <v>0</v>
      </c>
      <c r="S83" s="60">
        <f t="shared" ref="S83:S86" si="41">M83*3+N83</f>
        <v>0</v>
      </c>
      <c r="T83" s="71">
        <f t="shared" ref="T83:T86" si="42">S83*100000+R83*1000+P83</f>
        <v>0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76" t="str">
        <f>IF($X$7="","",$X$7)</f>
        <v/>
      </c>
      <c r="E84" s="76" t="str" cm="1">
        <f t="array" ref="E84">IFERROR(INDEX($Z$4:$Z$15,MATCH(MAX(IF(ISNUMBER(MATCH($W$4:$W$15,{"B","E","F","I","J"},0))*($AB$4:$AB$15&lt;=8)*(COUNTIF($D$76:E83,$Z$4:$Z$15)=0),$AA$4:$AA$15)),$AA$4:$AA$15,0)),"")</f>
        <v/>
      </c>
      <c r="F84" s="13"/>
      <c r="G84" s="13"/>
      <c r="H84" s="40" t="str">
        <f t="shared" si="32"/>
        <v/>
      </c>
      <c r="I84" s="40" t="str">
        <f>IF(OR(F84="",G84="",'📊 Resultat &amp; Tabell'!K85="",'📊 Resultat &amp; Tabell'!L85=""),"",IF(F84='📊 Resultat &amp; Tabell'!K85,2,0)+IF(G84='📊 Resultat &amp; Tabell'!L85,2,0))</f>
        <v/>
      </c>
      <c r="J84" s="40" t="str">
        <f>IF(OR(H84="",'📊 Resultat &amp; Tabell'!M85=""),"",IF(H84='📊 Resultat &amp; Tabell'!M85,2,0))</f>
        <v/>
      </c>
      <c r="K84" s="40" t="str">
        <f t="shared" si="33"/>
        <v/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0</v>
      </c>
      <c r="N84" s="59" cm="1">
        <f t="array" ref="N84">SUMPRODUCT(--($C$4:$C$75="L"),--(($D$4:$D$75=L84)+($E$4:$E$75=L84)&gt;0),--($F$4:$F$75=$G$4:$G$75),--($F$4:$F$75&lt;&gt;""),--($G$4:$G$75&lt;&gt;""))</f>
        <v>0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0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0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0</v>
      </c>
      <c r="R84" s="60">
        <f t="shared" si="40"/>
        <v>0</v>
      </c>
      <c r="S84" s="60">
        <f t="shared" si="41"/>
        <v>0</v>
      </c>
      <c r="T84" s="71">
        <f t="shared" si="42"/>
        <v>0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tr">
        <f>IF($X$10="","",$X$10)</f>
        <v/>
      </c>
      <c r="E85" s="78" t="str" cm="1">
        <f t="array" ref="E85">IFERROR(INDEX($Z$4:$Z$15,MATCH(MAX(IF(ISNUMBER(MATCH($W$4:$W$15,{"A","E","H","I","J"},0))*($AB$4:$AB$15&lt;=8)*(COUNTIF($D$76:E84,$Z$4:$Z$15)=0),$AA$4:$AA$15)),$AA$4:$AA$15,0)),"")</f>
        <v/>
      </c>
      <c r="F85" s="13"/>
      <c r="G85" s="13"/>
      <c r="H85" s="40" t="str">
        <f t="shared" si="32"/>
        <v/>
      </c>
      <c r="I85" s="40" t="str">
        <f>IF(OR(F85="",G85="",'📊 Resultat &amp; Tabell'!K86="",'📊 Resultat &amp; Tabell'!L86=""),"",IF(F85='📊 Resultat &amp; Tabell'!K86,2,0)+IF(G85='📊 Resultat &amp; Tabell'!L86,2,0))</f>
        <v/>
      </c>
      <c r="J85" s="40" t="str">
        <f>IF(OR(H85="",'📊 Resultat &amp; Tabell'!M86=""),"",IF(H85='📊 Resultat &amp; Tabell'!M86,2,0))</f>
        <v/>
      </c>
      <c r="K85" s="40" t="str">
        <f t="shared" si="33"/>
        <v/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0</v>
      </c>
      <c r="N85" s="59" cm="1">
        <f t="array" ref="N85">SUMPRODUCT(--($C$4:$C$75="L"),--(($D$4:$D$75=L85)+($E$4:$E$75=L85)&gt;0),--($F$4:$F$75=$G$4:$G$75),--($F$4:$F$75&lt;&gt;""),--($G$4:$G$75&lt;&gt;""))</f>
        <v>0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0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0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0</v>
      </c>
      <c r="R85" s="60">
        <f t="shared" si="40"/>
        <v>0</v>
      </c>
      <c r="S85" s="60">
        <f t="shared" si="41"/>
        <v>0</v>
      </c>
      <c r="T85" s="71">
        <f t="shared" si="42"/>
        <v>0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76" t="str">
        <f>IF($Y$14="","",$Y$14)</f>
        <v/>
      </c>
      <c r="E86" s="76" t="str">
        <f>IF($Y$15="","",$Y$15)</f>
        <v/>
      </c>
      <c r="F86" s="13"/>
      <c r="G86" s="13"/>
      <c r="H86" s="40" t="str">
        <f t="shared" si="32"/>
        <v/>
      </c>
      <c r="I86" s="40" t="str">
        <f>IF(OR(F86="",G86="",'📊 Resultat &amp; Tabell'!K87="",'📊 Resultat &amp; Tabell'!L87=""),"",IF(F86='📊 Resultat &amp; Tabell'!K87,2,0)+IF(G86='📊 Resultat &amp; Tabell'!L87,2,0))</f>
        <v/>
      </c>
      <c r="J86" s="40" t="str">
        <f>IF(OR(H86="",'📊 Resultat &amp; Tabell'!M87=""),"",IF(H86='📊 Resultat &amp; Tabell'!M87,2,0))</f>
        <v/>
      </c>
      <c r="K86" s="40" t="str">
        <f t="shared" si="33"/>
        <v/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0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0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0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0</v>
      </c>
      <c r="R86" s="60">
        <f t="shared" si="40"/>
        <v>0</v>
      </c>
      <c r="S86" s="60">
        <f t="shared" si="41"/>
        <v>0</v>
      </c>
      <c r="T86" s="71">
        <f t="shared" si="42"/>
        <v>0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tr">
        <f>IF($X$11="","",$X$11)</f>
        <v/>
      </c>
      <c r="E87" s="78" t="str">
        <f>IF($Y$13="","",$Y$13)</f>
        <v/>
      </c>
      <c r="F87" s="13"/>
      <c r="G87" s="13"/>
      <c r="H87" s="40" t="str">
        <f t="shared" si="32"/>
        <v/>
      </c>
      <c r="I87" s="40" t="str">
        <f>IF(OR(F87="",G87="",'📊 Resultat &amp; Tabell'!K88="",'📊 Resultat &amp; Tabell'!L88=""),"",IF(F87='📊 Resultat &amp; Tabell'!K88,2,0)+IF(G87='📊 Resultat &amp; Tabell'!L88,2,0))</f>
        <v/>
      </c>
      <c r="J87" s="40" t="str">
        <f>IF(OR(H87="",'📊 Resultat &amp; Tabell'!M88=""),"",IF(H87='📊 Resultat &amp; Tabell'!M88,2,0))</f>
        <v/>
      </c>
      <c r="K87" s="40" t="str">
        <f t="shared" si="33"/>
        <v/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76" t="str">
        <f>IF($X$5="","",$X$5)</f>
        <v/>
      </c>
      <c r="E88" s="76" t="str" cm="1">
        <f t="array" ref="E88">IFERROR(INDEX($Z$4:$Z$15,MATCH(MAX(IF(ISNUMBER(MATCH($W$4:$W$15,{"I"},0))*($AB$4:$AB$15&lt;=8)*(COUNTIF($D$73:$E$87,$Z$4:$Z$15)=0),$AA$4:$AA$15)),$AA$4:$AA$15,0)),"")</f>
        <v/>
      </c>
      <c r="F88" s="13"/>
      <c r="G88" s="13"/>
      <c r="H88" s="40" t="str">
        <f t="shared" si="32"/>
        <v/>
      </c>
      <c r="I88" s="40" t="str">
        <f>IF(OR(F88="",G88="",'📊 Resultat &amp; Tabell'!K89="",'📊 Resultat &amp; Tabell'!L89=""),"",IF(F88='📊 Resultat &amp; Tabell'!K89,2,0)+IF(G88='📊 Resultat &amp; Tabell'!L89,2,0))</f>
        <v/>
      </c>
      <c r="J88" s="40" t="str">
        <f>IF(OR(H88="",'📊 Resultat &amp; Tabell'!M89=""),"",IF(H88='📊 Resultat &amp; Tabell'!M89,2,0))</f>
        <v/>
      </c>
      <c r="K88" s="40" t="str">
        <f t="shared" si="33"/>
        <v/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tr">
        <f>IF($X$13="","",$X$13)</f>
        <v/>
      </c>
      <c r="E89" s="78" t="str">
        <f>IF($Y$11="","",$Y$11)</f>
        <v/>
      </c>
      <c r="F89" s="13"/>
      <c r="G89" s="13"/>
      <c r="H89" s="40" t="str">
        <f t="shared" si="32"/>
        <v/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3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76" t="str">
        <f>IF($X$14="","",$X$14)</f>
        <v/>
      </c>
      <c r="E90" s="76" t="str" cm="1">
        <f t="array" ref="E90">IFERROR(INDEX($Z$4:$Z$15,MATCH(MAX(IF(ISNUMBER(MATCH($W$4:$W$15,{"D","E","I","J","L"},0))*($AB$4:$AB$15&lt;=8)*(COUNTIF($D$76:E89,$Z$4:$Z$15)=0),$AA$4:$AA$15)),$AA$4:$AA$15,0)),"")</f>
        <v/>
      </c>
      <c r="F90" s="13"/>
      <c r="G90" s="13"/>
      <c r="H90" s="40" t="str">
        <f t="shared" si="32"/>
        <v/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3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tr">
        <f>IF($Y$7="","",$Y$7)</f>
        <v/>
      </c>
      <c r="E91" s="78" t="str">
        <f>IF($Y$10="","",$Y$10)</f>
        <v/>
      </c>
      <c r="F91" s="13"/>
      <c r="G91" s="13"/>
      <c r="H91" s="40" t="str">
        <f t="shared" si="32"/>
        <v/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3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76" t="str">
        <f>IF(OR(F76="",G76=""),"",IF(F76&gt;G76,D76,IF(F76&lt;G76,E76,"")))</f>
        <v/>
      </c>
      <c r="E92" s="76" t="str">
        <f>IF(OR(F78="",G78=""),"",IF(F78&gt;G78,D78,IF(F78&lt;G78,E78,"")))</f>
        <v/>
      </c>
      <c r="F92" s="13"/>
      <c r="G92" s="13"/>
      <c r="H92" s="40" t="str">
        <f t="shared" si="32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3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75" t="str">
        <f>IF(OR(F77="",G77=""),"",IF(F77&gt;G77,D77,IF(F77&lt;G77,E77,"")))</f>
        <v/>
      </c>
      <c r="E93" s="78" t="str">
        <f>IF(OR(F80="",G80=""),"",IF(F80&gt;G80,D80,IF(F80&lt;G80,E80,"")))</f>
        <v/>
      </c>
      <c r="F93" s="13"/>
      <c r="G93" s="13"/>
      <c r="H93" s="40" t="str">
        <f t="shared" si="32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3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76" t="str">
        <f>IF(OR(F79="",G79=""),"",IF(F79&gt;G79,D79,IF(F79&lt;G79,E79,"")))</f>
        <v/>
      </c>
      <c r="E94" s="76" t="str">
        <f>IF(OR(F81="",G81=""),"",IF(F81&gt;G81,D81,IF(F81&lt;G81,E81,"")))</f>
        <v/>
      </c>
      <c r="F94" s="13"/>
      <c r="G94" s="13"/>
      <c r="H94" s="40" t="str">
        <f t="shared" si="32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3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75" t="str">
        <f>IF(OR(F82="",G82=""),"",IF(F82&gt;G82,D82,IF(F82&lt;G82,E82,"")))</f>
        <v/>
      </c>
      <c r="E95" s="78" t="str">
        <f>IF(OR(F83="",G83=""),"",IF(F83&gt;G83,D83,IF(F83&lt;G83,E83,"")))</f>
        <v/>
      </c>
      <c r="F95" s="13"/>
      <c r="G95" s="13"/>
      <c r="H95" s="40" t="str">
        <f t="shared" si="32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3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76" t="str">
        <f>IF(OR(F86="",G86=""),"",IF(F86&gt;G86,D86,IF(F86&lt;G86,E86,"")))</f>
        <v/>
      </c>
      <c r="E96" s="76" t="str">
        <f>IF(OR(F87="",G87=""),"",IF(F87&gt;G87,D87,IF(F87&lt;G87,E87,"")))</f>
        <v/>
      </c>
      <c r="F96" s="13"/>
      <c r="G96" s="13"/>
      <c r="H96" s="40" t="str">
        <f t="shared" si="32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3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75" t="str">
        <f>IF(OR(F84="",G84=""),"",IF(F84&gt;G84,D84,IF(F84&lt;G84,E84,"")))</f>
        <v/>
      </c>
      <c r="E97" s="78" t="str">
        <f>IF(OR(F85="",G85=""),"",IF(F85&gt;G85,D85,IF(F85&lt;G85,E85,"")))</f>
        <v/>
      </c>
      <c r="F97" s="13"/>
      <c r="G97" s="13"/>
      <c r="H97" s="40" t="str">
        <f t="shared" si="32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3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76" t="str">
        <f>IF(OR(F89="",G89=""),"",IF(F89&gt;G89,D89,IF(F89&lt;G89,E89,"")))</f>
        <v/>
      </c>
      <c r="E98" s="76" t="str">
        <f>IF(OR(F91="",G91=""),"",IF(F91&gt;G91,D91,IF(F91&lt;G91,E91,"")))</f>
        <v/>
      </c>
      <c r="F98" s="13"/>
      <c r="G98" s="13"/>
      <c r="H98" s="40" t="str">
        <f t="shared" si="32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3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5" t="str">
        <f>IF(OR(F88="",G88=""),"",IF(F88&gt;G88,D88,IF(F88&lt;G88,E88,"")))</f>
        <v/>
      </c>
      <c r="E99" s="78" t="str">
        <f>IF(OR(F90="",G90=""),"",IF(F90&gt;G90,D90,IF(F90&lt;G90,E90,"")))</f>
        <v/>
      </c>
      <c r="F99" s="13"/>
      <c r="G99" s="13"/>
      <c r="H99" s="40" t="str">
        <f t="shared" si="32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3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76" t="str">
        <f>IF(OR(F92="",G92=""),"",IF(F92&gt;G92,D92,IF(F92&lt;G92,E92,"")))</f>
        <v/>
      </c>
      <c r="E100" s="76" t="str">
        <f>IF(OR(F93="",G93=""),"",IF(F93&gt;G93,D93,IF(F93&lt;G93,E93,"")))</f>
        <v/>
      </c>
      <c r="F100" s="13"/>
      <c r="G100" s="13"/>
      <c r="H100" s="40" t="str">
        <f t="shared" ref="H100:H107" si="43">IF(OR(F100="",G100=""),"",IF(F100&gt;G100,"1",IF(F100&lt;G100,"2","X")))</f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ref="K100:K107" si="44">IF(AND(I100="",J100=""),"",N(I100)+N(J100))</f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5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43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44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76" t="str">
        <f>IF(OR(F94="",G94=""),"",IF(F94&gt;G94,D94,IF(F94&lt;G94,E94,"")))</f>
        <v/>
      </c>
      <c r="E102" s="76" t="str">
        <f>IF(OR(F95="",G95=""),"",IF(F95&gt;G95,D95,IF(F95&lt;G95,E95,"")))</f>
        <v/>
      </c>
      <c r="F102" s="13"/>
      <c r="G102" s="13"/>
      <c r="H102" s="40" t="str">
        <f t="shared" si="43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44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43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44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76" t="str">
        <f>IF(OR(F100="",G100=""),"",IF(F100&gt;G100,D100,IF(F100&lt;G100,E100,"")))</f>
        <v/>
      </c>
      <c r="E104" s="76" t="str">
        <f>IF(OR(F101="",G101=""),"",IF(F101&gt;G101,D101,IF(F101&lt;G101,E101,"")))</f>
        <v/>
      </c>
      <c r="F104" s="13"/>
      <c r="G104" s="13"/>
      <c r="H104" s="40" t="str">
        <f t="shared" si="43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44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43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44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43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44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43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44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0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/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/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0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00000000-0002-0000-0300-000000000000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7AF1217B-545C-4D7F-9BF7-2BB4BF7A8B5A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947C3234-9FD3-4A17-8844-C452D24FFD2D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2155C6F5-C980-49F5-95A5-5605A0936B44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36AF95AD-7FB0-43A2-8CB0-B74ED64FBD1F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4693A853-B5EA-452C-8CA0-EA379157DA8C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C846F149-9BFE-4527-94CE-B01FDDDEF6CA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3FC5A938-9965-44E0-88DE-3AA1FD958720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4991D1F8-D024-423E-BD1F-3354D13B572F}"/>
  </hyperlinks>
  <pageMargins left="0.7" right="0.7" top="0.75" bottom="0.75" header="0.3" footer="0.3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687EA-D037-464D-9083-67B316DD6C4B}">
  <dimension ref="A1:AN116"/>
  <sheetViews>
    <sheetView topLeftCell="A75" workbookViewId="0">
      <selection activeCell="D92" sqref="D92:E99"/>
    </sheetView>
  </sheetViews>
  <sheetFormatPr defaultRowHeight="15"/>
  <cols>
    <col min="1" max="1" width="16" bestFit="1" customWidth="1"/>
    <col min="2" max="2" width="13.28515625" bestFit="1" customWidth="1"/>
    <col min="3" max="3" width="8.85546875" bestFit="1" customWidth="1"/>
    <col min="4" max="5" width="21.28515625" bestFit="1" customWidth="1"/>
    <col min="6" max="6" width="8.85546875" bestFit="1" customWidth="1"/>
    <col min="7" max="7" width="8.5703125" bestFit="1" customWidth="1"/>
    <col min="8" max="8" width="9.7109375" bestFit="1" customWidth="1"/>
    <col min="9" max="9" width="13.28515625" bestFit="1" customWidth="1"/>
    <col min="10" max="10" width="16.140625" bestFit="1" customWidth="1"/>
    <col min="11" max="11" width="14.85546875" bestFit="1" customWidth="1"/>
    <col min="12" max="12" width="22.28515625" bestFit="1" customWidth="1"/>
    <col min="13" max="13" width="3.5703125" bestFit="1" customWidth="1"/>
    <col min="14" max="17" width="4.5703125" bestFit="1" customWidth="1"/>
    <col min="18" max="19" width="4.7109375" bestFit="1" customWidth="1"/>
    <col min="20" max="20" width="12.85546875" customWidth="1"/>
  </cols>
  <sheetData>
    <row r="1" spans="1:40" ht="24.75">
      <c r="A1" s="174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0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4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6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Tjeckien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Sydkorea</v>
      </c>
      <c r="AA4" s="72">
        <f>IF(COUNTIFS($C$4:$C$75,"A",$F$4:$F$75,"&lt;&gt;",$G$4:$G$75,"&lt;&gt;")=0,"",IFERROR(LARGE($T$6:$T$9,3),""))</f>
        <v>300002</v>
      </c>
      <c r="AB4" s="72">
        <f>IF(AA4="","",_xlfn.RANK.EQ(AA4,$AA$4:$AA$15,0))</f>
        <v>7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0</v>
      </c>
      <c r="G5" s="13">
        <v>0</v>
      </c>
      <c r="H5" s="40" t="str">
        <f t="shared" si="0"/>
        <v>X</v>
      </c>
      <c r="I5" s="40">
        <f>IF(OR(F5="",G5="",'📊 Resultat &amp; Tabell'!K6="",'📊 Resultat &amp; Tabell'!L6=""),"",IF(F5='📊 Resultat &amp; Tabell'!K6,2,0)+IF(G5='📊 Resultat &amp; Tabell'!L6,2,0))</f>
        <v>0</v>
      </c>
      <c r="J5" s="40">
        <f>IF(OR(H5="",'📊 Resultat &amp; Tabell'!M6=""),"",IF(H5='📊 Resultat &amp; Tabell'!M6,2,0))</f>
        <v>0</v>
      </c>
      <c r="K5" s="40">
        <f t="shared" si="1"/>
        <v>0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Schweiz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400003.00014000002</v>
      </c>
      <c r="AB5" s="72">
        <f t="shared" ref="AB5:AB15" si="2">IF(AA5="","",_xlfn.RANK.EQ(AA5,$AA$4:$AA$15,0))</f>
        <v>2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2</v>
      </c>
      <c r="G6" s="13">
        <v>1</v>
      </c>
      <c r="H6" s="40" t="str">
        <f t="shared" si="0"/>
        <v>1</v>
      </c>
      <c r="I6" s="40">
        <f>IF(OR(F6="",G6="",'📊 Resultat &amp; Tabell'!K7="",'📊 Resultat &amp; Tabell'!L7=""),"",IF(F6='📊 Resultat &amp; Tabell'!K7,2,0)+IF(G6='📊 Resultat &amp; Tabell'!L7,2,0))</f>
        <v>2</v>
      </c>
      <c r="J6" s="40">
        <f>IF(OR(H6="",'📊 Resultat &amp; Tabell'!M7=""),"",IF(H6='📊 Resultat &amp; Tabell'!M7,2,0))</f>
        <v>0</v>
      </c>
      <c r="K6" s="40">
        <f t="shared" si="1"/>
        <v>2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1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5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3</v>
      </c>
      <c r="S6" s="60">
        <f>M6*3+N6</f>
        <v>7</v>
      </c>
      <c r="T6" s="71">
        <f>S6*100000+R6*1000+P6</f>
        <v>703005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Marocko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Skottland</v>
      </c>
      <c r="AA6" s="72" cm="1">
        <f t="array" ref="AA6">IF(COUNTIFS($C$4:$C$75,"C",$F$4:$F$75,"&lt;&gt;",$G$4:$G$75,"&lt;&gt;")=0,"",LARGE($T$20:$T$23+ROW($T$20:$T$23)/100000,3))</f>
        <v>299004.00023000001</v>
      </c>
      <c r="AB6" s="72">
        <f t="shared" si="2"/>
        <v>9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1</v>
      </c>
      <c r="G7" s="13">
        <v>1</v>
      </c>
      <c r="H7" s="40" t="str">
        <f t="shared" si="0"/>
        <v>X</v>
      </c>
      <c r="I7" s="40">
        <f>IF(OR(F7="",G7="",'📊 Resultat &amp; Tabell'!K8="",'📊 Resultat &amp; Tabell'!L8=""),"",IF(F7='📊 Resultat &amp; Tabell'!K8,2,0)+IF(G7='📊 Resultat &amp; Tabell'!L8,2,0))</f>
        <v>2</v>
      </c>
      <c r="J7" s="40">
        <f>IF(OR(H7="",'📊 Resultat &amp; Tabell'!M8=""),"",IF(H7='📊 Resultat &amp; Tabell'!M8,2,0))</f>
        <v>0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1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2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2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5</v>
      </c>
      <c r="R7" s="60">
        <f t="shared" ref="R7:R9" si="3">P7-Q7</f>
        <v>-3</v>
      </c>
      <c r="S7" s="60">
        <f t="shared" ref="S7:S9" si="4">M7*3+N7</f>
        <v>1</v>
      </c>
      <c r="T7" s="71">
        <f t="shared" ref="T7:T9" si="5">S7*100000+R7*1000+P7</f>
        <v>97002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Turkiet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Australien</v>
      </c>
      <c r="AA7" s="72" cm="1">
        <f t="array" ref="AA7">IF(COUNTIFS($C$4:$C$75,"D",$F$4:$F$75,"&lt;&gt;",$G$4:$G$75,"&lt;&gt;")=0,"",LARGE($T$27:$T$30+ROW($T$27:$T$30)/100000,3))</f>
        <v>299003.00029</v>
      </c>
      <c r="AB7" s="72">
        <f t="shared" si="2"/>
        <v>10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2</v>
      </c>
      <c r="H8" s="40" t="str">
        <f t="shared" si="0"/>
        <v>2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2</v>
      </c>
      <c r="K8" s="40">
        <f t="shared" si="1"/>
        <v>2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0</v>
      </c>
      <c r="N8" s="59" cm="1">
        <f t="array" ref="N8">SUMPRODUCT(--($C$4:$C$75="A"),--(($D$4:$D$75=L8)+($E$4:$E$75=L8)&gt;0),--($F$4:$F$75=$G$4:$G$75),--($F$4:$F$75&lt;&gt;""),--($G$4:$G$75&lt;&gt;""))</f>
        <v>3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0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2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2</v>
      </c>
      <c r="R8" s="60">
        <f t="shared" si="3"/>
        <v>0</v>
      </c>
      <c r="S8" s="60">
        <f t="shared" si="4"/>
        <v>3</v>
      </c>
      <c r="T8" s="71">
        <f t="shared" si="5"/>
        <v>300002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300004.00036000001</v>
      </c>
      <c r="AB8" s="72">
        <f t="shared" si="2"/>
        <v>5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1</v>
      </c>
      <c r="H9" s="40" t="str">
        <f t="shared" si="0"/>
        <v>X</v>
      </c>
      <c r="I9" s="40">
        <f>IF(OR(F9="",G9="",'📊 Resultat &amp; Tabell'!K10="",'📊 Resultat &amp; Tabell'!L10=""),"",IF(F9='📊 Resultat &amp; Tabell'!K10,2,0)+IF(G9='📊 Resultat &amp; Tabell'!L10,2,0))</f>
        <v>2</v>
      </c>
      <c r="J9" s="40">
        <f>IF(OR(H9="",'📊 Resultat &amp; Tabell'!M10=""),"",IF(H9='📊 Resultat &amp; Tabell'!M10,2,0))</f>
        <v>0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1</v>
      </c>
      <c r="N9" s="59" cm="1">
        <f t="array" ref="N9">SUMPRODUCT(--($C$4:$C$75="A"),--(($D$4:$D$75=L9)+($E$4:$E$75=L9)&gt;0),--($F$4:$F$75=$G$4:$G$75),--($F$4:$F$75&lt;&gt;""),--($G$4:$G$75&lt;&gt;""))</f>
        <v>1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3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3</v>
      </c>
      <c r="R9" s="60">
        <f t="shared" si="3"/>
        <v>0</v>
      </c>
      <c r="S9" s="60">
        <f t="shared" si="4"/>
        <v>4</v>
      </c>
      <c r="T9" s="71">
        <f t="shared" si="5"/>
        <v>400003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Japan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Sverige</v>
      </c>
      <c r="AA9" s="72" cm="1">
        <f t="array" ref="AA9">IF(COUNTIFS($C$4:$C$75,"F",$F$4:$F$75,"&lt;&gt;",$G$4:$G$75,"&lt;&gt;")=0,"",LARGE($T$41:$T$44+ROW($T$41:$T$44)/100000,3))</f>
        <v>300004.00043000001</v>
      </c>
      <c r="AB9" s="72">
        <f t="shared" si="2"/>
        <v>4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0</v>
      </c>
      <c r="G10" s="13">
        <v>0</v>
      </c>
      <c r="H10" s="40" t="str">
        <f t="shared" si="0"/>
        <v>X</v>
      </c>
      <c r="I10" s="40">
        <f>IF(OR(F10="",G10="",'📊 Resultat &amp; Tabell'!K11="",'📊 Resultat &amp; Tabell'!L11=""),"",IF(F10='📊 Resultat &amp; Tabell'!K11,2,0)+IF(G10='📊 Resultat &amp; Tabell'!L11,2,0))</f>
        <v>0</v>
      </c>
      <c r="J10" s="40">
        <f>IF(OR(H10="",'📊 Resultat &amp; Tabell'!M11=""),"",IF(H10='📊 Resultat &amp; Tabell'!M11,2,0))</f>
        <v>2</v>
      </c>
      <c r="K10" s="40">
        <f t="shared" si="1"/>
        <v>2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300003.00050000002</v>
      </c>
      <c r="AB10" s="72">
        <f t="shared" si="2"/>
        <v>6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0</v>
      </c>
      <c r="G11" s="13">
        <v>2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0</v>
      </c>
      <c r="J11" s="40">
        <f>IF(OR(H11="",'📊 Resultat &amp; Tabell'!M12=""),"",IF(H11='📊 Resultat &amp; Tabell'!M12,2,0))</f>
        <v>0</v>
      </c>
      <c r="K11" s="40">
        <f t="shared" si="1"/>
        <v>0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Uruguay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Spanien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401003.00056999997</v>
      </c>
      <c r="AB11" s="72">
        <f t="shared" si="2"/>
        <v>1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2</v>
      </c>
      <c r="G12" s="13">
        <v>1</v>
      </c>
      <c r="H12" s="40" t="str">
        <f t="shared" si="0"/>
        <v>1</v>
      </c>
      <c r="I12" s="40">
        <f>IF(OR(F12="",G12="",'📊 Resultat &amp; Tabell'!K13="",'📊 Resultat &amp; Tabell'!L13=""),"",IF(F12='📊 Resultat &amp; Tabell'!K13,2,0)+IF(G12='📊 Resultat &amp; Tabell'!L13,2,0))</f>
        <v>2</v>
      </c>
      <c r="J12" s="40">
        <f>IF(OR(H12="",'📊 Resultat &amp; Tabell'!M13=""),"",IF(H12='📊 Resultat &amp; Tabell'!M13,2,0))</f>
        <v>2</v>
      </c>
      <c r="K12" s="40">
        <f t="shared" si="1"/>
        <v>4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Norge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301005.00063000002</v>
      </c>
      <c r="AB12" s="72">
        <f t="shared" si="2"/>
        <v>3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0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2</v>
      </c>
      <c r="J13" s="40">
        <f>IF(OR(H13="",'📊 Resultat &amp; Tabell'!M14=""),"",IF(H13='📊 Resultat &amp; Tabell'!M14,2,0))</f>
        <v>2</v>
      </c>
      <c r="K13" s="40">
        <f t="shared" si="1"/>
        <v>4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1</v>
      </c>
      <c r="N13" s="59" cm="1">
        <f t="array" ref="N13">SUMPRODUCT(--($C$4:$C$75="B"),--(($D$4:$D$75=L13)+($E$4:$E$75=L13)&gt;0),--($F$4:$F$75=$G$4:$G$75),--($F$4:$F$75&lt;&gt;""),--($G$4:$G$75&lt;&gt;""))</f>
        <v>2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3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1</v>
      </c>
      <c r="R13" s="60">
        <f>P13-Q13</f>
        <v>2</v>
      </c>
      <c r="S13" s="60">
        <f>M13*3+N13</f>
        <v>5</v>
      </c>
      <c r="T13" s="71">
        <f>S13*100000+R13*1000+P13</f>
        <v>502003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297003.00069999998</v>
      </c>
      <c r="AB13" s="72">
        <f t="shared" si="2"/>
        <v>11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1</v>
      </c>
      <c r="H14" s="40" t="str">
        <f t="shared" si="0"/>
        <v>X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0</v>
      </c>
      <c r="K14" s="40">
        <f t="shared" si="1"/>
        <v>2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1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3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3</v>
      </c>
      <c r="R14" s="60">
        <f t="shared" ref="R14:R16" si="6">P14-Q14</f>
        <v>0</v>
      </c>
      <c r="S14" s="60">
        <f t="shared" ref="S14:S16" si="7">M14*3+N14</f>
        <v>4</v>
      </c>
      <c r="T14" s="71">
        <f t="shared" ref="T14:T16" si="8">S14*100000+R14*1000+P14</f>
        <v>400003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Colombia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Portugal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Uzbekistan</v>
      </c>
      <c r="AA14" s="72" cm="1">
        <f t="array" ref="AA14">IF(COUNTIFS($C$4:$C$75,"K",$F$4:$F$75,"&lt;&gt;",$G$4:$G$75,"&lt;&gt;")=0,"",LARGE($T$76:$T$79+ROW($T$76:$T$79)/100000,3))</f>
        <v>95000.000780000002</v>
      </c>
      <c r="AB14" s="72">
        <f t="shared" si="2"/>
        <v>12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1</v>
      </c>
      <c r="H15" s="40" t="str">
        <f t="shared" si="0"/>
        <v>1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2</v>
      </c>
      <c r="K15" s="40">
        <f t="shared" si="1"/>
        <v>4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1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6</v>
      </c>
      <c r="R15" s="60">
        <f t="shared" si="6"/>
        <v>-5</v>
      </c>
      <c r="S15" s="60">
        <f t="shared" si="7"/>
        <v>0</v>
      </c>
      <c r="T15" s="71">
        <f t="shared" si="8"/>
        <v>-4999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299004.00085000001</v>
      </c>
      <c r="AB15" s="72">
        <f t="shared" si="2"/>
        <v>8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3</v>
      </c>
      <c r="G16" s="13">
        <v>1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2</v>
      </c>
      <c r="J16" s="40">
        <f>IF(OR(H16="",'📊 Resultat &amp; Tabell'!M17=""),"",IF(H16='📊 Resultat &amp; Tabell'!M17,2,0))</f>
        <v>0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2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5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2</v>
      </c>
      <c r="R16" s="60">
        <f t="shared" si="6"/>
        <v>3</v>
      </c>
      <c r="S16" s="60">
        <f t="shared" si="7"/>
        <v>7</v>
      </c>
      <c r="T16" s="71">
        <f t="shared" si="8"/>
        <v>703005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1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0</v>
      </c>
      <c r="J17" s="40">
        <f>IF(OR(H17="",'📊 Resultat &amp; Tabell'!M18=""),"",IF(H17='📊 Resultat &amp; Tabell'!M18,2,0))</f>
        <v>2</v>
      </c>
      <c r="K17" s="40">
        <f t="shared" si="1"/>
        <v>2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2</v>
      </c>
      <c r="H18" s="40" t="str">
        <f t="shared" si="0"/>
        <v>2</v>
      </c>
      <c r="I18" s="40">
        <f>IF(OR(F18="",G18="",'📊 Resultat &amp; Tabell'!K19="",'📊 Resultat &amp; Tabell'!L19=""),"",IF(F18='📊 Resultat &amp; Tabell'!K19,2,0)+IF(G18='📊 Resultat &amp; Tabell'!L19,2,0))</f>
        <v>0</v>
      </c>
      <c r="J18" s="40">
        <f>IF(OR(H18="",'📊 Resultat &amp; Tabell'!M19=""),"",IF(H18='📊 Resultat &amp; Tabell'!M19,2,0))</f>
        <v>2</v>
      </c>
      <c r="K18" s="40">
        <f t="shared" si="1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4</v>
      </c>
      <c r="G19" s="13">
        <v>0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1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1</v>
      </c>
      <c r="G20" s="13">
        <v>2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2</v>
      </c>
      <c r="K20" s="40">
        <f t="shared" si="1"/>
        <v>2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9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2</v>
      </c>
      <c r="R20" s="60">
        <f t="shared" ref="R20:R23" si="9">P20-Q20</f>
        <v>7</v>
      </c>
      <c r="S20" s="60">
        <f t="shared" ref="S20:S23" si="10">M20*3+N20</f>
        <v>9</v>
      </c>
      <c r="T20" s="71">
        <f t="shared" ref="T20:T23" si="11">S20*100000+R20*1000+P20</f>
        <v>907009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3</v>
      </c>
      <c r="G21" s="13">
        <v>0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2</v>
      </c>
      <c r="N21" s="59" cm="1">
        <f t="array" ref="N21">SUMPRODUCT(--($C$4:$C$75="C"),--(($D$4:$D$75=L21)+($E$4:$E$75=L21)&gt;0),--($F$4:$F$75=$G$4:$G$75),--($F$4:$F$75&lt;&gt;""),--($G$4:$G$75&lt;&gt;""))</f>
        <v>0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1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6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4</v>
      </c>
      <c r="R21" s="60">
        <f t="shared" si="9"/>
        <v>2</v>
      </c>
      <c r="S21" s="60">
        <f t="shared" si="10"/>
        <v>6</v>
      </c>
      <c r="T21" s="71">
        <f t="shared" si="11"/>
        <v>602006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1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9</v>
      </c>
      <c r="R22" s="60">
        <f t="shared" si="9"/>
        <v>-8</v>
      </c>
      <c r="S22" s="60">
        <f t="shared" si="10"/>
        <v>0</v>
      </c>
      <c r="T22" s="71">
        <f t="shared" si="11"/>
        <v>-7999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2</v>
      </c>
      <c r="H23" s="40" t="str">
        <f t="shared" si="0"/>
        <v>2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1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2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5</v>
      </c>
      <c r="R23" s="60">
        <f t="shared" si="9"/>
        <v>-1</v>
      </c>
      <c r="S23" s="60">
        <f t="shared" si="10"/>
        <v>3</v>
      </c>
      <c r="T23" s="71">
        <f t="shared" si="11"/>
        <v>299004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2</v>
      </c>
      <c r="G24" s="13">
        <v>0</v>
      </c>
      <c r="H24" s="40" t="str">
        <f t="shared" si="0"/>
        <v>1</v>
      </c>
      <c r="I24" s="40">
        <f>IF(OR(F24="",G24="",'📊 Resultat &amp; Tabell'!K25="",'📊 Resultat &amp; Tabell'!L25=""),"",IF(F24='📊 Resultat &amp; Tabell'!K25,2,0)+IF(G24='📊 Resultat &amp; Tabell'!L25,2,0))</f>
        <v>0</v>
      </c>
      <c r="J24" s="40">
        <f>IF(OR(H24="",'📊 Resultat &amp; Tabell'!M25=""),"",IF(H24='📊 Resultat &amp; Tabell'!M25,2,0))</f>
        <v>0</v>
      </c>
      <c r="K24" s="40">
        <f t="shared" si="1"/>
        <v>0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1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2</v>
      </c>
      <c r="J25" s="40">
        <f>IF(OR(H25="",'📊 Resultat &amp; Tabell'!M26=""),"",IF(H25='📊 Resultat &amp; Tabell'!M26,2,0))</f>
        <v>2</v>
      </c>
      <c r="K25" s="40">
        <f t="shared" si="1"/>
        <v>4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2</v>
      </c>
      <c r="H26" s="40" t="str">
        <f t="shared" si="0"/>
        <v>2</v>
      </c>
      <c r="I26" s="40">
        <f>IF(OR(F26="",G26="",'📊 Resultat &amp; Tabell'!K27="",'📊 Resultat &amp; Tabell'!L27=""),"",IF(F26='📊 Resultat &amp; Tabell'!K27,2,0)+IF(G26='📊 Resultat &amp; Tabell'!L27,2,0))</f>
        <v>2</v>
      </c>
      <c r="J26" s="40">
        <f>IF(OR(H26="",'📊 Resultat &amp; Tabell'!M27=""),"",IF(H26='📊 Resultat &amp; Tabell'!M27,2,0))</f>
        <v>0</v>
      </c>
      <c r="K26" s="40">
        <f t="shared" si="1"/>
        <v>2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0</v>
      </c>
      <c r="G27" s="13">
        <v>1</v>
      </c>
      <c r="H27" s="40" t="str">
        <f t="shared" si="0"/>
        <v>2</v>
      </c>
      <c r="I27" s="40">
        <f>IF(OR(F27="",G27="",'📊 Resultat &amp; Tabell'!K28="",'📊 Resultat &amp; Tabell'!L28=""),"",IF(F27='📊 Resultat &amp; Tabell'!K28,2,0)+IF(G27='📊 Resultat &amp; Tabell'!L28,2,0))</f>
        <v>2</v>
      </c>
      <c r="J27" s="40">
        <f>IF(OR(H27="",'📊 Resultat &amp; Tabell'!M28=""),"",IF(H27='📊 Resultat &amp; Tabell'!M28,2,0))</f>
        <v>0</v>
      </c>
      <c r="K27" s="40">
        <f t="shared" si="1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3</v>
      </c>
      <c r="N27" s="59" cm="1">
        <f t="array" ref="N27">SUMPRODUCT(--($C$4:$C$75="D"),--(($D$4:$D$75=L27)+($E$4:$E$75=L27)&gt;0),--($F$4:$F$75=$G$4:$G$75),--($F$4:$F$75&lt;&gt;""),--($G$4:$G$75&lt;&gt;""))</f>
        <v>0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6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3</v>
      </c>
      <c r="R27" s="60">
        <f t="shared" ref="R27:R30" si="12">P27-Q27</f>
        <v>3</v>
      </c>
      <c r="S27" s="60">
        <f t="shared" ref="S27:S30" si="13">M27*3+N27</f>
        <v>9</v>
      </c>
      <c r="T27" s="71">
        <f t="shared" ref="T27:T30" si="14">S27*100000+R27*1000+P27</f>
        <v>903006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4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0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3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1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5</v>
      </c>
      <c r="R28" s="60">
        <f t="shared" si="12"/>
        <v>-4</v>
      </c>
      <c r="S28" s="60">
        <f t="shared" si="13"/>
        <v>0</v>
      </c>
      <c r="T28" s="71">
        <f t="shared" si="14"/>
        <v>-3999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2</v>
      </c>
      <c r="H29" s="40" t="str">
        <f t="shared" si="0"/>
        <v>2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1</v>
      </c>
      <c r="N29" s="59" cm="1">
        <f t="array" ref="N29">SUMPRODUCT(--($C$4:$C$75="D"),--(($D$4:$D$75=L29)+($E$4:$E$75=L29)&gt;0),--($F$4:$F$75=$G$4:$G$75),--($F$4:$F$75&lt;&gt;""),--($G$4:$G$75&lt;&gt;""))</f>
        <v>0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2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3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4</v>
      </c>
      <c r="R29" s="60">
        <f t="shared" si="12"/>
        <v>-1</v>
      </c>
      <c r="S29" s="60">
        <f t="shared" si="13"/>
        <v>3</v>
      </c>
      <c r="T29" s="71">
        <f t="shared" si="14"/>
        <v>299003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3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2</v>
      </c>
      <c r="N30" s="59" cm="1">
        <f t="array" ref="N30">SUMPRODUCT(--($C$4:$C$75="D"),--(($D$4:$D$75=L30)+($E$4:$E$75=L30)&gt;0),--($F$4:$F$75=$G$4:$G$75),--($F$4:$F$75&lt;&gt;""),--($G$4:$G$75&lt;&gt;""))</f>
        <v>0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1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5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3</v>
      </c>
      <c r="R30" s="60">
        <f t="shared" si="12"/>
        <v>2</v>
      </c>
      <c r="S30" s="60">
        <f t="shared" si="13"/>
        <v>6</v>
      </c>
      <c r="T30" s="71">
        <f t="shared" si="14"/>
        <v>602005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1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4</v>
      </c>
      <c r="J31" s="40">
        <f>IF(OR(H31="",'📊 Resultat &amp; Tabell'!M32=""),"",IF(H31='📊 Resultat &amp; Tabell'!M32,2,0))</f>
        <v>2</v>
      </c>
      <c r="K31" s="40">
        <f t="shared" si="1"/>
        <v>6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2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0</v>
      </c>
      <c r="G33" s="13">
        <v>2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4</v>
      </c>
      <c r="J33" s="40">
        <f>IF(OR(H33="",'📊 Resultat &amp; Tabell'!M34=""),"",IF(H33='📊 Resultat &amp; Tabell'!M34,2,0))</f>
        <v>2</v>
      </c>
      <c r="K33" s="40">
        <f t="shared" si="1"/>
        <v>6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2</v>
      </c>
      <c r="G34" s="13">
        <v>1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2</v>
      </c>
      <c r="J34" s="40">
        <f>IF(OR(H34="",'📊 Resultat &amp; Tabell'!M35=""),"",IF(H34='📊 Resultat &amp; Tabell'!M35,2,0))</f>
        <v>0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8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6</v>
      </c>
      <c r="S34" s="60">
        <f t="shared" ref="S34:S37" si="16">M34*3+N34</f>
        <v>9</v>
      </c>
      <c r="T34" s="71">
        <f t="shared" ref="T34:T37" si="17">S34*100000+R34*1000+P34</f>
        <v>906008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0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0</v>
      </c>
      <c r="J35" s="40">
        <f>IF(OR(H35="",'📊 Resultat &amp; Tabell'!M36=""),"",IF(H35='📊 Resultat &amp; Tabell'!M36,2,0))</f>
        <v>2</v>
      </c>
      <c r="K35" s="40">
        <f t="shared" si="1"/>
        <v>2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0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9</v>
      </c>
      <c r="R35" s="60">
        <f t="shared" si="15"/>
        <v>-9</v>
      </c>
      <c r="S35" s="60">
        <f t="shared" si="16"/>
        <v>0</v>
      </c>
      <c r="T35" s="71">
        <f t="shared" si="17"/>
        <v>-9000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2</v>
      </c>
      <c r="H36" s="40" t="str">
        <f t="shared" si="0"/>
        <v>2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2</v>
      </c>
      <c r="K36" s="40">
        <f t="shared" si="1"/>
        <v>2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0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2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4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4</v>
      </c>
      <c r="R36" s="60">
        <f t="shared" si="15"/>
        <v>0</v>
      </c>
      <c r="S36" s="60">
        <f t="shared" si="16"/>
        <v>3</v>
      </c>
      <c r="T36" s="71">
        <f t="shared" si="17"/>
        <v>300004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2</v>
      </c>
      <c r="G37" s="13">
        <v>1</v>
      </c>
      <c r="H37" s="40" t="str">
        <f t="shared" si="0"/>
        <v>1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2</v>
      </c>
      <c r="K37" s="40">
        <f t="shared" si="1"/>
        <v>4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2</v>
      </c>
      <c r="N37" s="59" cm="1">
        <f t="array" ref="N37">SUMPRODUCT(--($C$4:$C$75="E"),--(($D$4:$D$75=L37)+($E$4:$E$75=L37)&gt;0),--($F$4:$F$75=$G$4:$G$75),--($F$4:$F$75&lt;&gt;""),--($G$4:$G$75&lt;&gt;""))</f>
        <v>0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6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3</v>
      </c>
      <c r="S37" s="60">
        <f t="shared" si="16"/>
        <v>6</v>
      </c>
      <c r="T37" s="71">
        <f t="shared" si="17"/>
        <v>603006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0</v>
      </c>
      <c r="G38" s="13">
        <v>3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2</v>
      </c>
      <c r="J38" s="40">
        <f>IF(OR(H38="",'📊 Resultat &amp; Tabell'!M39=""),"",IF(H38='📊 Resultat &amp; Tabell'!M39,2,0))</f>
        <v>2</v>
      </c>
      <c r="K38" s="40">
        <f t="shared" si="1"/>
        <v>4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2</v>
      </c>
      <c r="G39" s="13">
        <v>1</v>
      </c>
      <c r="H39" s="40" t="str">
        <f t="shared" si="0"/>
        <v>1</v>
      </c>
      <c r="I39" s="40">
        <f>IF(OR(F39="",G39="",'📊 Resultat &amp; Tabell'!K40="",'📊 Resultat &amp; Tabell'!L40=""),"",IF(F39='📊 Resultat &amp; Tabell'!K40,2,0)+IF(G39='📊 Resultat &amp; Tabell'!L40,2,0))</f>
        <v>2</v>
      </c>
      <c r="J39" s="40">
        <f>IF(OR(H39="",'📊 Resultat &amp; Tabell'!M40=""),"",IF(H39='📊 Resultat &amp; Tabell'!M40,2,0))</f>
        <v>0</v>
      </c>
      <c r="K39" s="40">
        <f t="shared" si="1"/>
        <v>2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3</v>
      </c>
      <c r="G40" s="13">
        <v>0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0</v>
      </c>
      <c r="J40" s="40">
        <f>IF(OR(H40="",'📊 Resultat &amp; Tabell'!M41=""),"",IF(H40='📊 Resultat &amp; Tabell'!M41,2,0))</f>
        <v>0</v>
      </c>
      <c r="K40" s="40">
        <f t="shared" si="1"/>
        <v>0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2</v>
      </c>
      <c r="G41" s="13">
        <v>0</v>
      </c>
      <c r="H41" s="40" t="str">
        <f t="shared" si="0"/>
        <v>1</v>
      </c>
      <c r="I41" s="40">
        <f>IF(OR(F41="",G41="",'📊 Resultat &amp; Tabell'!K42="",'📊 Resultat &amp; Tabell'!L42=""),"",IF(F41='📊 Resultat &amp; Tabell'!K42,2,0)+IF(G41='📊 Resultat &amp; Tabell'!L42,2,0))</f>
        <v>2</v>
      </c>
      <c r="J41" s="40">
        <f>IF(OR(H41="",'📊 Resultat &amp; Tabell'!M42=""),"",IF(H41='📊 Resultat &amp; Tabell'!M42,2,0))</f>
        <v>0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3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7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2</v>
      </c>
      <c r="R41" s="60">
        <f t="shared" ref="R41:R44" si="18">P41-Q41</f>
        <v>5</v>
      </c>
      <c r="S41" s="60">
        <f t="shared" ref="S41:S44" si="19">M41*3+N41</f>
        <v>9</v>
      </c>
      <c r="T41" s="71">
        <f t="shared" ref="T41:T44" si="20">S41*100000+R41*1000+P41</f>
        <v>905007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1</v>
      </c>
      <c r="G42" s="13">
        <v>2</v>
      </c>
      <c r="H42" s="40" t="str">
        <f t="shared" si="0"/>
        <v>2</v>
      </c>
      <c r="I42" s="40">
        <f>IF(OR(F42="",G42="",'📊 Resultat &amp; Tabell'!K43="",'📊 Resultat &amp; Tabell'!L43=""),"",IF(F42='📊 Resultat &amp; Tabell'!K43,2,0)+IF(G42='📊 Resultat &amp; Tabell'!L43,2,0))</f>
        <v>2</v>
      </c>
      <c r="J42" s="40">
        <f>IF(OR(H42="",'📊 Resultat &amp; Tabell'!M43=""),"",IF(H42='📊 Resultat &amp; Tabell'!M43,2,0))</f>
        <v>2</v>
      </c>
      <c r="K42" s="40">
        <f t="shared" si="1"/>
        <v>4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2</v>
      </c>
      <c r="N42" s="59" cm="1">
        <f t="array" ref="N42">SUMPRODUCT(--($C$4:$C$75="F"),--(($D$4:$D$75=L42)+($E$4:$E$75=L42)&gt;0),--($F$4:$F$75=$G$4:$G$75),--($F$4:$F$75&lt;&gt;""),--($G$4:$G$75&lt;&gt;""))</f>
        <v>0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5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4</v>
      </c>
      <c r="R42" s="60">
        <f t="shared" si="18"/>
        <v>1</v>
      </c>
      <c r="S42" s="60">
        <f t="shared" si="19"/>
        <v>6</v>
      </c>
      <c r="T42" s="71">
        <f t="shared" si="20"/>
        <v>601005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1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0</v>
      </c>
      <c r="J43" s="40">
        <f>IF(OR(H43="",'📊 Resultat &amp; Tabell'!M44=""),"",IF(H43='📊 Resultat &amp; Tabell'!M44,2,0))</f>
        <v>0</v>
      </c>
      <c r="K43" s="40">
        <f t="shared" si="1"/>
        <v>0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0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2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4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4</v>
      </c>
      <c r="R43" s="60">
        <f t="shared" si="18"/>
        <v>0</v>
      </c>
      <c r="S43" s="60">
        <f t="shared" si="19"/>
        <v>3</v>
      </c>
      <c r="T43" s="71">
        <f t="shared" si="20"/>
        <v>300004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4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3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1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7</v>
      </c>
      <c r="R44" s="60">
        <f t="shared" si="18"/>
        <v>-6</v>
      </c>
      <c r="S44" s="60">
        <f t="shared" si="19"/>
        <v>0</v>
      </c>
      <c r="T44" s="71">
        <f t="shared" si="20"/>
        <v>-5999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0</v>
      </c>
      <c r="H45" s="40" t="str">
        <f t="shared" si="0"/>
        <v>1</v>
      </c>
      <c r="I45" s="40">
        <f>IF(OR(F45="",G45="",'📊 Resultat &amp; Tabell'!K46="",'📊 Resultat &amp; Tabell'!L46=""),"",IF(F45='📊 Resultat &amp; Tabell'!K46,2,0)+IF(G45='📊 Resultat &amp; Tabell'!L46,2,0))</f>
        <v>2</v>
      </c>
      <c r="J45" s="40">
        <f>IF(OR(H45="",'📊 Resultat &amp; Tabell'!M46=""),"",IF(H45='📊 Resultat &amp; Tabell'!M46,2,0))</f>
        <v>0</v>
      </c>
      <c r="K45" s="40">
        <f t="shared" si="1"/>
        <v>2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4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0</v>
      </c>
      <c r="G47" s="13">
        <v>2</v>
      </c>
      <c r="H47" s="40" t="str">
        <f t="shared" si="0"/>
        <v>2</v>
      </c>
      <c r="I47" s="40">
        <f>IF(OR(F47="",G47="",'📊 Resultat &amp; Tabell'!K48="",'📊 Resultat &amp; Tabell'!L48=""),"",IF(F47='📊 Resultat &amp; Tabell'!K48,2,0)+IF(G47='📊 Resultat &amp; Tabell'!L48,2,0))</f>
        <v>0</v>
      </c>
      <c r="J47" s="40">
        <f>IF(OR(H47="",'📊 Resultat &amp; Tabell'!M48=""),"",IF(H47='📊 Resultat &amp; Tabell'!M48,2,0))</f>
        <v>0</v>
      </c>
      <c r="K47" s="40">
        <f t="shared" si="1"/>
        <v>0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3</v>
      </c>
      <c r="G48" s="13">
        <v>1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0</v>
      </c>
      <c r="J48" s="40">
        <f>IF(OR(H48="",'📊 Resultat &amp; Tabell'!M49=""),"",IF(H48='📊 Resultat &amp; Tabell'!M49,2,0))</f>
        <v>0</v>
      </c>
      <c r="K48" s="40">
        <f t="shared" si="1"/>
        <v>0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9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1</v>
      </c>
      <c r="R48" s="60">
        <f t="shared" ref="R48:R51" si="21">P48-Q48</f>
        <v>8</v>
      </c>
      <c r="S48" s="60">
        <f t="shared" ref="S48:S51" si="22">M48*3+N48</f>
        <v>9</v>
      </c>
      <c r="T48" s="71">
        <f t="shared" ref="T48:T51" si="23">S48*100000+R48*1000+P48</f>
        <v>908009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0</v>
      </c>
      <c r="G49" s="13">
        <v>3</v>
      </c>
      <c r="H49" s="40" t="str">
        <f t="shared" si="0"/>
        <v>2</v>
      </c>
      <c r="I49" s="40">
        <f>IF(OR(F49="",G49="",'📊 Resultat &amp; Tabell'!K50="",'📊 Resultat &amp; Tabell'!L50=""),"",IF(F49='📊 Resultat &amp; Tabell'!K50,2,0)+IF(G49='📊 Resultat &amp; Tabell'!L50,2,0))</f>
        <v>0</v>
      </c>
      <c r="J49" s="40">
        <f>IF(OR(H49="",'📊 Resultat &amp; Tabell'!M50=""),"",IF(H49='📊 Resultat &amp; Tabell'!M50,2,0))</f>
        <v>0</v>
      </c>
      <c r="K49" s="40">
        <f t="shared" si="1"/>
        <v>0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2</v>
      </c>
      <c r="N49" s="59" cm="1">
        <f t="array" ref="N49">SUMPRODUCT(--($C$4:$C$75="G"),--(($D$4:$D$75=L49)+($E$4:$E$75=L49)&gt;0),--($F$4:$F$75=$G$4:$G$75),--($F$4:$F$75&lt;&gt;""),--($G$4:$G$75&lt;&gt;""))</f>
        <v>0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3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4</v>
      </c>
      <c r="R49" s="60">
        <f t="shared" si="21"/>
        <v>-1</v>
      </c>
      <c r="S49" s="60">
        <f t="shared" si="22"/>
        <v>6</v>
      </c>
      <c r="T49" s="71">
        <f t="shared" si="23"/>
        <v>599003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1</v>
      </c>
      <c r="N50" s="59" cm="1">
        <f t="array" ref="N50">SUMPRODUCT(--($C$4:$C$75="G"),--(($D$4:$D$75=L50)+($E$4:$E$75=L50)&gt;0),--($F$4:$F$75=$G$4:$G$75),--($F$4:$F$75&lt;&gt;""),--($G$4:$G$75&lt;&gt;""))</f>
        <v>0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2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3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3</v>
      </c>
      <c r="R50" s="60">
        <f t="shared" si="21"/>
        <v>0</v>
      </c>
      <c r="S50" s="60">
        <f t="shared" si="22"/>
        <v>3</v>
      </c>
      <c r="T50" s="71">
        <f t="shared" si="23"/>
        <v>300003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0</v>
      </c>
      <c r="G51" s="13">
        <v>0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4</v>
      </c>
      <c r="J51" s="40">
        <f>IF(OR(H51="",'📊 Resultat &amp; Tabell'!M52=""),"",IF(H51='📊 Resultat &amp; Tabell'!M52,2,0))</f>
        <v>2</v>
      </c>
      <c r="K51" s="40">
        <f t="shared" si="1"/>
        <v>6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0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3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1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8</v>
      </c>
      <c r="R51" s="60">
        <f t="shared" si="21"/>
        <v>-7</v>
      </c>
      <c r="S51" s="60">
        <f t="shared" si="22"/>
        <v>0</v>
      </c>
      <c r="T51" s="71">
        <f t="shared" si="23"/>
        <v>-6999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1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2</v>
      </c>
      <c r="J52" s="40">
        <f>IF(OR(H52="",'📊 Resultat &amp; Tabell'!M53=""),"",IF(H52='📊 Resultat &amp; Tabell'!M53,2,0))</f>
        <v>2</v>
      </c>
      <c r="K52" s="40">
        <f t="shared" si="1"/>
        <v>4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1</v>
      </c>
      <c r="G53" s="13">
        <v>3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2</v>
      </c>
      <c r="J53" s="40">
        <f>IF(OR(H53="",'📊 Resultat &amp; Tabell'!M54=""),"",IF(H53='📊 Resultat &amp; Tabell'!M54,2,0))</f>
        <v>2</v>
      </c>
      <c r="K53" s="40">
        <f t="shared" si="1"/>
        <v>4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2</v>
      </c>
      <c r="G54" s="13">
        <v>1</v>
      </c>
      <c r="H54" s="40" t="str">
        <f t="shared" si="0"/>
        <v>1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2</v>
      </c>
      <c r="K54" s="40">
        <f t="shared" si="1"/>
        <v>2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4</v>
      </c>
      <c r="G55" s="13">
        <v>0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2</v>
      </c>
      <c r="J55" s="40">
        <f>IF(OR(H55="",'📊 Resultat &amp; Tabell'!M56=""),"",IF(H55='📊 Resultat &amp; Tabell'!M56,2,0))</f>
        <v>2</v>
      </c>
      <c r="K55" s="40">
        <f t="shared" si="1"/>
        <v>4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2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1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6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4</v>
      </c>
      <c r="R55" s="60">
        <f t="shared" ref="R55:R58" si="24">P55-Q55</f>
        <v>2</v>
      </c>
      <c r="S55" s="60">
        <f t="shared" ref="S55:S58" si="25">M55*3+N55</f>
        <v>6</v>
      </c>
      <c r="T55" s="71">
        <f t="shared" ref="T55:T58" si="26">S55*100000+R55*1000+P55</f>
        <v>602006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2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2</v>
      </c>
      <c r="K56" s="40">
        <f t="shared" si="1"/>
        <v>4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7</v>
      </c>
      <c r="R56" s="60">
        <f t="shared" si="24"/>
        <v>-6</v>
      </c>
      <c r="S56" s="60">
        <f t="shared" si="25"/>
        <v>1</v>
      </c>
      <c r="T56" s="71">
        <f t="shared" si="26"/>
        <v>94001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3</v>
      </c>
      <c r="G57" s="13">
        <v>0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2</v>
      </c>
      <c r="J57" s="40">
        <f>IF(OR(H57="",'📊 Resultat &amp; Tabell'!M58=""),"",IF(H57='📊 Resultat &amp; Tabell'!M58,2,0))</f>
        <v>2</v>
      </c>
      <c r="K57" s="40">
        <f t="shared" si="1"/>
        <v>4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1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1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3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2</v>
      </c>
      <c r="R57" s="60">
        <f t="shared" si="24"/>
        <v>1</v>
      </c>
      <c r="S57" s="60">
        <f t="shared" si="25"/>
        <v>4</v>
      </c>
      <c r="T57" s="71">
        <f t="shared" si="26"/>
        <v>401003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0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4</v>
      </c>
      <c r="J58" s="40">
        <f>IF(OR(H58="",'📊 Resultat &amp; Tabell'!M59=""),"",IF(H58='📊 Resultat &amp; Tabell'!M59,2,0))</f>
        <v>2</v>
      </c>
      <c r="K58" s="40">
        <f t="shared" si="1"/>
        <v>6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6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3</v>
      </c>
      <c r="R58" s="60">
        <f t="shared" si="24"/>
        <v>3</v>
      </c>
      <c r="S58" s="60">
        <f t="shared" si="25"/>
        <v>6</v>
      </c>
      <c r="T58" s="71">
        <f t="shared" si="26"/>
        <v>603006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2</v>
      </c>
      <c r="H60" s="40" t="str">
        <f t="shared" si="0"/>
        <v>2</v>
      </c>
      <c r="I60" s="40">
        <f>IF(OR(F60="",G60="",'📊 Resultat &amp; Tabell'!K61="",'📊 Resultat &amp; Tabell'!L61=""),"",IF(F60='📊 Resultat &amp; Tabell'!K61,2,0)+IF(G60='📊 Resultat &amp; Tabell'!L61,2,0))</f>
        <v>4</v>
      </c>
      <c r="J60" s="40">
        <f>IF(OR(H60="",'📊 Resultat &amp; Tabell'!M61=""),"",IF(H60='📊 Resultat &amp; Tabell'!M61,2,0))</f>
        <v>2</v>
      </c>
      <c r="K60" s="40">
        <f t="shared" si="1"/>
        <v>6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4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0</v>
      </c>
      <c r="J62" s="40">
        <f>IF(OR(H62="",'📊 Resultat &amp; Tabell'!M63=""),"",IF(H62='📊 Resultat &amp; Tabell'!M63,2,0))</f>
        <v>2</v>
      </c>
      <c r="K62" s="40">
        <f t="shared" si="1"/>
        <v>2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8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2</v>
      </c>
      <c r="R62" s="60">
        <f t="shared" ref="R62:R65" si="27">P62-Q62</f>
        <v>6</v>
      </c>
      <c r="S62" s="60">
        <f t="shared" ref="S62:S65" si="28">M62*3+N62</f>
        <v>9</v>
      </c>
      <c r="T62" s="71">
        <f t="shared" ref="T62:T65" si="29">S62*100000+R62*1000+P62</f>
        <v>906008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2</v>
      </c>
      <c r="H63" s="40" t="str">
        <f t="shared" si="0"/>
        <v>2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0</v>
      </c>
      <c r="K63" s="40">
        <f t="shared" si="1"/>
        <v>0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0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2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5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4</v>
      </c>
      <c r="R63" s="60">
        <f t="shared" si="27"/>
        <v>1</v>
      </c>
      <c r="S63" s="60">
        <f t="shared" si="28"/>
        <v>3</v>
      </c>
      <c r="T63" s="71">
        <f t="shared" si="29"/>
        <v>301005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4</v>
      </c>
      <c r="G64" s="13">
        <v>0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1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1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10</v>
      </c>
      <c r="R64" s="60">
        <f t="shared" si="27"/>
        <v>-9</v>
      </c>
      <c r="S64" s="60">
        <f t="shared" si="28"/>
        <v>0</v>
      </c>
      <c r="T64" s="71">
        <f t="shared" si="29"/>
        <v>-8999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0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0</v>
      </c>
      <c r="J65" s="40">
        <f>IF(OR(H65="",'📊 Resultat &amp; Tabell'!M66=""),"",IF(H65='📊 Resultat &amp; Tabell'!M66,2,0))</f>
        <v>2</v>
      </c>
      <c r="K65" s="40">
        <f t="shared" si="1"/>
        <v>2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2</v>
      </c>
      <c r="N65" s="59" cm="1">
        <f t="array" ref="N65">SUMPRODUCT(--($C$4:$C$75="I"),--(($D$4:$D$75=L65)+($E$4:$E$75=L65)&gt;0),--($F$4:$F$75=$G$4:$G$75),--($F$4:$F$75&lt;&gt;""),--($G$4:$G$75&lt;&gt;""))</f>
        <v>0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6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4</v>
      </c>
      <c r="R65" s="60">
        <f t="shared" si="27"/>
        <v>2</v>
      </c>
      <c r="S65" s="60">
        <f t="shared" si="28"/>
        <v>6</v>
      </c>
      <c r="T65" s="71">
        <f t="shared" si="29"/>
        <v>602006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3</v>
      </c>
      <c r="G66" s="13">
        <v>0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2</v>
      </c>
      <c r="J66" s="40">
        <f>IF(OR(H66="",'📊 Resultat &amp; Tabell'!M67=""),"",IF(H66='📊 Resultat &amp; Tabell'!M67,2,0))</f>
        <v>2</v>
      </c>
      <c r="K66" s="40">
        <f t="shared" si="1"/>
        <v>4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3</v>
      </c>
      <c r="G67" s="13">
        <v>0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1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2</v>
      </c>
      <c r="G68" s="13">
        <v>1</v>
      </c>
      <c r="H68" s="40" t="str">
        <f t="shared" ref="H68:H107" si="30">IF(OR(F68="",G68=""),"",IF(F68&gt;G68,"1",IF(F68&lt;G68,"2","X")))</f>
        <v>1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0</v>
      </c>
      <c r="K68" s="40">
        <f t="shared" ref="K68:K107" si="31">IF(AND(I68="",J68=""),"",N(I68)+N(J68))</f>
        <v>0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0</v>
      </c>
      <c r="G69" s="13">
        <v>0</v>
      </c>
      <c r="H69" s="40" t="str">
        <f t="shared" si="30"/>
        <v>X</v>
      </c>
      <c r="I69" s="40">
        <f>IF(OR(F69="",G69="",'📊 Resultat &amp; Tabell'!K70="",'📊 Resultat &amp; Tabell'!L70=""),"",IF(F69='📊 Resultat &amp; Tabell'!K70,2,0)+IF(G69='📊 Resultat &amp; Tabell'!L70,2,0))</f>
        <v>0</v>
      </c>
      <c r="J69" s="40">
        <f>IF(OR(H69="",'📊 Resultat &amp; Tabell'!M70=""),"",IF(H69='📊 Resultat &amp; Tabell'!M70,2,0))</f>
        <v>0</v>
      </c>
      <c r="K69" s="40">
        <f t="shared" si="31"/>
        <v>0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9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8</v>
      </c>
      <c r="S69" s="60">
        <f t="shared" ref="S69:S72" si="33">M69*3+N69</f>
        <v>9</v>
      </c>
      <c r="T69" s="71">
        <f t="shared" ref="T69:T72" si="34">S69*100000+R69*1000+P69</f>
        <v>908009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1</v>
      </c>
      <c r="N70" s="59" cm="1">
        <f t="array" ref="N70">SUMPRODUCT(--($C$4:$C$75="J"),--(($D$4:$D$75=L70)+($E$4:$E$75=L70)&gt;0),--($F$4:$F$75=$G$4:$G$75),--($F$4:$F$75&lt;&gt;""),--($G$4:$G$75&lt;&gt;""))</f>
        <v>0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2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3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6</v>
      </c>
      <c r="R70" s="60">
        <f t="shared" si="32"/>
        <v>-3</v>
      </c>
      <c r="S70" s="60">
        <f t="shared" si="33"/>
        <v>3</v>
      </c>
      <c r="T70" s="71">
        <f t="shared" si="34"/>
        <v>297003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2</v>
      </c>
      <c r="G71" s="13">
        <v>0</v>
      </c>
      <c r="H71" s="40" t="str">
        <f t="shared" si="30"/>
        <v>1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2</v>
      </c>
      <c r="K71" s="40">
        <f t="shared" si="31"/>
        <v>4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2</v>
      </c>
      <c r="N71" s="59" cm="1">
        <f t="array" ref="N71">SUMPRODUCT(--($C$4:$C$75="J"),--(($D$4:$D$75=L71)+($E$4:$E$75=L71)&gt;0),--($F$4:$F$75=$G$4:$G$75),--($F$4:$F$75&lt;&gt;""),--($G$4:$G$75&lt;&gt;""))</f>
        <v>0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5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2</v>
      </c>
      <c r="S71" s="60">
        <f t="shared" si="33"/>
        <v>6</v>
      </c>
      <c r="T71" s="71">
        <f t="shared" si="34"/>
        <v>602005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0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3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1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8</v>
      </c>
      <c r="R72" s="60">
        <f t="shared" si="32"/>
        <v>-7</v>
      </c>
      <c r="S72" s="60">
        <f t="shared" si="33"/>
        <v>0</v>
      </c>
      <c r="T72" s="71">
        <f t="shared" si="34"/>
        <v>-6999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3</v>
      </c>
      <c r="G73" s="13">
        <v>1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0</v>
      </c>
      <c r="J73" s="40">
        <f>IF(OR(H73="",'📊 Resultat &amp; Tabell'!M74=""),"",IF(H73='📊 Resultat &amp; Tabell'!M74,2,0))</f>
        <v>0</v>
      </c>
      <c r="K73" s="40">
        <f t="shared" si="31"/>
        <v>0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4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1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4</v>
      </c>
      <c r="J75" s="40">
        <f>IF(OR(H75="",'📊 Resultat &amp; Tabell'!M76=""),"",IF(H75='📊 Resultat &amp; Tabell'!M76,2,0))</f>
        <v>2</v>
      </c>
      <c r="K75" s="40">
        <f t="shared" si="31"/>
        <v>6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1</v>
      </c>
      <c r="G76" s="13">
        <v>2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0</v>
      </c>
      <c r="J76" s="40">
        <f>IF(OR(H76="",'📊 Resultat &amp; Tabell'!M77=""),"",IF(H76='📊 Resultat &amp; Tabell'!M77,2,0))</f>
        <v>2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2</v>
      </c>
      <c r="N76" s="59" cm="1">
        <f t="array" ref="N76">SUMPRODUCT(--($C$4:$C$75="K"),--(($D$4:$D$75=L76)+($E$4:$E$75=L76)&gt;0),--($F$4:$F$75=$G$4:$G$75),--($F$4:$F$75&lt;&gt;""),--($G$4:$G$75&lt;&gt;""))</f>
        <v>0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1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8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2</v>
      </c>
      <c r="R76" s="60">
        <f t="shared" ref="R76:R79" si="35">P76-Q76</f>
        <v>6</v>
      </c>
      <c r="S76" s="60">
        <f t="shared" ref="S76:S79" si="36">M76*3+N76</f>
        <v>6</v>
      </c>
      <c r="T76" s="71">
        <f t="shared" ref="T76:T79" si="37">S76*100000+R76*1000+P76</f>
        <v>606008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4</v>
      </c>
      <c r="J77" s="40">
        <f>IF(OR(H77="",'📊 Resultat &amp; Tabell'!M78=""),"",IF(H77='📊 Resultat &amp; Tabell'!M78,2,0))</f>
        <v>2</v>
      </c>
      <c r="K77" s="40">
        <f t="shared" si="31"/>
        <v>6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1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0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7</v>
      </c>
      <c r="R77" s="60">
        <f t="shared" si="35"/>
        <v>-7</v>
      </c>
      <c r="S77" s="60">
        <f t="shared" si="36"/>
        <v>1</v>
      </c>
      <c r="T77" s="71">
        <f t="shared" si="37"/>
        <v>93000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3</v>
      </c>
      <c r="G78" s="13">
        <v>1</v>
      </c>
      <c r="H78" s="40"/>
      <c r="I78" s="40">
        <f>IF(OR(F78="",G78="",'📊 Resultat &amp; Tabell'!K79="",'📊 Resultat &amp; Tabell'!L79=""),"",IF(F78='📊 Resultat &amp; Tabell'!K79,2,0)+IF(G78='📊 Resultat &amp; Tabell'!L79,2,0))</f>
        <v>2</v>
      </c>
      <c r="J78" s="40" t="str">
        <f>IF(OR(H78="",'📊 Resultat &amp; Tabell'!M79=""),"",IF(H78='📊 Resultat &amp; Tabell'!M79,2,0))</f>
        <v/>
      </c>
      <c r="K78" s="40">
        <f t="shared" si="31"/>
        <v>2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1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0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5</v>
      </c>
      <c r="R78" s="60">
        <f t="shared" si="35"/>
        <v>-5</v>
      </c>
      <c r="S78" s="60">
        <f t="shared" si="36"/>
        <v>1</v>
      </c>
      <c r="T78" s="71">
        <f t="shared" si="37"/>
        <v>95000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2</v>
      </c>
      <c r="G79" s="13">
        <v>0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0</v>
      </c>
      <c r="J79" s="40">
        <f>IF(OR(H79="",'📊 Resultat &amp; Tabell'!M80=""),"",IF(H79='📊 Resultat &amp; Tabell'!M80,2,0))</f>
        <v>0</v>
      </c>
      <c r="K79" s="40">
        <f t="shared" si="31"/>
        <v>0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3</v>
      </c>
      <c r="N79" s="59" cm="1">
        <f t="array" ref="N79">SUMPRODUCT(--($C$4:$C$75="K"),--(($D$4:$D$75=L79)+($E$4:$E$75=L79)&gt;0),--($F$4:$F$75=$G$4:$G$75),--($F$4:$F$75&lt;&gt;""),--($G$4:$G$75&lt;&gt;""))</f>
        <v>0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0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7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1</v>
      </c>
      <c r="R79" s="60">
        <f t="shared" si="35"/>
        <v>6</v>
      </c>
      <c r="S79" s="60">
        <f t="shared" si="36"/>
        <v>9</v>
      </c>
      <c r="T79" s="71">
        <f t="shared" si="37"/>
        <v>906007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1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4</v>
      </c>
      <c r="J80" s="40">
        <f>IF(OR(H80="",'📊 Resultat &amp; Tabell'!M81=""),"",IF(H80='📊 Resultat &amp; Tabell'!M81,2,0))</f>
        <v>2</v>
      </c>
      <c r="K80" s="40">
        <f t="shared" si="31"/>
        <v>6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2</v>
      </c>
      <c r="G81" s="13">
        <v>1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0</v>
      </c>
      <c r="J81" s="40">
        <f>IF(OR(H81="",'📊 Resultat &amp; Tabell'!M82=""),"",IF(H81='📊 Resultat &amp; Tabell'!M82,2,0))</f>
        <v>2</v>
      </c>
      <c r="K81" s="40">
        <f t="shared" si="31"/>
        <v>2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1</v>
      </c>
      <c r="G82" s="13">
        <v>0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3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9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2</v>
      </c>
      <c r="R83" s="60">
        <f t="shared" ref="R83:R86" si="38">P83-Q83</f>
        <v>7</v>
      </c>
      <c r="S83" s="60">
        <f t="shared" ref="S83:S86" si="39">M83*3+N83</f>
        <v>9</v>
      </c>
      <c r="T83" s="71">
        <f t="shared" ref="T83:T86" si="40">S83*100000+R83*1000+P83</f>
        <v>907009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2</v>
      </c>
      <c r="G84" s="13">
        <v>1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2</v>
      </c>
      <c r="J84" s="40">
        <f>IF(OR(H84="",'📊 Resultat &amp; Tabell'!M85=""),"",IF(H84='📊 Resultat &amp; Tabell'!M85,2,0))</f>
        <v>0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2</v>
      </c>
      <c r="N84" s="59" cm="1">
        <f t="array" ref="N84">SUMPRODUCT(--($C$4:$C$75="L"),--(($D$4:$D$75=L84)+($E$4:$E$75=L84)&gt;0),--($F$4:$F$75=$G$4:$G$75),--($F$4:$F$75&lt;&gt;""),--($G$4:$G$75&lt;&gt;""))</f>
        <v>0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5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3</v>
      </c>
      <c r="R84" s="60">
        <f t="shared" si="38"/>
        <v>2</v>
      </c>
      <c r="S84" s="60">
        <f t="shared" si="39"/>
        <v>6</v>
      </c>
      <c r="T84" s="71">
        <f t="shared" si="40"/>
        <v>602005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1</v>
      </c>
      <c r="G85" s="13">
        <v>1</v>
      </c>
      <c r="H85" s="40" t="str">
        <f t="shared" si="30"/>
        <v>X</v>
      </c>
      <c r="I85" s="40">
        <f>IF(OR(F85="",G85="",'📊 Resultat &amp; Tabell'!K86="",'📊 Resultat &amp; Tabell'!L86=""),"",IF(F85='📊 Resultat &amp; Tabell'!K86,2,0)+IF(G85='📊 Resultat &amp; Tabell'!L86,2,0))</f>
        <v>0</v>
      </c>
      <c r="J85" s="40">
        <f>IF(OR(H85="",'📊 Resultat &amp; Tabell'!M86=""),"",IF(H85='📊 Resultat &amp; Tabell'!M86,2,0))</f>
        <v>0</v>
      </c>
      <c r="K85" s="40">
        <f t="shared" si="31"/>
        <v>0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1</v>
      </c>
      <c r="N85" s="59" cm="1">
        <f t="array" ref="N85">SUMPRODUCT(--($C$4:$C$75="L"),--(($D$4:$D$75=L85)+($E$4:$E$75=L85)&gt;0),--($F$4:$F$75=$G$4:$G$75),--($F$4:$F$75&lt;&gt;""),--($G$4:$G$75&lt;&gt;""))</f>
        <v>0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2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4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5</v>
      </c>
      <c r="R85" s="60">
        <f t="shared" si="38"/>
        <v>-1</v>
      </c>
      <c r="S85" s="60">
        <f t="shared" si="39"/>
        <v>3</v>
      </c>
      <c r="T85" s="71">
        <f t="shared" si="40"/>
        <v>299004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1</v>
      </c>
      <c r="G86" s="13">
        <v>1</v>
      </c>
      <c r="H86" s="40" t="str">
        <f t="shared" si="30"/>
        <v>X</v>
      </c>
      <c r="I86" s="40">
        <f>IF(OR(F86="",G86="",'📊 Resultat &amp; Tabell'!K87="",'📊 Resultat &amp; Tabell'!L87=""),"",IF(F86='📊 Resultat &amp; Tabell'!K87,2,0)+IF(G86='📊 Resultat &amp; Tabell'!L87,2,0))</f>
        <v>0</v>
      </c>
      <c r="J86" s="40">
        <f>IF(OR(H86="",'📊 Resultat &amp; Tabell'!M87=""),"",IF(H86='📊 Resultat &amp; Tabell'!M87,2,0))</f>
        <v>0</v>
      </c>
      <c r="K86" s="40">
        <f t="shared" si="31"/>
        <v>0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0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3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0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8</v>
      </c>
      <c r="R86" s="60">
        <f t="shared" si="38"/>
        <v>-8</v>
      </c>
      <c r="S86" s="60">
        <f t="shared" si="39"/>
        <v>0</v>
      </c>
      <c r="T86" s="71">
        <f t="shared" si="40"/>
        <v>-8000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/>
      <c r="G87" s="13"/>
      <c r="H87" s="40" t="str">
        <f t="shared" si="30"/>
        <v/>
      </c>
      <c r="I87" s="40" t="str">
        <f>IF(OR(F87="",G87="",'📊 Resultat &amp; Tabell'!K88="",'📊 Resultat &amp; Tabell'!L88=""),"",IF(F87='📊 Resultat &amp; Tabell'!K88,2,0)+IF(G87='📊 Resultat &amp; Tabell'!L88,2,0))</f>
        <v/>
      </c>
      <c r="J87" s="40" t="str">
        <f>IF(OR(H87="",'📊 Resultat &amp; Tabell'!M88=""),"",IF(H87='📊 Resultat &amp; Tabell'!M88,2,0))</f>
        <v/>
      </c>
      <c r="K87" s="40" t="str">
        <f t="shared" si="31"/>
        <v/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/>
      <c r="G88" s="13"/>
      <c r="H88" s="40" t="str">
        <f t="shared" si="30"/>
        <v/>
      </c>
      <c r="I88" s="40" t="str">
        <f>IF(OR(F88="",G88="",'📊 Resultat &amp; Tabell'!K89="",'📊 Resultat &amp; Tabell'!L89=""),"",IF(F88='📊 Resultat &amp; Tabell'!K89,2,0)+IF(G88='📊 Resultat &amp; Tabell'!L89,2,0))</f>
        <v/>
      </c>
      <c r="J88" s="40" t="str">
        <f>IF(OR(H88="",'📊 Resultat &amp; Tabell'!M89=""),"",IF(H88='📊 Resultat &amp; Tabell'!M89,2,0))</f>
        <v/>
      </c>
      <c r="K88" s="40" t="str">
        <f t="shared" si="31"/>
        <v/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/>
      <c r="G89" s="13"/>
      <c r="H89" s="40" t="str">
        <f t="shared" si="30"/>
        <v/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/>
      <c r="G90" s="13"/>
      <c r="H90" s="40" t="str">
        <f t="shared" si="30"/>
        <v/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/>
      <c r="G91" s="13"/>
      <c r="H91" s="40" t="str">
        <f t="shared" si="30"/>
        <v/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 t="str">
        <f>IF(OR(F88="",G88=""),"",IF(F88&gt;G88,D88,IF(F88&lt;G88,E88,"")))</f>
        <v/>
      </c>
      <c r="E99" s="78" t="str">
        <f>IF(OR(F90="",G90=""),"",IF(F90&gt;G90,D90,IF(F90&lt;G90,E90,"")))</f>
        <v/>
      </c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81" t="str">
        <f>IF(OR(F92="",G92=""),"",IF(F92&gt;G92,D92,IF(F92&lt;G92,E92,"")))</f>
        <v/>
      </c>
      <c r="E100" s="81" t="str">
        <f>IF(OR(F93="",G93=""),"",IF(F93&gt;G93,D93,IF(F93&lt;G93,E93,"")))</f>
        <v/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8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81" t="str">
        <f>IF(OR(F94="",G94=""),"",IF(F94&gt;G94,D94,IF(F94&lt;G94,E94,"")))</f>
        <v/>
      </c>
      <c r="E102" s="81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8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81" t="str">
        <f>IF(OR(F100="",G100=""),"",IF(F100&gt;G100,D100,IF(F100&lt;G100,E100,"")))</f>
        <v/>
      </c>
      <c r="E104" s="81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8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81" t="str">
        <f>IF(OR(F104="",G104=""),"",IF(F104&lt;G104,D104,IF(F104&gt;G104,E104,"")))</f>
        <v/>
      </c>
      <c r="E106" s="81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8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208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151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297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208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CB9E2CDE-3A8A-45CE-B822-4A3864A1E22A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E47717E5-782D-4B61-A3CD-542F3C45A320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7D0C78B7-4DA1-46AF-8C30-D89EF17957AF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AEE4A010-1151-48B5-9603-0C2CFF23FCAA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4139A4AF-B6ED-46C9-9AE1-8DE0AB94A6D4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4E515C23-722B-474C-9A77-89385FB6BD3E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CFA47227-D98B-4856-9191-116D4A6B89C5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B996E478-9E60-41A5-9F10-E04E45CB0694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7A8FD162-9D0C-435F-BE17-A5EA86AA6F3A}"/>
  </hyperlinks>
  <pageMargins left="0.7" right="0.7" top="0.75" bottom="0.75" header="0.3" footer="0.3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D8F6-FB78-47B5-86C1-2E5C8FC3FC5E}">
  <dimension ref="A1:AN116"/>
  <sheetViews>
    <sheetView topLeftCell="A76" workbookViewId="0">
      <selection activeCell="E103" sqref="E103"/>
    </sheetView>
  </sheetViews>
  <sheetFormatPr defaultRowHeight="15"/>
  <cols>
    <col min="1" max="1" width="16" bestFit="1" customWidth="1"/>
    <col min="2" max="2" width="13.28515625" bestFit="1" customWidth="1"/>
    <col min="3" max="3" width="8.85546875" bestFit="1" customWidth="1"/>
    <col min="4" max="5" width="21.28515625" bestFit="1" customWidth="1"/>
    <col min="6" max="6" width="8.85546875" bestFit="1" customWidth="1"/>
    <col min="7" max="7" width="8.5703125" bestFit="1" customWidth="1"/>
    <col min="8" max="8" width="9.7109375" bestFit="1" customWidth="1"/>
    <col min="9" max="9" width="13.28515625" bestFit="1" customWidth="1"/>
    <col min="10" max="10" width="16.140625" bestFit="1" customWidth="1"/>
    <col min="11" max="11" width="14.85546875" bestFit="1" customWidth="1"/>
    <col min="12" max="12" width="22.28515625" bestFit="1" customWidth="1"/>
    <col min="13" max="13" width="3.5703125" bestFit="1" customWidth="1"/>
    <col min="14" max="17" width="4.5703125" bestFit="1" customWidth="1"/>
    <col min="18" max="19" width="4.7109375" bestFit="1" customWidth="1"/>
    <col min="20" max="20" width="13" customWidth="1"/>
  </cols>
  <sheetData>
    <row r="1" spans="1:40" ht="24.75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0</v>
      </c>
      <c r="H4" s="40" t="str">
        <f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4</v>
      </c>
      <c r="J4" s="40">
        <f>IF(OR(H4="",'📊 Resultat &amp; Tabell'!M5=""),"",IF(H4='📊 Resultat &amp; Tabell'!M5,2,0))</f>
        <v>2</v>
      </c>
      <c r="K4" s="40">
        <f t="shared" ref="K4:K67" si="0">IF(AND(I4="",J4=""),"",N(I4)+N(J4))</f>
        <v>6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Tjeckien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Mexico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Sydkorea</v>
      </c>
      <c r="AA4" s="72">
        <f>IF(COUNTIFS($C$4:$C$75,"A",$F$4:$F$75,"&lt;&gt;",$G$4:$G$75,"&lt;&gt;")=0,"",IFERROR(LARGE($T$6:$T$9,3),""))</f>
        <v>301005</v>
      </c>
      <c r="AB4" s="72">
        <f>IF(AA4="","",_xlfn.RANK.EQ(AA4,$AA$4:$AA$15,0))</f>
        <v>4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2</v>
      </c>
      <c r="H5" s="40" t="str">
        <f t="shared" ref="H4:H67" si="1">IF(OR(F5="",G5=""),"",IF(F5&gt;G5,"1",IF(F5&lt;G5,"2","X")))</f>
        <v>2</v>
      </c>
      <c r="I5" s="40">
        <f>IF(OR(F5="",G5="",'📊 Resultat &amp; Tabell'!K6="",'📊 Resultat &amp; Tabell'!L6=""),"",IF(F5='📊 Resultat &amp; Tabell'!K6,2,0)+IF(G5='📊 Resultat &amp; Tabell'!L6,2,0))</f>
        <v>0</v>
      </c>
      <c r="J5" s="40">
        <f>IF(OR(H5="",'📊 Resultat &amp; Tabell'!M6=""),"",IF(H5='📊 Resultat &amp; Tabell'!M6,2,0))</f>
        <v>0</v>
      </c>
      <c r="K5" s="40">
        <f t="shared" si="0"/>
        <v>0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Schweiz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400005.00014000002</v>
      </c>
      <c r="AB5" s="72">
        <f t="shared" ref="AB5:AB15" si="2">IF(AA5="","",_xlfn.RANK.EQ(AA5,$AA$4:$AA$15,0))</f>
        <v>1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3</v>
      </c>
      <c r="G6" s="13">
        <v>0</v>
      </c>
      <c r="H6" s="40" t="str">
        <f t="shared" si="1"/>
        <v>1</v>
      </c>
      <c r="I6" s="40">
        <f>IF(OR(F6="",G6="",'📊 Resultat &amp; Tabell'!K7="",'📊 Resultat &amp; Tabell'!L7=""),"",IF(F6='📊 Resultat &amp; Tabell'!K7,2,0)+IF(G6='📊 Resultat &amp; Tabell'!L7,2,0))</f>
        <v>0</v>
      </c>
      <c r="J6" s="40">
        <f>IF(OR(H6="",'📊 Resultat &amp; Tabell'!M7=""),"",IF(H6='📊 Resultat &amp; Tabell'!M7,2,0))</f>
        <v>0</v>
      </c>
      <c r="K6" s="40">
        <f t="shared" si="0"/>
        <v>0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1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6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3</v>
      </c>
      <c r="R6" s="60">
        <f>P6-Q6</f>
        <v>3</v>
      </c>
      <c r="S6" s="60">
        <f>M6*3+N6</f>
        <v>7</v>
      </c>
      <c r="T6" s="71">
        <f>S6*100000+R6*1000+P6</f>
        <v>703006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Skottland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Marocko</v>
      </c>
      <c r="AA6" s="72" cm="1">
        <f t="array" ref="AA6">IF(COUNTIFS($C$4:$C$75,"C",$F$4:$F$75,"&lt;&gt;",$G$4:$G$75,"&lt;&gt;")=0,"",LARGE($T$20:$T$23+ROW($T$20:$T$23)/100000,3))</f>
        <v>298003.00021000003</v>
      </c>
      <c r="AB6" s="72">
        <f t="shared" si="2"/>
        <v>8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1</v>
      </c>
      <c r="H7" s="40" t="str">
        <f t="shared" si="1"/>
        <v>1</v>
      </c>
      <c r="I7" s="40">
        <f>IF(OR(F7="",G7="",'📊 Resultat &amp; Tabell'!K8="",'📊 Resultat &amp; Tabell'!L8=""),"",IF(F7='📊 Resultat &amp; Tabell'!K8,2,0)+IF(G7='📊 Resultat &amp; Tabell'!L8,2,0))</f>
        <v>0</v>
      </c>
      <c r="J7" s="40">
        <f>IF(OR(H7="",'📊 Resultat &amp; Tabell'!M8=""),"",IF(H7='📊 Resultat &amp; Tabell'!M8,2,0))</f>
        <v>2</v>
      </c>
      <c r="K7" s="40">
        <f t="shared" si="0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3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0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8</v>
      </c>
      <c r="R7" s="60">
        <f t="shared" ref="R7:R9" si="3">P7-Q7</f>
        <v>-8</v>
      </c>
      <c r="S7" s="60">
        <f t="shared" ref="S7:S9" si="4">M7*3+N7</f>
        <v>0</v>
      </c>
      <c r="T7" s="71">
        <f t="shared" ref="T7:T9" si="5">S7*100000+R7*1000+P7</f>
        <v>-8000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Turkiet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Australien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USA</v>
      </c>
      <c r="AA7" s="72" cm="1">
        <f t="array" ref="AA7">IF(COUNTIFS($C$4:$C$75,"D",$F$4:$F$75,"&lt;&gt;",$G$4:$G$75,"&lt;&gt;")=0,"",LARGE($T$27:$T$30+ROW($T$27:$T$30)/100000,3))</f>
        <v>296002.00027000002</v>
      </c>
      <c r="AB7" s="72">
        <f t="shared" si="2"/>
        <v>10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2</v>
      </c>
      <c r="G8" s="13">
        <v>2</v>
      </c>
      <c r="H8" s="40" t="str">
        <f t="shared" si="1"/>
        <v>X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0</v>
      </c>
      <c r="K8" s="40">
        <f t="shared" si="0"/>
        <v>0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1</v>
      </c>
      <c r="N8" s="59" cm="1">
        <f t="array" ref="N8">SUMPRODUCT(--($C$4:$C$75="A"),--(($D$4:$D$75=L8)+($E$4:$E$75=L8)&gt;0),--($F$4:$F$75=$G$4:$G$75),--($F$4:$F$75&lt;&gt;""),--($G$4:$G$75&lt;&gt;""))</f>
        <v>0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2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5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4</v>
      </c>
      <c r="R8" s="60">
        <f t="shared" si="3"/>
        <v>1</v>
      </c>
      <c r="S8" s="60">
        <f t="shared" si="4"/>
        <v>3</v>
      </c>
      <c r="T8" s="71">
        <f t="shared" si="5"/>
        <v>301005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299005.00036000001</v>
      </c>
      <c r="AB8" s="72">
        <f t="shared" si="2"/>
        <v>5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0</v>
      </c>
      <c r="G9" s="13">
        <v>3</v>
      </c>
      <c r="H9" s="40" t="str">
        <f t="shared" si="1"/>
        <v>2</v>
      </c>
      <c r="I9" s="40">
        <f>IF(OR(F9="",G9="",'📊 Resultat &amp; Tabell'!K10="",'📊 Resultat &amp; Tabell'!L10=""),"",IF(F9='📊 Resultat &amp; Tabell'!K10,2,0)+IF(G9='📊 Resultat &amp; Tabell'!L10,2,0))</f>
        <v>0</v>
      </c>
      <c r="J9" s="40">
        <f>IF(OR(H9="",'📊 Resultat &amp; Tabell'!M10=""),"",IF(H9='📊 Resultat &amp; Tabell'!M10,2,0))</f>
        <v>0</v>
      </c>
      <c r="K9" s="40">
        <f t="shared" si="0"/>
        <v>0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2</v>
      </c>
      <c r="N9" s="59" cm="1">
        <f t="array" ref="N9">SUMPRODUCT(--($C$4:$C$75="A"),--(($D$4:$D$75=L9)+($E$4:$E$75=L9)&gt;0),--($F$4:$F$75=$G$4:$G$75),--($F$4:$F$75&lt;&gt;""),--($G$4:$G$75&lt;&gt;""))</f>
        <v>1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0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7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3</v>
      </c>
      <c r="R9" s="60">
        <f t="shared" si="3"/>
        <v>4</v>
      </c>
      <c r="S9" s="60">
        <f t="shared" si="4"/>
        <v>7</v>
      </c>
      <c r="T9" s="71">
        <f t="shared" si="5"/>
        <v>704007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Japan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Sverige</v>
      </c>
      <c r="AA9" s="72" cm="1">
        <f t="array" ref="AA9">IF(COUNTIFS($C$4:$C$75,"F",$F$4:$F$75,"&lt;&gt;",$G$4:$G$75,"&lt;&gt;")=0,"",LARGE($T$41:$T$44+ROW($T$41:$T$44)/100000,3))</f>
        <v>399005.00043000001</v>
      </c>
      <c r="AB9" s="72">
        <f t="shared" si="2"/>
        <v>2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2</v>
      </c>
      <c r="G10" s="13">
        <v>1</v>
      </c>
      <c r="H10" s="40" t="str">
        <f t="shared" si="1"/>
        <v>1</v>
      </c>
      <c r="I10" s="40">
        <f>IF(OR(F10="",G10="",'📊 Resultat &amp; Tabell'!K11="",'📊 Resultat &amp; Tabell'!L11=""),"",IF(F10='📊 Resultat &amp; Tabell'!K11,2,0)+IF(G10='📊 Resultat &amp; Tabell'!L11,2,0))</f>
        <v>2</v>
      </c>
      <c r="J10" s="40">
        <f>IF(OR(H10="",'📊 Resultat &amp; Tabell'!M11=""),"",IF(H10='📊 Resultat &amp; Tabell'!M11,2,0))</f>
        <v>0</v>
      </c>
      <c r="K10" s="40">
        <f t="shared" si="0"/>
        <v>2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Nya Zeeland</v>
      </c>
      <c r="AA10" s="72" cm="1">
        <f t="array" ref="AA10">IF(COUNTIFS($C$4:$C$75,"G",$F$4:$F$75,"&lt;&gt;",$G$4:$G$75,"&lt;&gt;")=0,"",LARGE($T$48:$T$51+ROW($T$48:$T$51)/100000,3))</f>
        <v>95001.000509999998</v>
      </c>
      <c r="AB10" s="72">
        <f t="shared" si="2"/>
        <v>12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0</v>
      </c>
      <c r="G11" s="13">
        <v>3</v>
      </c>
      <c r="H11" s="40" t="str">
        <f t="shared" si="1"/>
        <v>2</v>
      </c>
      <c r="I11" s="40">
        <f>IF(OR(F11="",G11="",'📊 Resultat &amp; Tabell'!K12="",'📊 Resultat &amp; Tabell'!L12=""),"",IF(F11='📊 Resultat &amp; Tabell'!K12,2,0)+IF(G11='📊 Resultat &amp; Tabell'!L12,2,0))</f>
        <v>0</v>
      </c>
      <c r="J11" s="40">
        <f>IF(OR(H11="",'📊 Resultat &amp; Tabell'!M12=""),"",IF(H11='📊 Resultat &amp; Tabell'!M12,2,0))</f>
        <v>0</v>
      </c>
      <c r="K11" s="40">
        <f t="shared" si="0"/>
        <v>0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295002.00056999997</v>
      </c>
      <c r="AB11" s="72">
        <f t="shared" si="2"/>
        <v>11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2</v>
      </c>
      <c r="G12" s="13">
        <v>2</v>
      </c>
      <c r="H12" s="40" t="str">
        <f t="shared" si="1"/>
        <v>X</v>
      </c>
      <c r="I12" s="40">
        <f>IF(OR(F12="",G12="",'📊 Resultat &amp; Tabell'!K13="",'📊 Resultat &amp; Tabell'!L13=""),"",IF(F12='📊 Resultat &amp; Tabell'!K13,2,0)+IF(G12='📊 Resultat &amp; Tabell'!L13,2,0))</f>
        <v>0</v>
      </c>
      <c r="J12" s="40">
        <f>IF(OR(H12="",'📊 Resultat &amp; Tabell'!M13=""),"",IF(H12='📊 Resultat &amp; Tabell'!M13,2,0))</f>
        <v>0</v>
      </c>
      <c r="K12" s="40">
        <f t="shared" si="0"/>
        <v>0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Senegal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Norge</v>
      </c>
      <c r="AA12" s="72" cm="1">
        <f t="array" ref="AA12">IF(COUNTIFS($C$4:$C$75,"I",$F$4:$F$75,"&lt;&gt;",$G$4:$G$75,"&lt;&gt;")=0,"",LARGE($T$62:$T$65+ROW($T$62:$T$65)/100000,3))</f>
        <v>297004.00065</v>
      </c>
      <c r="AB12" s="72">
        <f t="shared" si="2"/>
        <v>9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0</v>
      </c>
      <c r="H13" s="40" t="str">
        <f t="shared" si="1"/>
        <v>1</v>
      </c>
      <c r="I13" s="40">
        <f>IF(OR(F13="",G13="",'📊 Resultat &amp; Tabell'!K14="",'📊 Resultat &amp; Tabell'!L14=""),"",IF(F13='📊 Resultat &amp; Tabell'!K14,2,0)+IF(G13='📊 Resultat &amp; Tabell'!L14,2,0))</f>
        <v>2</v>
      </c>
      <c r="J13" s="40">
        <f>IF(OR(H13="",'📊 Resultat &amp; Tabell'!M14=""),"",IF(H13='📊 Resultat &amp; Tabell'!M14,2,0))</f>
        <v>2</v>
      </c>
      <c r="K13" s="40">
        <f t="shared" si="0"/>
        <v>4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2</v>
      </c>
      <c r="N13" s="59" cm="1">
        <f t="array" ref="N13">SUMPRODUCT(--($C$4:$C$75="B"),--(($D$4:$D$75=L13)+($E$4:$E$75=L13)&gt;0),--($F$4:$F$75=$G$4:$G$75),--($F$4:$F$75&lt;&gt;""),--($G$4:$G$75&lt;&gt;""))</f>
        <v>0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1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5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4</v>
      </c>
      <c r="R13" s="60">
        <f>P13-Q13</f>
        <v>1</v>
      </c>
      <c r="S13" s="60">
        <f>M13*3+N13</f>
        <v>6</v>
      </c>
      <c r="T13" s="71">
        <f>S13*100000+R13*1000+P13</f>
        <v>601005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298004.00069999998</v>
      </c>
      <c r="AB13" s="72">
        <f t="shared" si="2"/>
        <v>7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3</v>
      </c>
      <c r="G14" s="13">
        <v>1</v>
      </c>
      <c r="H14" s="40" t="str">
        <f t="shared" si="1"/>
        <v>1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2</v>
      </c>
      <c r="K14" s="40">
        <f t="shared" si="0"/>
        <v>4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1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5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5</v>
      </c>
      <c r="R14" s="60">
        <f t="shared" ref="R14:R16" si="6">P14-Q14</f>
        <v>0</v>
      </c>
      <c r="S14" s="60">
        <f t="shared" ref="S14:S16" si="7">M14*3+N14</f>
        <v>4</v>
      </c>
      <c r="T14" s="71">
        <f t="shared" ref="T14:T16" si="8">S14*100000+R14*1000+P14</f>
        <v>400005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Kongo-Kinshasa</v>
      </c>
      <c r="AA14" s="72" cm="1">
        <f t="array" ref="AA14">IF(COUNTIFS($C$4:$C$75,"K",$F$4:$F$75,"&lt;&gt;",$G$4:$G$75,"&lt;&gt;")=0,"",LARGE($T$76:$T$79+ROW($T$76:$T$79)/100000,3))</f>
        <v>299004.00076999998</v>
      </c>
      <c r="AB14" s="72">
        <f t="shared" si="2"/>
        <v>6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1</v>
      </c>
      <c r="H15" s="40" t="str">
        <f t="shared" si="1"/>
        <v>1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2</v>
      </c>
      <c r="K15" s="40">
        <f t="shared" si="0"/>
        <v>4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1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7</v>
      </c>
      <c r="R15" s="60">
        <f t="shared" si="6"/>
        <v>-6</v>
      </c>
      <c r="S15" s="60">
        <f t="shared" si="7"/>
        <v>0</v>
      </c>
      <c r="T15" s="71">
        <f t="shared" si="8"/>
        <v>-5999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399004.00085000001</v>
      </c>
      <c r="AB15" s="72">
        <f t="shared" si="2"/>
        <v>3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3</v>
      </c>
      <c r="G16" s="13">
        <v>0</v>
      </c>
      <c r="H16" s="40" t="str">
        <f t="shared" si="1"/>
        <v>1</v>
      </c>
      <c r="I16" s="40">
        <f>IF(OR(F16="",G16="",'📊 Resultat &amp; Tabell'!K17="",'📊 Resultat &amp; Tabell'!L17=""),"",IF(F16='📊 Resultat &amp; Tabell'!K17,2,0)+IF(G16='📊 Resultat &amp; Tabell'!L17,2,0))</f>
        <v>0</v>
      </c>
      <c r="J16" s="40">
        <f>IF(OR(H16="",'📊 Resultat &amp; Tabell'!M17=""),"",IF(H16='📊 Resultat &amp; Tabell'!M17,2,0))</f>
        <v>0</v>
      </c>
      <c r="K16" s="40">
        <f t="shared" si="0"/>
        <v>0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2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8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3</v>
      </c>
      <c r="R16" s="60">
        <f t="shared" si="6"/>
        <v>5</v>
      </c>
      <c r="S16" s="60">
        <f t="shared" si="7"/>
        <v>7</v>
      </c>
      <c r="T16" s="71">
        <f t="shared" si="8"/>
        <v>705008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5</v>
      </c>
      <c r="H17" s="40" t="str">
        <f t="shared" si="1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0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2</v>
      </c>
      <c r="G18" s="13">
        <v>1</v>
      </c>
      <c r="H18" s="40" t="str">
        <f t="shared" si="1"/>
        <v>1</v>
      </c>
      <c r="I18" s="40">
        <f>IF(OR(F18="",G18="",'📊 Resultat &amp; Tabell'!K19="",'📊 Resultat &amp; Tabell'!L19=""),"",IF(F18='📊 Resultat &amp; Tabell'!K19,2,0)+IF(G18='📊 Resultat &amp; Tabell'!L19,2,0))</f>
        <v>2</v>
      </c>
      <c r="J18" s="40">
        <f>IF(OR(H18="",'📊 Resultat &amp; Tabell'!M19=""),"",IF(H18='📊 Resultat &amp; Tabell'!M19,2,0))</f>
        <v>0</v>
      </c>
      <c r="K18" s="40">
        <f t="shared" si="0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6</v>
      </c>
      <c r="G19" s="13">
        <v>0</v>
      </c>
      <c r="H19" s="40" t="str">
        <f t="shared" si="1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0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2</v>
      </c>
      <c r="G20" s="13">
        <v>4</v>
      </c>
      <c r="H20" s="40" t="str">
        <f t="shared" si="1"/>
        <v>2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2</v>
      </c>
      <c r="K20" s="40">
        <f t="shared" si="0"/>
        <v>2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13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2</v>
      </c>
      <c r="R20" s="60">
        <f t="shared" ref="R20:R23" si="9">P20-Q20</f>
        <v>11</v>
      </c>
      <c r="S20" s="60">
        <f t="shared" ref="S20:S23" si="10">M20*3+N20</f>
        <v>9</v>
      </c>
      <c r="T20" s="71">
        <f t="shared" ref="T20:T23" si="11">S20*100000+R20*1000+P20</f>
        <v>911013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0</v>
      </c>
      <c r="H21" s="40" t="str">
        <f t="shared" si="1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0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1</v>
      </c>
      <c r="N21" s="59" cm="1">
        <f t="array" ref="N21">SUMPRODUCT(--($C$4:$C$75="C"),--(($D$4:$D$75=L21)+($E$4:$E$75=L21)&gt;0),--($F$4:$F$75=$G$4:$G$75),--($F$4:$F$75&lt;&gt;""),--($G$4:$G$75&lt;&gt;""))</f>
        <v>0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2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3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5</v>
      </c>
      <c r="R21" s="60">
        <f t="shared" si="9"/>
        <v>-2</v>
      </c>
      <c r="S21" s="60">
        <f t="shared" si="10"/>
        <v>3</v>
      </c>
      <c r="T21" s="71">
        <f t="shared" si="11"/>
        <v>298003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1</v>
      </c>
      <c r="G22" s="13">
        <v>0</v>
      </c>
      <c r="H22" s="40" t="str">
        <f t="shared" si="1"/>
        <v>1</v>
      </c>
      <c r="I22" s="40">
        <f>IF(OR(F22="",G22="",'📊 Resultat &amp; Tabell'!K23="",'📊 Resultat &amp; Tabell'!L23=""),"",IF(F22='📊 Resultat &amp; Tabell'!K23,2,0)+IF(G22='📊 Resultat &amp; Tabell'!L23,2,0))</f>
        <v>0</v>
      </c>
      <c r="J22" s="40">
        <f>IF(OR(H22="",'📊 Resultat &amp; Tabell'!M23=""),"",IF(H22='📊 Resultat &amp; Tabell'!M23,2,0))</f>
        <v>2</v>
      </c>
      <c r="K22" s="40">
        <f t="shared" si="0"/>
        <v>2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13</v>
      </c>
      <c r="R22" s="60">
        <f t="shared" si="9"/>
        <v>-13</v>
      </c>
      <c r="S22" s="60">
        <f t="shared" si="10"/>
        <v>0</v>
      </c>
      <c r="T22" s="71">
        <f t="shared" si="11"/>
        <v>-13000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3</v>
      </c>
      <c r="H23" s="40" t="str">
        <f t="shared" si="1"/>
        <v>2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0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2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1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9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5</v>
      </c>
      <c r="R23" s="60">
        <f t="shared" si="9"/>
        <v>4</v>
      </c>
      <c r="S23" s="60">
        <f t="shared" si="10"/>
        <v>6</v>
      </c>
      <c r="T23" s="71">
        <f t="shared" si="11"/>
        <v>604009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2</v>
      </c>
      <c r="G24" s="13">
        <v>0</v>
      </c>
      <c r="H24" s="40" t="str">
        <f t="shared" si="1"/>
        <v>1</v>
      </c>
      <c r="I24" s="40">
        <f>IF(OR(F24="",G24="",'📊 Resultat &amp; Tabell'!K25="",'📊 Resultat &amp; Tabell'!L25=""),"",IF(F24='📊 Resultat &amp; Tabell'!K25,2,0)+IF(G24='📊 Resultat &amp; Tabell'!L25,2,0))</f>
        <v>0</v>
      </c>
      <c r="J24" s="40">
        <f>IF(OR(H24="",'📊 Resultat &amp; Tabell'!M25=""),"",IF(H24='📊 Resultat &amp; Tabell'!M25,2,0))</f>
        <v>0</v>
      </c>
      <c r="K24" s="40">
        <f t="shared" si="0"/>
        <v>0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1</v>
      </c>
      <c r="G25" s="13">
        <v>2</v>
      </c>
      <c r="H25" s="40" t="str">
        <f t="shared" si="1"/>
        <v>2</v>
      </c>
      <c r="I25" s="40">
        <f>IF(OR(F25="",G25="",'📊 Resultat &amp; Tabell'!K26="",'📊 Resultat &amp; Tabell'!L26=""),"",IF(F25='📊 Resultat &amp; Tabell'!K26,2,0)+IF(G25='📊 Resultat &amp; Tabell'!L26,2,0))</f>
        <v>0</v>
      </c>
      <c r="J25" s="40">
        <f>IF(OR(H25="",'📊 Resultat &amp; Tabell'!M26=""),"",IF(H25='📊 Resultat &amp; Tabell'!M26,2,0))</f>
        <v>0</v>
      </c>
      <c r="K25" s="40">
        <f t="shared" si="0"/>
        <v>0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4</v>
      </c>
      <c r="G26" s="13">
        <v>0</v>
      </c>
      <c r="H26" s="40" t="str">
        <f t="shared" si="1"/>
        <v>1</v>
      </c>
      <c r="I26" s="40">
        <f>IF(OR(F26="",G26="",'📊 Resultat &amp; Tabell'!K27="",'📊 Resultat &amp; Tabell'!L27=""),"",IF(F26='📊 Resultat &amp; Tabell'!K27,2,0)+IF(G26='📊 Resultat &amp; Tabell'!L27,2,0))</f>
        <v>0</v>
      </c>
      <c r="J26" s="40">
        <f>IF(OR(H26="",'📊 Resultat &amp; Tabell'!M27=""),"",IF(H26='📊 Resultat &amp; Tabell'!M27,2,0))</f>
        <v>2</v>
      </c>
      <c r="K26" s="40">
        <f t="shared" si="0"/>
        <v>2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2</v>
      </c>
      <c r="G27" s="13">
        <v>2</v>
      </c>
      <c r="H27" s="40" t="str">
        <f t="shared" si="1"/>
        <v>X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2</v>
      </c>
      <c r="K27" s="40">
        <f t="shared" si="0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1</v>
      </c>
      <c r="N27" s="59" cm="1">
        <f t="array" ref="N27">SUMPRODUCT(--($C$4:$C$75="D"),--(($D$4:$D$75=L27)+($E$4:$E$75=L27)&gt;0),--($F$4:$F$75=$G$4:$G$75),--($F$4:$F$75&lt;&gt;""),--($G$4:$G$75&lt;&gt;""))</f>
        <v>0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2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2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6</v>
      </c>
      <c r="R27" s="60">
        <f t="shared" ref="R27:R30" si="12">P27-Q27</f>
        <v>-4</v>
      </c>
      <c r="S27" s="60">
        <f t="shared" ref="S27:S30" si="13">M27*3+N27</f>
        <v>3</v>
      </c>
      <c r="T27" s="71">
        <f t="shared" ref="T27:T30" si="14">S27*100000+R27*1000+P27</f>
        <v>296002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5</v>
      </c>
      <c r="G28" s="13">
        <v>0</v>
      </c>
      <c r="H28" s="40" t="str">
        <f t="shared" si="1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0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2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2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5</v>
      </c>
      <c r="R28" s="60">
        <f t="shared" si="12"/>
        <v>-3</v>
      </c>
      <c r="S28" s="60">
        <f t="shared" si="13"/>
        <v>1</v>
      </c>
      <c r="T28" s="71">
        <f t="shared" si="14"/>
        <v>97002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2</v>
      </c>
      <c r="H29" s="40" t="str">
        <f t="shared" si="1"/>
        <v>2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0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1</v>
      </c>
      <c r="N29" s="59" cm="1">
        <f t="array" ref="N29">SUMPRODUCT(--($C$4:$C$75="D"),--(($D$4:$D$75=L29)+($E$4:$E$75=L29)&gt;0),--($F$4:$F$75=$G$4:$G$75),--($F$4:$F$75&lt;&gt;""),--($G$4:$G$75&lt;&gt;""))</f>
        <v>1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5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6</v>
      </c>
      <c r="R29" s="60">
        <f t="shared" si="12"/>
        <v>-1</v>
      </c>
      <c r="S29" s="60">
        <f t="shared" si="13"/>
        <v>4</v>
      </c>
      <c r="T29" s="71">
        <f t="shared" si="14"/>
        <v>399005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4</v>
      </c>
      <c r="G30" s="13">
        <v>1</v>
      </c>
      <c r="H30" s="40" t="str">
        <f t="shared" si="1"/>
        <v>1</v>
      </c>
      <c r="I30" s="40">
        <f>IF(OR(F30="",G30="",'📊 Resultat &amp; Tabell'!K31="",'📊 Resultat &amp; Tabell'!L31=""),"",IF(F30='📊 Resultat &amp; Tabell'!K31,2,0)+IF(G30='📊 Resultat &amp; Tabell'!L31,2,0))</f>
        <v>0</v>
      </c>
      <c r="J30" s="40">
        <f>IF(OR(H30="",'📊 Resultat &amp; Tabell'!M31=""),"",IF(H30='📊 Resultat &amp; Tabell'!M31,2,0))</f>
        <v>0</v>
      </c>
      <c r="K30" s="40">
        <f t="shared" si="0"/>
        <v>0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3</v>
      </c>
      <c r="N30" s="59" cm="1">
        <f t="array" ref="N30">SUMPRODUCT(--($C$4:$C$75="D"),--(($D$4:$D$75=L30)+($E$4:$E$75=L30)&gt;0),--($F$4:$F$75=$G$4:$G$75),--($F$4:$F$75&lt;&gt;""),--($G$4:$G$75&lt;&gt;""))</f>
        <v>0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9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1</v>
      </c>
      <c r="R30" s="60">
        <f t="shared" si="12"/>
        <v>8</v>
      </c>
      <c r="S30" s="60">
        <f t="shared" si="13"/>
        <v>9</v>
      </c>
      <c r="T30" s="71">
        <f t="shared" si="14"/>
        <v>908009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3</v>
      </c>
      <c r="G31" s="13">
        <v>1</v>
      </c>
      <c r="H31" s="40" t="str">
        <f t="shared" si="1"/>
        <v>1</v>
      </c>
      <c r="I31" s="40">
        <f>IF(OR(F31="",G31="",'📊 Resultat &amp; Tabell'!K32="",'📊 Resultat &amp; Tabell'!L32=""),"",IF(F31='📊 Resultat &amp; Tabell'!K32,2,0)+IF(G31='📊 Resultat &amp; Tabell'!L32,2,0))</f>
        <v>2</v>
      </c>
      <c r="J31" s="40">
        <f>IF(OR(H31="",'📊 Resultat &amp; Tabell'!M32=""),"",IF(H31='📊 Resultat &amp; Tabell'!M32,2,0))</f>
        <v>2</v>
      </c>
      <c r="K31" s="40">
        <f t="shared" si="0"/>
        <v>4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0</v>
      </c>
      <c r="G32" s="13">
        <v>2</v>
      </c>
      <c r="H32" s="40" t="str">
        <f t="shared" si="1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0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1</v>
      </c>
      <c r="G33" s="13">
        <v>3</v>
      </c>
      <c r="H33" s="40" t="str">
        <f t="shared" si="1"/>
        <v>2</v>
      </c>
      <c r="I33" s="40">
        <f>IF(OR(F33="",G33="",'📊 Resultat &amp; Tabell'!K34="",'📊 Resultat &amp; Tabell'!L34=""),"",IF(F33='📊 Resultat &amp; Tabell'!K34,2,0)+IF(G33='📊 Resultat &amp; Tabell'!L34,2,0))</f>
        <v>0</v>
      </c>
      <c r="J33" s="40">
        <f>IF(OR(H33="",'📊 Resultat &amp; Tabell'!M34=""),"",IF(H33='📊 Resultat &amp; Tabell'!M34,2,0))</f>
        <v>2</v>
      </c>
      <c r="K33" s="40">
        <f t="shared" si="0"/>
        <v>2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3</v>
      </c>
      <c r="G34" s="13">
        <v>1</v>
      </c>
      <c r="H34" s="40" t="str">
        <f t="shared" si="1"/>
        <v>1</v>
      </c>
      <c r="I34" s="40">
        <f>IF(OR(F34="",G34="",'📊 Resultat &amp; Tabell'!K35="",'📊 Resultat &amp; Tabell'!L35=""),"",IF(F34='📊 Resultat &amp; Tabell'!K35,2,0)+IF(G34='📊 Resultat &amp; Tabell'!L35,2,0))</f>
        <v>0</v>
      </c>
      <c r="J34" s="40">
        <f>IF(OR(H34="",'📊 Resultat &amp; Tabell'!M35=""),"",IF(H34='📊 Resultat &amp; Tabell'!M35,2,0))</f>
        <v>0</v>
      </c>
      <c r="K34" s="40">
        <f t="shared" si="0"/>
        <v>0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10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1</v>
      </c>
      <c r="R34" s="60">
        <f t="shared" ref="R34:R37" si="15">P34-Q34</f>
        <v>9</v>
      </c>
      <c r="S34" s="60">
        <f t="shared" ref="S34:S37" si="16">M34*3+N34</f>
        <v>9</v>
      </c>
      <c r="T34" s="71">
        <f t="shared" ref="T34:T37" si="17">S34*100000+R34*1000+P34</f>
        <v>909010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1</v>
      </c>
      <c r="H35" s="40" t="str">
        <f t="shared" si="1"/>
        <v>1</v>
      </c>
      <c r="I35" s="40">
        <f>IF(OR(F35="",G35="",'📊 Resultat &amp; Tabell'!K36="",'📊 Resultat &amp; Tabell'!L36=""),"",IF(F35='📊 Resultat &amp; Tabell'!K36,2,0)+IF(G35='📊 Resultat &amp; Tabell'!L36,2,0))</f>
        <v>2</v>
      </c>
      <c r="J35" s="40">
        <f>IF(OR(H35="",'📊 Resultat &amp; Tabell'!M36=""),"",IF(H35='📊 Resultat &amp; Tabell'!M36,2,0))</f>
        <v>2</v>
      </c>
      <c r="K35" s="40">
        <f t="shared" si="0"/>
        <v>4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2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12</v>
      </c>
      <c r="R35" s="60">
        <f t="shared" si="15"/>
        <v>-10</v>
      </c>
      <c r="S35" s="60">
        <f t="shared" si="16"/>
        <v>0</v>
      </c>
      <c r="T35" s="71">
        <f t="shared" si="17"/>
        <v>-9998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0</v>
      </c>
      <c r="G36" s="13">
        <v>3</v>
      </c>
      <c r="H36" s="40" t="str">
        <f t="shared" si="1"/>
        <v>2</v>
      </c>
      <c r="I36" s="40">
        <f>IF(OR(F36="",G36="",'📊 Resultat &amp; Tabell'!K37="",'📊 Resultat &amp; Tabell'!L37=""),"",IF(F36='📊 Resultat &amp; Tabell'!K37,2,0)+IF(G36='📊 Resultat &amp; Tabell'!L37,2,0))</f>
        <v>2</v>
      </c>
      <c r="J36" s="40">
        <f>IF(OR(H36="",'📊 Resultat &amp; Tabell'!M37=""),"",IF(H36='📊 Resultat &amp; Tabell'!M37,2,0))</f>
        <v>2</v>
      </c>
      <c r="K36" s="40">
        <f t="shared" si="0"/>
        <v>4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0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2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5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6</v>
      </c>
      <c r="R36" s="60">
        <f t="shared" si="15"/>
        <v>-1</v>
      </c>
      <c r="S36" s="60">
        <f t="shared" si="16"/>
        <v>3</v>
      </c>
      <c r="T36" s="71">
        <f t="shared" si="17"/>
        <v>299005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3</v>
      </c>
      <c r="G37" s="13">
        <v>1</v>
      </c>
      <c r="H37" s="40" t="str">
        <f t="shared" si="1"/>
        <v>1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2</v>
      </c>
      <c r="K37" s="40">
        <f t="shared" si="0"/>
        <v>4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2</v>
      </c>
      <c r="N37" s="59" cm="1">
        <f t="array" ref="N37">SUMPRODUCT(--($C$4:$C$75="E"),--(($D$4:$D$75=L37)+($E$4:$E$75=L37)&gt;0),--($F$4:$F$75=$G$4:$G$75),--($F$4:$F$75&lt;&gt;""),--($G$4:$G$75&lt;&gt;""))</f>
        <v>0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6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4</v>
      </c>
      <c r="R37" s="60">
        <f t="shared" si="15"/>
        <v>2</v>
      </c>
      <c r="S37" s="60">
        <f t="shared" si="16"/>
        <v>6</v>
      </c>
      <c r="T37" s="71">
        <f t="shared" si="17"/>
        <v>602006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0</v>
      </c>
      <c r="G38" s="13">
        <v>4</v>
      </c>
      <c r="H38" s="40" t="str">
        <f t="shared" si="1"/>
        <v>2</v>
      </c>
      <c r="I38" s="40">
        <f>IF(OR(F38="",G38="",'📊 Resultat &amp; Tabell'!K39="",'📊 Resultat &amp; Tabell'!L39=""),"",IF(F38='📊 Resultat &amp; Tabell'!K39,2,0)+IF(G38='📊 Resultat &amp; Tabell'!L39,2,0))</f>
        <v>0</v>
      </c>
      <c r="J38" s="40">
        <f>IF(OR(H38="",'📊 Resultat &amp; Tabell'!M39=""),"",IF(H38='📊 Resultat &amp; Tabell'!M39,2,0))</f>
        <v>2</v>
      </c>
      <c r="K38" s="40">
        <f t="shared" si="0"/>
        <v>2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2</v>
      </c>
      <c r="G39" s="13">
        <v>2</v>
      </c>
      <c r="H39" s="40" t="str">
        <f t="shared" si="1"/>
        <v>X</v>
      </c>
      <c r="I39" s="40">
        <f>IF(OR(F39="",G39="",'📊 Resultat &amp; Tabell'!K40="",'📊 Resultat &amp; Tabell'!L40=""),"",IF(F39='📊 Resultat &amp; Tabell'!K40,2,0)+IF(G39='📊 Resultat &amp; Tabell'!L40,2,0))</f>
        <v>0</v>
      </c>
      <c r="J39" s="40">
        <f>IF(OR(H39="",'📊 Resultat &amp; Tabell'!M40=""),"",IF(H39='📊 Resultat &amp; Tabell'!M40,2,0))</f>
        <v>2</v>
      </c>
      <c r="K39" s="40">
        <f t="shared" si="0"/>
        <v>2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4</v>
      </c>
      <c r="G40" s="13">
        <v>1</v>
      </c>
      <c r="H40" s="40" t="str">
        <f t="shared" si="1"/>
        <v>1</v>
      </c>
      <c r="I40" s="40">
        <f>IF(OR(F40="",G40="",'📊 Resultat &amp; Tabell'!K41="",'📊 Resultat &amp; Tabell'!L41=""),"",IF(F40='📊 Resultat &amp; Tabell'!K41,2,0)+IF(G40='📊 Resultat &amp; Tabell'!L41,2,0))</f>
        <v>2</v>
      </c>
      <c r="J40" s="40">
        <f>IF(OR(H40="",'📊 Resultat &amp; Tabell'!M41=""),"",IF(H40='📊 Resultat &amp; Tabell'!M41,2,0))</f>
        <v>0</v>
      </c>
      <c r="K40" s="40">
        <f t="shared" si="0"/>
        <v>2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0</v>
      </c>
      <c r="G41" s="13">
        <v>0</v>
      </c>
      <c r="H41" s="40" t="str">
        <f t="shared" si="1"/>
        <v>X</v>
      </c>
      <c r="I41" s="40">
        <f>IF(OR(F41="",G41="",'📊 Resultat &amp; Tabell'!K42="",'📊 Resultat &amp; Tabell'!L42=""),"",IF(F41='📊 Resultat &amp; Tabell'!K42,2,0)+IF(G41='📊 Resultat &amp; Tabell'!L42,2,0))</f>
        <v>0</v>
      </c>
      <c r="J41" s="40">
        <f>IF(OR(H41="",'📊 Resultat &amp; Tabell'!M42=""),"",IF(H41='📊 Resultat &amp; Tabell'!M42,2,0))</f>
        <v>2</v>
      </c>
      <c r="K41" s="40">
        <f t="shared" si="0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3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10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2</v>
      </c>
      <c r="R41" s="60">
        <f t="shared" ref="R41:R44" si="18">P41-Q41</f>
        <v>8</v>
      </c>
      <c r="S41" s="60">
        <f t="shared" ref="S41:S44" si="19">M41*3+N41</f>
        <v>9</v>
      </c>
      <c r="T41" s="71">
        <f t="shared" ref="T41:T44" si="20">S41*100000+R41*1000+P41</f>
        <v>908010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1</v>
      </c>
      <c r="G42" s="13">
        <v>2</v>
      </c>
      <c r="H42" s="40" t="str">
        <f t="shared" si="1"/>
        <v>2</v>
      </c>
      <c r="I42" s="40">
        <f>IF(OR(F42="",G42="",'📊 Resultat &amp; Tabell'!K43="",'📊 Resultat &amp; Tabell'!L43=""),"",IF(F42='📊 Resultat &amp; Tabell'!K43,2,0)+IF(G42='📊 Resultat &amp; Tabell'!L43,2,0))</f>
        <v>2</v>
      </c>
      <c r="J42" s="40">
        <f>IF(OR(H42="",'📊 Resultat &amp; Tabell'!M43=""),"",IF(H42='📊 Resultat &amp; Tabell'!M43,2,0))</f>
        <v>2</v>
      </c>
      <c r="K42" s="40">
        <f t="shared" si="0"/>
        <v>4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1</v>
      </c>
      <c r="N42" s="59" cm="1">
        <f t="array" ref="N42">SUMPRODUCT(--($C$4:$C$75="F"),--(($D$4:$D$75=L42)+($E$4:$E$75=L42)&gt;0),--($F$4:$F$75=$G$4:$G$75),--($F$4:$F$75&lt;&gt;""),--($G$4:$G$75&lt;&gt;""))</f>
        <v>1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6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5</v>
      </c>
      <c r="R42" s="60">
        <f t="shared" si="18"/>
        <v>1</v>
      </c>
      <c r="S42" s="60">
        <f t="shared" si="19"/>
        <v>4</v>
      </c>
      <c r="T42" s="71">
        <f t="shared" si="20"/>
        <v>401006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6</v>
      </c>
      <c r="G43" s="13">
        <v>0</v>
      </c>
      <c r="H43" s="40" t="str">
        <f t="shared" si="1"/>
        <v>1</v>
      </c>
      <c r="I43" s="40">
        <f>IF(OR(F43="",G43="",'📊 Resultat &amp; Tabell'!K44="",'📊 Resultat &amp; Tabell'!L44=""),"",IF(F43='📊 Resultat &amp; Tabell'!K44,2,0)+IF(G43='📊 Resultat &amp; Tabell'!L44,2,0))</f>
        <v>2</v>
      </c>
      <c r="J43" s="40">
        <f>IF(OR(H43="",'📊 Resultat &amp; Tabell'!M44=""),"",IF(H43='📊 Resultat &amp; Tabell'!M44,2,0))</f>
        <v>0</v>
      </c>
      <c r="K43" s="40">
        <f t="shared" si="0"/>
        <v>2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5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6</v>
      </c>
      <c r="R43" s="60">
        <f t="shared" si="18"/>
        <v>-1</v>
      </c>
      <c r="S43" s="60">
        <f t="shared" si="19"/>
        <v>4</v>
      </c>
      <c r="T43" s="71">
        <f t="shared" si="20"/>
        <v>399005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4</v>
      </c>
      <c r="H44" s="40" t="str">
        <f t="shared" si="1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0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3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1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9</v>
      </c>
      <c r="R44" s="60">
        <f t="shared" si="18"/>
        <v>-8</v>
      </c>
      <c r="S44" s="60">
        <f t="shared" si="19"/>
        <v>0</v>
      </c>
      <c r="T44" s="71">
        <f t="shared" si="20"/>
        <v>-7999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2</v>
      </c>
      <c r="G45" s="13">
        <v>0</v>
      </c>
      <c r="H45" s="40" t="str">
        <f t="shared" si="1"/>
        <v>1</v>
      </c>
      <c r="I45" s="40">
        <f>IF(OR(F45="",G45="",'📊 Resultat &amp; Tabell'!K46="",'📊 Resultat &amp; Tabell'!L46=""),"",IF(F45='📊 Resultat &amp; Tabell'!K46,2,0)+IF(G45='📊 Resultat &amp; Tabell'!L46,2,0))</f>
        <v>0</v>
      </c>
      <c r="J45" s="40">
        <f>IF(OR(H45="",'📊 Resultat &amp; Tabell'!M46=""),"",IF(H45='📊 Resultat &amp; Tabell'!M46,2,0))</f>
        <v>0</v>
      </c>
      <c r="K45" s="40">
        <f t="shared" si="0"/>
        <v>0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7</v>
      </c>
      <c r="G46" s="13">
        <v>0</v>
      </c>
      <c r="H46" s="40" t="str">
        <f t="shared" si="1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0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0</v>
      </c>
      <c r="G47" s="13">
        <v>3</v>
      </c>
      <c r="H47" s="40" t="str">
        <f t="shared" si="1"/>
        <v>2</v>
      </c>
      <c r="I47" s="40">
        <f>IF(OR(F47="",G47="",'📊 Resultat &amp; Tabell'!K48="",'📊 Resultat &amp; Tabell'!L48=""),"",IF(F47='📊 Resultat &amp; Tabell'!K48,2,0)+IF(G47='📊 Resultat &amp; Tabell'!L48,2,0))</f>
        <v>0</v>
      </c>
      <c r="J47" s="40">
        <f>IF(OR(H47="",'📊 Resultat &amp; Tabell'!M48=""),"",IF(H47='📊 Resultat &amp; Tabell'!M48,2,0))</f>
        <v>0</v>
      </c>
      <c r="K47" s="40">
        <f t="shared" si="0"/>
        <v>0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4</v>
      </c>
      <c r="G48" s="13">
        <v>0</v>
      </c>
      <c r="H48" s="40" t="str">
        <f t="shared" si="1"/>
        <v>1</v>
      </c>
      <c r="I48" s="40">
        <f>IF(OR(F48="",G48="",'📊 Resultat &amp; Tabell'!K49="",'📊 Resultat &amp; Tabell'!L49=""),"",IF(F48='📊 Resultat &amp; Tabell'!K49,2,0)+IF(G48='📊 Resultat &amp; Tabell'!L49,2,0))</f>
        <v>0</v>
      </c>
      <c r="J48" s="40">
        <f>IF(OR(H48="",'📊 Resultat &amp; Tabell'!M49=""),"",IF(H48='📊 Resultat &amp; Tabell'!M49,2,0))</f>
        <v>0</v>
      </c>
      <c r="K48" s="40">
        <f t="shared" si="0"/>
        <v>0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14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1</v>
      </c>
      <c r="R48" s="60">
        <f t="shared" ref="R48:R51" si="21">P48-Q48</f>
        <v>13</v>
      </c>
      <c r="S48" s="60">
        <f t="shared" ref="S48:S51" si="22">M48*3+N48</f>
        <v>9</v>
      </c>
      <c r="T48" s="71">
        <f t="shared" ref="T48:T51" si="23">S48*100000+R48*1000+P48</f>
        <v>913014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3</v>
      </c>
      <c r="G49" s="13">
        <v>0</v>
      </c>
      <c r="H49" s="40" t="str">
        <f t="shared" si="1"/>
        <v>1</v>
      </c>
      <c r="I49" s="40">
        <f>IF(OR(F49="",G49="",'📊 Resultat &amp; Tabell'!K50="",'📊 Resultat &amp; Tabell'!L50=""),"",IF(F49='📊 Resultat &amp; Tabell'!K50,2,0)+IF(G49='📊 Resultat &amp; Tabell'!L50,2,0))</f>
        <v>2</v>
      </c>
      <c r="J49" s="40">
        <f>IF(OR(H49="",'📊 Resultat &amp; Tabell'!M50=""),"",IF(H49='📊 Resultat &amp; Tabell'!M50,2,0))</f>
        <v>2</v>
      </c>
      <c r="K49" s="40">
        <f t="shared" si="0"/>
        <v>4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2</v>
      </c>
      <c r="N49" s="59" cm="1">
        <f t="array" ref="N49">SUMPRODUCT(--($C$4:$C$75="G"),--(($D$4:$D$75=L49)+($E$4:$E$75=L49)&gt;0),--($F$4:$F$75=$G$4:$G$75),--($F$4:$F$75&lt;&gt;""),--($G$4:$G$75&lt;&gt;""))</f>
        <v>0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5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5</v>
      </c>
      <c r="R49" s="60">
        <f t="shared" si="21"/>
        <v>0</v>
      </c>
      <c r="S49" s="60">
        <f t="shared" si="22"/>
        <v>6</v>
      </c>
      <c r="T49" s="71">
        <f t="shared" si="23"/>
        <v>600005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2</v>
      </c>
      <c r="G50" s="13">
        <v>3</v>
      </c>
      <c r="H50" s="40" t="str">
        <f t="shared" si="1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0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0</v>
      </c>
      <c r="N50" s="59" cm="1">
        <f t="array" ref="N50">SUMPRODUCT(--($C$4:$C$75="G"),--(($D$4:$D$75=L50)+($E$4:$E$75=L50)&gt;0),--($F$4:$F$75=$G$4:$G$75),--($F$4:$F$75&lt;&gt;""),--($G$4:$G$75&lt;&gt;""))</f>
        <v>1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2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0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8</v>
      </c>
      <c r="R50" s="60">
        <f t="shared" si="21"/>
        <v>-8</v>
      </c>
      <c r="S50" s="60">
        <f t="shared" si="22"/>
        <v>1</v>
      </c>
      <c r="T50" s="71">
        <f t="shared" si="23"/>
        <v>92000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2</v>
      </c>
      <c r="H51" s="40" t="str">
        <f t="shared" si="1"/>
        <v>2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0</v>
      </c>
      <c r="K51" s="40">
        <f t="shared" si="0"/>
        <v>0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1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2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1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6</v>
      </c>
      <c r="R51" s="60">
        <f t="shared" si="21"/>
        <v>-5</v>
      </c>
      <c r="S51" s="60">
        <f t="shared" si="22"/>
        <v>1</v>
      </c>
      <c r="T51" s="71">
        <f t="shared" si="23"/>
        <v>95001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4</v>
      </c>
      <c r="G52" s="13">
        <v>1</v>
      </c>
      <c r="H52" s="40" t="str">
        <f t="shared" si="1"/>
        <v>1</v>
      </c>
      <c r="I52" s="40">
        <f>IF(OR(F52="",G52="",'📊 Resultat &amp; Tabell'!K53="",'📊 Resultat &amp; Tabell'!L53=""),"",IF(F52='📊 Resultat &amp; Tabell'!K53,2,0)+IF(G52='📊 Resultat &amp; Tabell'!L53,2,0))</f>
        <v>2</v>
      </c>
      <c r="J52" s="40">
        <f>IF(OR(H52="",'📊 Resultat &amp; Tabell'!M53=""),"",IF(H52='📊 Resultat &amp; Tabell'!M53,2,0))</f>
        <v>2</v>
      </c>
      <c r="K52" s="40">
        <f t="shared" si="0"/>
        <v>4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2</v>
      </c>
      <c r="H53" s="40" t="str">
        <f t="shared" si="1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0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1</v>
      </c>
      <c r="G54" s="13">
        <v>3</v>
      </c>
      <c r="H54" s="40" t="str">
        <f t="shared" si="1"/>
        <v>2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0</v>
      </c>
      <c r="K54" s="40">
        <f t="shared" si="0"/>
        <v>0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5</v>
      </c>
      <c r="G55" s="13">
        <v>0</v>
      </c>
      <c r="H55" s="40" t="str">
        <f t="shared" si="1"/>
        <v>1</v>
      </c>
      <c r="I55" s="40">
        <f>IF(OR(F55="",G55="",'📊 Resultat &amp; Tabell'!K56="",'📊 Resultat &amp; Tabell'!L56=""),"",IF(F55='📊 Resultat &amp; Tabell'!K56,2,0)+IF(G55='📊 Resultat &amp; Tabell'!L56,2,0))</f>
        <v>2</v>
      </c>
      <c r="J55" s="40">
        <f>IF(OR(H55="",'📊 Resultat &amp; Tabell'!M56=""),"",IF(H55='📊 Resultat &amp; Tabell'!M56,2,0))</f>
        <v>2</v>
      </c>
      <c r="K55" s="40">
        <f t="shared" si="0"/>
        <v>4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13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2</v>
      </c>
      <c r="R55" s="60">
        <f t="shared" ref="R55:R58" si="24">P55-Q55</f>
        <v>11</v>
      </c>
      <c r="S55" s="60">
        <f t="shared" ref="S55:S58" si="25">M55*3+N55</f>
        <v>9</v>
      </c>
      <c r="T55" s="71">
        <f t="shared" ref="T55:T58" si="26">S55*100000+R55*1000+P55</f>
        <v>911013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4</v>
      </c>
      <c r="H56" s="40" t="str">
        <f t="shared" si="1"/>
        <v>2</v>
      </c>
      <c r="I56" s="40">
        <f>IF(OR(F56="",G56="",'📊 Resultat &amp; Tabell'!K57="",'📊 Resultat &amp; Tabell'!L57=""),"",IF(F56='📊 Resultat &amp; Tabell'!K57,2,0)+IF(G56='📊 Resultat &amp; Tabell'!L57,2,0))</f>
        <v>4</v>
      </c>
      <c r="J56" s="40">
        <f>IF(OR(H56="",'📊 Resultat &amp; Tabell'!M57=""),"",IF(H56='📊 Resultat &amp; Tabell'!M57,2,0))</f>
        <v>2</v>
      </c>
      <c r="K56" s="40">
        <f t="shared" si="0"/>
        <v>6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0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3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13</v>
      </c>
      <c r="R56" s="60">
        <f t="shared" si="24"/>
        <v>-12</v>
      </c>
      <c r="S56" s="60">
        <f t="shared" si="25"/>
        <v>0</v>
      </c>
      <c r="T56" s="71">
        <f t="shared" si="26"/>
        <v>-11999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2</v>
      </c>
      <c r="G57" s="13">
        <v>0</v>
      </c>
      <c r="H57" s="40" t="str">
        <f t="shared" si="1"/>
        <v>1</v>
      </c>
      <c r="I57" s="40">
        <f>IF(OR(F57="",G57="",'📊 Resultat &amp; Tabell'!K58="",'📊 Resultat &amp; Tabell'!L58=""),"",IF(F57='📊 Resultat &amp; Tabell'!K58,2,0)+IF(G57='📊 Resultat &amp; Tabell'!L58,2,0))</f>
        <v>2</v>
      </c>
      <c r="J57" s="40">
        <f>IF(OR(H57="",'📊 Resultat &amp; Tabell'!M58=""),"",IF(H57='📊 Resultat &amp; Tabell'!M58,2,0))</f>
        <v>2</v>
      </c>
      <c r="K57" s="40">
        <f t="shared" si="0"/>
        <v>4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1</v>
      </c>
      <c r="N57" s="59" cm="1">
        <f t="array" ref="N57">SUMPRODUCT(--($C$4:$C$75="H"),--(($D$4:$D$75=L57)+($E$4:$E$75=L57)&gt;0),--($F$4:$F$75=$G$4:$G$75),--($F$4:$F$75&lt;&gt;""),--($G$4:$G$75&lt;&gt;""))</f>
        <v>0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2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7</v>
      </c>
      <c r="R57" s="60">
        <f t="shared" si="24"/>
        <v>-5</v>
      </c>
      <c r="S57" s="60">
        <f t="shared" si="25"/>
        <v>3</v>
      </c>
      <c r="T57" s="71">
        <f t="shared" si="26"/>
        <v>295002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4</v>
      </c>
      <c r="G58" s="13">
        <v>0</v>
      </c>
      <c r="H58" s="40" t="str">
        <f t="shared" si="1"/>
        <v>1</v>
      </c>
      <c r="I58" s="40">
        <f>IF(OR(F58="",G58="",'📊 Resultat &amp; Tabell'!K59="",'📊 Resultat &amp; Tabell'!L59=""),"",IF(F58='📊 Resultat &amp; Tabell'!K59,2,0)+IF(G58='📊 Resultat &amp; Tabell'!L59,2,0))</f>
        <v>2</v>
      </c>
      <c r="J58" s="40">
        <f>IF(OR(H58="",'📊 Resultat &amp; Tabell'!M59=""),"",IF(H58='📊 Resultat &amp; Tabell'!M59,2,0))</f>
        <v>2</v>
      </c>
      <c r="K58" s="40">
        <f t="shared" si="0"/>
        <v>4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9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3</v>
      </c>
      <c r="R58" s="60">
        <f t="shared" si="24"/>
        <v>6</v>
      </c>
      <c r="S58" s="60">
        <f t="shared" si="25"/>
        <v>6</v>
      </c>
      <c r="T58" s="71">
        <f t="shared" si="26"/>
        <v>606009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1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0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0</v>
      </c>
      <c r="G60" s="13">
        <v>3</v>
      </c>
      <c r="H60" s="40" t="str">
        <f t="shared" si="1"/>
        <v>2</v>
      </c>
      <c r="I60" s="40">
        <f>IF(OR(F60="",G60="",'📊 Resultat &amp; Tabell'!K61="",'📊 Resultat &amp; Tabell'!L61=""),"",IF(F60='📊 Resultat &amp; Tabell'!K61,2,0)+IF(G60='📊 Resultat &amp; Tabell'!L61,2,0))</f>
        <v>0</v>
      </c>
      <c r="J60" s="40">
        <f>IF(OR(H60="",'📊 Resultat &amp; Tabell'!M61=""),"",IF(H60='📊 Resultat &amp; Tabell'!M61,2,0))</f>
        <v>2</v>
      </c>
      <c r="K60" s="40">
        <f t="shared" si="0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3</v>
      </c>
      <c r="G61" s="13">
        <v>1</v>
      </c>
      <c r="H61" s="40" t="str">
        <f t="shared" si="1"/>
        <v>1</v>
      </c>
      <c r="I61" s="40">
        <f>IF(OR(F61="",G61="",'📊 Resultat &amp; Tabell'!K62="",'📊 Resultat &amp; Tabell'!L62=""),"",IF(F61='📊 Resultat &amp; Tabell'!K62,2,0)+IF(G61='📊 Resultat &amp; Tabell'!L62,2,0))</f>
        <v>0</v>
      </c>
      <c r="J61" s="40">
        <f>IF(OR(H61="",'📊 Resultat &amp; Tabell'!M62=""),"",IF(H61='📊 Resultat &amp; Tabell'!M62,2,0))</f>
        <v>2</v>
      </c>
      <c r="K61" s="40">
        <f t="shared" si="0"/>
        <v>2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8</v>
      </c>
      <c r="H62" s="40" t="str">
        <f t="shared" si="1"/>
        <v>2</v>
      </c>
      <c r="I62" s="40">
        <f>IF(OR(F62="",G62="",'📊 Resultat &amp; Tabell'!K63="",'📊 Resultat &amp; Tabell'!L63=""),"",IF(F62='📊 Resultat &amp; Tabell'!K63,2,0)+IF(G62='📊 Resultat &amp; Tabell'!L63,2,0))</f>
        <v>0</v>
      </c>
      <c r="J62" s="40">
        <f>IF(OR(H62="",'📊 Resultat &amp; Tabell'!M63=""),"",IF(H62='📊 Resultat &amp; Tabell'!M63,2,0))</f>
        <v>2</v>
      </c>
      <c r="K62" s="40">
        <f t="shared" si="0"/>
        <v>2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13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2</v>
      </c>
      <c r="R62" s="60">
        <f t="shared" ref="R62:R65" si="27">P62-Q62</f>
        <v>11</v>
      </c>
      <c r="S62" s="60">
        <f t="shared" ref="S62:S65" si="28">M62*3+N62</f>
        <v>9</v>
      </c>
      <c r="T62" s="71">
        <f t="shared" ref="T62:T65" si="29">S62*100000+R62*1000+P62</f>
        <v>911013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2</v>
      </c>
      <c r="H63" s="40" t="str">
        <f t="shared" si="1"/>
        <v>2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0</v>
      </c>
      <c r="K63" s="40">
        <f t="shared" si="0"/>
        <v>0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2</v>
      </c>
      <c r="N63" s="59" cm="1">
        <f t="array" ref="N63">SUMPRODUCT(--($C$4:$C$75="I"),--(($D$4:$D$75=L63)+($E$4:$E$75=L63)&gt;0),--($F$4:$F$75=$G$4:$G$75),--($F$4:$F$75&lt;&gt;""),--($G$4:$G$75&lt;&gt;""))</f>
        <v>0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1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6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5</v>
      </c>
      <c r="R63" s="60">
        <f t="shared" si="27"/>
        <v>1</v>
      </c>
      <c r="S63" s="60">
        <f t="shared" si="28"/>
        <v>6</v>
      </c>
      <c r="T63" s="71">
        <f t="shared" si="29"/>
        <v>601006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3</v>
      </c>
      <c r="G64" s="13">
        <v>0</v>
      </c>
      <c r="H64" s="40" t="str">
        <f t="shared" si="1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0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0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9</v>
      </c>
      <c r="R64" s="60">
        <f t="shared" si="27"/>
        <v>-9</v>
      </c>
      <c r="S64" s="60">
        <f t="shared" si="28"/>
        <v>0</v>
      </c>
      <c r="T64" s="71">
        <f t="shared" si="29"/>
        <v>-9000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0</v>
      </c>
      <c r="G65" s="13">
        <v>3</v>
      </c>
      <c r="H65" s="40" t="str">
        <f t="shared" si="1"/>
        <v>2</v>
      </c>
      <c r="I65" s="40">
        <f>IF(OR(F65="",G65="",'📊 Resultat &amp; Tabell'!K66="",'📊 Resultat &amp; Tabell'!L66=""),"",IF(F65='📊 Resultat &amp; Tabell'!K66,2,0)+IF(G65='📊 Resultat &amp; Tabell'!L66,2,0))</f>
        <v>2</v>
      </c>
      <c r="J65" s="40">
        <f>IF(OR(H65="",'📊 Resultat &amp; Tabell'!M66=""),"",IF(H65='📊 Resultat &amp; Tabell'!M66,2,0))</f>
        <v>2</v>
      </c>
      <c r="K65" s="40">
        <f t="shared" si="0"/>
        <v>4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1</v>
      </c>
      <c r="N65" s="59" cm="1">
        <f t="array" ref="N65">SUMPRODUCT(--($C$4:$C$75="I"),--(($D$4:$D$75=L65)+($E$4:$E$75=L65)&gt;0),--($F$4:$F$75=$G$4:$G$75),--($F$4:$F$75&lt;&gt;""),--($G$4:$G$75&lt;&gt;""))</f>
        <v>0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2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4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7</v>
      </c>
      <c r="R65" s="60">
        <f t="shared" si="27"/>
        <v>-3</v>
      </c>
      <c r="S65" s="60">
        <f t="shared" si="28"/>
        <v>3</v>
      </c>
      <c r="T65" s="71">
        <f t="shared" si="29"/>
        <v>297004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1</v>
      </c>
      <c r="H66" s="40" t="str">
        <f t="shared" si="1"/>
        <v>1</v>
      </c>
      <c r="I66" s="40">
        <f>IF(OR(F66="",G66="",'📊 Resultat &amp; Tabell'!K67="",'📊 Resultat &amp; Tabell'!L67=""),"",IF(F66='📊 Resultat &amp; Tabell'!K67,2,0)+IF(G66='📊 Resultat &amp; Tabell'!L67,2,0))</f>
        <v>0</v>
      </c>
      <c r="J66" s="40">
        <f>IF(OR(H66="",'📊 Resultat &amp; Tabell'!M67=""),"",IF(H66='📊 Resultat &amp; Tabell'!M67,2,0))</f>
        <v>2</v>
      </c>
      <c r="K66" s="40">
        <f t="shared" si="0"/>
        <v>2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3</v>
      </c>
      <c r="G67" s="13">
        <v>0</v>
      </c>
      <c r="H67" s="40" t="str">
        <f t="shared" si="1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0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2</v>
      </c>
      <c r="H68" s="40" t="str">
        <f t="shared" ref="H68:H107" si="30">IF(OR(F68="",G68=""),"",IF(F68&gt;G68,"1",IF(F68&lt;G68,"2","X")))</f>
        <v>2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0</v>
      </c>
      <c r="K68" s="40">
        <f t="shared" ref="K68:K107" si="31">IF(AND(I68="",J68=""),"",N(I68)+N(J68))</f>
        <v>0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3</v>
      </c>
      <c r="G69" s="13">
        <v>0</v>
      </c>
      <c r="H69" s="40" t="str">
        <f t="shared" si="30"/>
        <v>1</v>
      </c>
      <c r="I69" s="40">
        <f>IF(OR(F69="",G69="",'📊 Resultat &amp; Tabell'!K70="",'📊 Resultat &amp; Tabell'!L70=""),"",IF(F69='📊 Resultat &amp; Tabell'!K70,2,0)+IF(G69='📊 Resultat &amp; Tabell'!L70,2,0))</f>
        <v>2</v>
      </c>
      <c r="J69" s="40">
        <f>IF(OR(H69="",'📊 Resultat &amp; Tabell'!M70=""),"",IF(H69='📊 Resultat &amp; Tabell'!M70,2,0))</f>
        <v>2</v>
      </c>
      <c r="K69" s="40">
        <f t="shared" si="31"/>
        <v>4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15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14</v>
      </c>
      <c r="S69" s="60">
        <f t="shared" ref="S69:S72" si="33">M69*3+N69</f>
        <v>9</v>
      </c>
      <c r="T69" s="71">
        <f t="shared" ref="T69:T72" si="34">S69*100000+R69*1000+P69</f>
        <v>914015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1</v>
      </c>
      <c r="N70" s="59" cm="1">
        <f t="array" ref="N70">SUMPRODUCT(--($C$4:$C$75="J"),--(($D$4:$D$75=L70)+($E$4:$E$75=L70)&gt;0),--($F$4:$F$75=$G$4:$G$75),--($F$4:$F$75&lt;&gt;""),--($G$4:$G$75&lt;&gt;""))</f>
        <v>0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2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4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6</v>
      </c>
      <c r="R70" s="60">
        <f t="shared" si="32"/>
        <v>-2</v>
      </c>
      <c r="S70" s="60">
        <f t="shared" si="33"/>
        <v>3</v>
      </c>
      <c r="T70" s="71">
        <f t="shared" si="34"/>
        <v>298004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2</v>
      </c>
      <c r="G71" s="13">
        <v>0</v>
      </c>
      <c r="H71" s="40" t="str">
        <f t="shared" si="30"/>
        <v>1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2</v>
      </c>
      <c r="K71" s="40">
        <f t="shared" si="31"/>
        <v>4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2</v>
      </c>
      <c r="N71" s="59" cm="1">
        <f t="array" ref="N71">SUMPRODUCT(--($C$4:$C$75="J"),--(($D$4:$D$75=L71)+($E$4:$E$75=L71)&gt;0),--($F$4:$F$75=$G$4:$G$75),--($F$4:$F$75&lt;&gt;""),--($G$4:$G$75&lt;&gt;""))</f>
        <v>0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5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4</v>
      </c>
      <c r="R71" s="60">
        <f t="shared" si="32"/>
        <v>1</v>
      </c>
      <c r="S71" s="60">
        <f t="shared" si="33"/>
        <v>6</v>
      </c>
      <c r="T71" s="71">
        <f t="shared" si="34"/>
        <v>601005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3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0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3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0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13</v>
      </c>
      <c r="R72" s="60">
        <f t="shared" si="32"/>
        <v>-13</v>
      </c>
      <c r="S72" s="60">
        <f t="shared" si="33"/>
        <v>0</v>
      </c>
      <c r="T72" s="71">
        <f t="shared" si="34"/>
        <v>-13000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3</v>
      </c>
      <c r="G73" s="13">
        <v>0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2</v>
      </c>
      <c r="J73" s="40">
        <f>IF(OR(H73="",'📊 Resultat &amp; Tabell'!M74=""),"",IF(H73='📊 Resultat &amp; Tabell'!M74,2,0))</f>
        <v>0</v>
      </c>
      <c r="K73" s="40">
        <f t="shared" si="31"/>
        <v>2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4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2</v>
      </c>
      <c r="H75" s="40" t="str">
        <f t="shared" si="30"/>
        <v>X</v>
      </c>
      <c r="I75" s="40">
        <f>IF(OR(F75="",G75="",'📊 Resultat &amp; Tabell'!K76="",'📊 Resultat &amp; Tabell'!L76=""),"",IF(F75='📊 Resultat &amp; Tabell'!K76,2,0)+IF(G75='📊 Resultat &amp; Tabell'!L76,2,0))</f>
        <v>2</v>
      </c>
      <c r="J75" s="40">
        <f>IF(OR(H75="",'📊 Resultat &amp; Tabell'!M76=""),"",IF(H75='📊 Resultat &amp; Tabell'!M76,2,0))</f>
        <v>0</v>
      </c>
      <c r="K75" s="40">
        <f t="shared" si="31"/>
        <v>2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1</v>
      </c>
      <c r="G76" s="13">
        <v>3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0</v>
      </c>
      <c r="J76" s="40">
        <f>IF(OR(H76="",'📊 Resultat &amp; Tabell'!M77=""),"",IF(H76='📊 Resultat &amp; Tabell'!M77,2,0))</f>
        <v>2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3</v>
      </c>
      <c r="N76" s="59" cm="1">
        <f t="array" ref="N76">SUMPRODUCT(--($C$4:$C$75="K"),--(($D$4:$D$75=L76)+($E$4:$E$75=L76)&gt;0),--($F$4:$F$75=$G$4:$G$75),--($F$4:$F$75&lt;&gt;""),--($G$4:$G$75&lt;&gt;""))</f>
        <v>0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8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1</v>
      </c>
      <c r="R76" s="60">
        <f t="shared" ref="R76:R79" si="35">P76-Q76</f>
        <v>7</v>
      </c>
      <c r="S76" s="60">
        <f t="shared" ref="S76:S79" si="36">M76*3+N76</f>
        <v>9</v>
      </c>
      <c r="T76" s="71">
        <f t="shared" ref="T76:T79" si="37">S76*100000+R76*1000+P76</f>
        <v>907008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3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2</v>
      </c>
      <c r="J77" s="40">
        <f>IF(OR(H77="",'📊 Resultat &amp; Tabell'!M78=""),"",IF(H77='📊 Resultat &amp; Tabell'!M78,2,0))</f>
        <v>2</v>
      </c>
      <c r="K77" s="40">
        <f t="shared" si="31"/>
        <v>4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1</v>
      </c>
      <c r="N77" s="59" cm="1">
        <f t="array" ref="N77">SUMPRODUCT(--($C$4:$C$75="K"),--(($D$4:$D$75=L77)+($E$4:$E$75=L77)&gt;0),--($F$4:$F$75=$G$4:$G$75),--($F$4:$F$75&lt;&gt;""),--($G$4:$G$75&lt;&gt;""))</f>
        <v>0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4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5</v>
      </c>
      <c r="R77" s="60">
        <f t="shared" si="35"/>
        <v>-1</v>
      </c>
      <c r="S77" s="60">
        <f t="shared" si="36"/>
        <v>3</v>
      </c>
      <c r="T77" s="71">
        <f t="shared" si="37"/>
        <v>299004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5</v>
      </c>
      <c r="G78" s="13">
        <v>0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0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3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0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9</v>
      </c>
      <c r="R78" s="60">
        <f t="shared" si="35"/>
        <v>-9</v>
      </c>
      <c r="S78" s="60">
        <f t="shared" si="36"/>
        <v>0</v>
      </c>
      <c r="T78" s="71">
        <f t="shared" si="37"/>
        <v>-9000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2</v>
      </c>
      <c r="G79" s="13">
        <v>2</v>
      </c>
      <c r="H79" s="40" t="str">
        <f t="shared" si="30"/>
        <v>X</v>
      </c>
      <c r="I79" s="40">
        <f>IF(OR(F79="",G79="",'📊 Resultat &amp; Tabell'!K80="",'📊 Resultat &amp; Tabell'!L80=""),"",IF(F79='📊 Resultat &amp; Tabell'!K80,2,0)+IF(G79='📊 Resultat &amp; Tabell'!L80,2,0))</f>
        <v>0</v>
      </c>
      <c r="J79" s="40">
        <f>IF(OR(H79="",'📊 Resultat &amp; Tabell'!M80=""),"",IF(H79='📊 Resultat &amp; Tabell'!M80,2,0))</f>
        <v>2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0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1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6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3</v>
      </c>
      <c r="R79" s="60">
        <f t="shared" si="35"/>
        <v>3</v>
      </c>
      <c r="S79" s="60">
        <f t="shared" si="36"/>
        <v>6</v>
      </c>
      <c r="T79" s="71">
        <f t="shared" si="37"/>
        <v>603006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/>
      <c r="G80" s="13"/>
      <c r="H80" s="40" t="str">
        <f t="shared" si="30"/>
        <v/>
      </c>
      <c r="I80" s="40" t="str">
        <f>IF(OR(F80="",G80="",'📊 Resultat &amp; Tabell'!K81="",'📊 Resultat &amp; Tabell'!L81=""),"",IF(F80='📊 Resultat &amp; Tabell'!K81,2,0)+IF(G80='📊 Resultat &amp; Tabell'!L81,2,0))</f>
        <v/>
      </c>
      <c r="J80" s="40" t="str">
        <f>IF(OR(H80="",'📊 Resultat &amp; Tabell'!M81=""),"",IF(H80='📊 Resultat &amp; Tabell'!M81,2,0))</f>
        <v/>
      </c>
      <c r="K80" s="40" t="str">
        <f t="shared" si="31"/>
        <v/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5</v>
      </c>
      <c r="G81" s="13">
        <v>2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0</v>
      </c>
      <c r="J81" s="40">
        <f>IF(OR(H81="",'📊 Resultat &amp; Tabell'!M82=""),"",IF(H81='📊 Resultat &amp; Tabell'!M82,2,0))</f>
        <v>2</v>
      </c>
      <c r="K81" s="40">
        <f t="shared" si="31"/>
        <v>2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2</v>
      </c>
      <c r="G82" s="13">
        <v>0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4</v>
      </c>
      <c r="J82" s="40">
        <f>IF(OR(H82="",'📊 Resultat &amp; Tabell'!M83=""),"",IF(H82='📊 Resultat &amp; Tabell'!M83,2,0))</f>
        <v>2</v>
      </c>
      <c r="K82" s="40">
        <f t="shared" si="31"/>
        <v>6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4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9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1</v>
      </c>
      <c r="R83" s="60">
        <f t="shared" ref="R83:R86" si="38">P83-Q83</f>
        <v>8</v>
      </c>
      <c r="S83" s="60">
        <f t="shared" ref="S83:S86" si="39">M83*3+N83</f>
        <v>9</v>
      </c>
      <c r="T83" s="71">
        <f t="shared" ref="T83:T86" si="40">S83*100000+R83*1000+P83</f>
        <v>908009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1</v>
      </c>
      <c r="G84" s="13">
        <v>2</v>
      </c>
      <c r="H84" s="40" t="str">
        <f t="shared" si="30"/>
        <v>2</v>
      </c>
      <c r="I84" s="40">
        <f>IF(OR(F84="",G84="",'📊 Resultat &amp; Tabell'!K85="",'📊 Resultat &amp; Tabell'!L85=""),"",IF(F84='📊 Resultat &amp; Tabell'!K85,2,0)+IF(G84='📊 Resultat &amp; Tabell'!L85,2,0))</f>
        <v>2</v>
      </c>
      <c r="J84" s="40">
        <f>IF(OR(H84="",'📊 Resultat &amp; Tabell'!M85=""),"",IF(H84='📊 Resultat &amp; Tabell'!M85,2,0))</f>
        <v>0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1</v>
      </c>
      <c r="N84" s="59" cm="1">
        <f t="array" ref="N84">SUMPRODUCT(--($C$4:$C$75="L"),--(($D$4:$D$75=L84)+($E$4:$E$75=L84)&gt;0),--($F$4:$F$75=$G$4:$G$75),--($F$4:$F$75&lt;&gt;""),--($G$4:$G$75&lt;&gt;""))</f>
        <v>1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6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4</v>
      </c>
      <c r="R84" s="60">
        <f t="shared" si="38"/>
        <v>2</v>
      </c>
      <c r="S84" s="60">
        <f t="shared" si="39"/>
        <v>4</v>
      </c>
      <c r="T84" s="71">
        <f t="shared" si="40"/>
        <v>402006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3</v>
      </c>
      <c r="G85" s="13">
        <v>1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0</v>
      </c>
      <c r="J85" s="40">
        <f>IF(OR(H85="",'📊 Resultat &amp; Tabell'!M86=""),"",IF(H85='📊 Resultat &amp; Tabell'!M86,2,0))</f>
        <v>2</v>
      </c>
      <c r="K85" s="40">
        <f t="shared" si="31"/>
        <v>2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1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1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4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5</v>
      </c>
      <c r="R85" s="60">
        <f t="shared" si="38"/>
        <v>-1</v>
      </c>
      <c r="S85" s="60">
        <f t="shared" si="39"/>
        <v>4</v>
      </c>
      <c r="T85" s="71">
        <f t="shared" si="40"/>
        <v>399004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2</v>
      </c>
      <c r="G86" s="13">
        <v>0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2</v>
      </c>
      <c r="J86" s="40">
        <f>IF(OR(H86="",'📊 Resultat &amp; Tabell'!M87=""),"",IF(H86='📊 Resultat &amp; Tabell'!M87,2,0))</f>
        <v>2</v>
      </c>
      <c r="K86" s="40">
        <f t="shared" si="31"/>
        <v>4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0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3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0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9</v>
      </c>
      <c r="R86" s="60">
        <f t="shared" si="38"/>
        <v>-9</v>
      </c>
      <c r="S86" s="60">
        <f t="shared" si="39"/>
        <v>0</v>
      </c>
      <c r="T86" s="71">
        <f t="shared" si="40"/>
        <v>-9000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/>
      <c r="G87" s="13"/>
      <c r="H87" s="40" t="str">
        <f t="shared" si="30"/>
        <v/>
      </c>
      <c r="I87" s="40" t="str">
        <f>IF(OR(F87="",G87="",'📊 Resultat &amp; Tabell'!K88="",'📊 Resultat &amp; Tabell'!L88=""),"",IF(F87='📊 Resultat &amp; Tabell'!K88,2,0)+IF(G87='📊 Resultat &amp; Tabell'!L88,2,0))</f>
        <v/>
      </c>
      <c r="J87" s="40" t="str">
        <f>IF(OR(H87="",'📊 Resultat &amp; Tabell'!M88=""),"",IF(H87='📊 Resultat &amp; Tabell'!M88,2,0))</f>
        <v/>
      </c>
      <c r="K87" s="40" t="str">
        <f t="shared" si="31"/>
        <v/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/>
      <c r="G88" s="13"/>
      <c r="H88" s="40" t="str">
        <f t="shared" si="30"/>
        <v/>
      </c>
      <c r="I88" s="40" t="str">
        <f>IF(OR(F88="",G88="",'📊 Resultat &amp; Tabell'!K89="",'📊 Resultat &amp; Tabell'!L89=""),"",IF(F88='📊 Resultat &amp; Tabell'!K89,2,0)+IF(G88='📊 Resultat &amp; Tabell'!L89,2,0))</f>
        <v/>
      </c>
      <c r="J88" s="40" t="str">
        <f>IF(OR(H88="",'📊 Resultat &amp; Tabell'!M89=""),"",IF(H88='📊 Resultat &amp; Tabell'!M89,2,0))</f>
        <v/>
      </c>
      <c r="K88" s="40" t="str">
        <f t="shared" si="31"/>
        <v/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/>
      <c r="G89" s="13"/>
      <c r="H89" s="40" t="str">
        <f t="shared" si="30"/>
        <v/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4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0</v>
      </c>
      <c r="G91" s="13">
        <v>1</v>
      </c>
      <c r="H91" s="40" t="str">
        <f t="shared" si="30"/>
        <v>2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>
        <v>1</v>
      </c>
      <c r="G92" s="13">
        <v>2</v>
      </c>
      <c r="H92" s="40" t="str">
        <f t="shared" si="30"/>
        <v>2</v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>
        <v>0</v>
      </c>
      <c r="G93" s="13">
        <v>5</v>
      </c>
      <c r="H93" s="40" t="str">
        <f t="shared" si="30"/>
        <v>2</v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>
        <v>3</v>
      </c>
      <c r="G94" s="13">
        <v>1</v>
      </c>
      <c r="H94" s="40" t="str">
        <f t="shared" si="30"/>
        <v>1</v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>
        <v>2</v>
      </c>
      <c r="G95" s="13">
        <v>2</v>
      </c>
      <c r="H95" s="40" t="str">
        <f t="shared" si="30"/>
        <v>X</v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>
        <v>1</v>
      </c>
      <c r="G96" s="13">
        <v>2</v>
      </c>
      <c r="H96" s="40" t="str">
        <f t="shared" si="30"/>
        <v>2</v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>
        <v>2</v>
      </c>
      <c r="G97" s="13">
        <v>2</v>
      </c>
      <c r="H97" s="40" t="str">
        <f t="shared" si="30"/>
        <v>X</v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 t="str">
        <f>IF(OR(F88="",G88=""),"",IF(F88&gt;G88,D88,IF(F88&lt;G88,E88,"")))</f>
        <v/>
      </c>
      <c r="E99" s="78" t="str">
        <f>IF(OR(F90="",G90=""),"",IF(F90&gt;G90,D90,IF(F90&lt;G90,E90,"")))</f>
        <v>Argentina</v>
      </c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81"/>
      <c r="E100" s="81"/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8"/>
      <c r="E101" s="78"/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81"/>
      <c r="E102" s="81"/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8"/>
      <c r="E103" s="78"/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81"/>
      <c r="E104" s="81"/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5"/>
      <c r="E105" s="78"/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76"/>
      <c r="E106" s="76"/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5"/>
      <c r="E107" s="78"/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178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298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299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178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55428115-E290-4228-A6C6-9A21321910FD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E3518261-3D87-4CD2-A790-6CE5C79CD22E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05AC871A-08E3-41E0-8F50-D536FCDCAA5D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647E1E8F-E637-4F35-955C-4736AC414FE0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BECA1857-D1F1-4E19-BF72-16D2BAB66105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2EF33313-882F-47C8-9212-BC1697404558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588089FD-7424-4119-9717-6B601747A699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77C8EACA-FD06-40F3-9AF5-640CEF7F6B7C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E57727A6-116C-4154-87D9-40F95B467FAA}"/>
  </hyperlinks>
  <pageMargins left="0.7" right="0.7" top="0.75" bottom="0.75" header="0.3" footer="0.3"/>
  <tableParts count="1">
    <tablePart r:id="rId9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0B3E-C51A-4662-A1FA-E9D6A6026B19}">
  <dimension ref="A1:AN116"/>
  <sheetViews>
    <sheetView topLeftCell="A81" workbookViewId="0">
      <selection activeCell="D92" sqref="D92:E99"/>
    </sheetView>
  </sheetViews>
  <sheetFormatPr defaultRowHeight="15"/>
  <cols>
    <col min="1" max="1" width="16" bestFit="1" customWidth="1"/>
    <col min="2" max="2" width="17" customWidth="1"/>
    <col min="3" max="3" width="8" customWidth="1"/>
    <col min="4" max="4" width="20" customWidth="1"/>
    <col min="5" max="5" width="21.7109375" bestFit="1" customWidth="1"/>
    <col min="6" max="6" width="14.42578125" customWidth="1"/>
    <col min="7" max="7" width="15.42578125" customWidth="1"/>
    <col min="8" max="8" width="9" customWidth="1"/>
    <col min="9" max="9" width="19.42578125" customWidth="1"/>
    <col min="10" max="10" width="18.5703125" customWidth="1"/>
    <col min="11" max="11" width="20.85546875" customWidth="1"/>
    <col min="12" max="12" width="18" customWidth="1"/>
    <col min="14" max="14" width="20" customWidth="1"/>
    <col min="15" max="19" width="8" customWidth="1"/>
    <col min="20" max="20" width="10.28515625" customWidth="1"/>
    <col min="21" max="21" width="8" customWidth="1"/>
  </cols>
  <sheetData>
    <row r="1" spans="1:40" ht="27.95" customHeight="1">
      <c r="A1" s="174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 ht="21.95" customHeight="1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1</v>
      </c>
      <c r="G4" s="13">
        <v>0</v>
      </c>
      <c r="H4" s="40" t="str">
        <f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2</v>
      </c>
      <c r="J4" s="40">
        <f>IF(OR(H4="",'📊 Resultat &amp; Tabell'!M5=""),"",IF(H4='📊 Resultat &amp; Tabell'!M5,2,0))</f>
        <v>2</v>
      </c>
      <c r="K4" s="40">
        <f t="shared" ref="K4:K67" si="0">IF(AND(I4="",J4=""),"",N(I4)+N(J4))</f>
        <v>4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Sydkorea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Tjeckien</v>
      </c>
      <c r="AA4" s="72">
        <f>IF(COUNTIFS($C$4:$C$75,"A",$F$4:$F$75,"&lt;&gt;",$G$4:$G$75,"&lt;&gt;")=0,"",IFERROR(LARGE($T$6:$T$9,3),""))</f>
        <v>401004</v>
      </c>
      <c r="AB4" s="72">
        <f>IF(AA4="","",_xlfn.RANK.EQ(AA4,$AA$4:$AA$15,0))</f>
        <v>2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1</v>
      </c>
      <c r="H5" s="40" t="str">
        <f t="shared" ref="H4:H67" si="1">IF(OR(F5="",G5=""),"",IF(F5&gt;G5,"1",IF(F5&lt;G5,"2","X")))</f>
        <v>X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0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Schweiz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299002.00014000002</v>
      </c>
      <c r="AB5" s="72">
        <f t="shared" ref="AB5:AB15" si="2">IF(AA5="","",_xlfn.RANK.EQ(AA5,$AA$4:$AA$15,0))</f>
        <v>6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3</v>
      </c>
      <c r="G6" s="13">
        <v>1</v>
      </c>
      <c r="H6" s="40" t="str">
        <f t="shared" si="1"/>
        <v>1</v>
      </c>
      <c r="I6" s="40">
        <f>IF(OR(F6="",G6="",'📊 Resultat &amp; Tabell'!K7="",'📊 Resultat &amp; Tabell'!L7=""),"",IF(F6='📊 Resultat &amp; Tabell'!K7,2,0)+IF(G6='📊 Resultat &amp; Tabell'!L7,2,0))</f>
        <v>2</v>
      </c>
      <c r="J6" s="40">
        <f>IF(OR(H6="",'📊 Resultat &amp; Tabell'!M7=""),"",IF(H6='📊 Resultat &amp; Tabell'!M7,2,0))</f>
        <v>0</v>
      </c>
      <c r="K6" s="40">
        <f t="shared" si="0"/>
        <v>2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3</v>
      </c>
      <c r="N6" s="59" cm="1">
        <f t="array" ref="N6">SUMPRODUCT(--($C$4:$C$75="A"),--(($D$4:$D$75=L6)+($E$4:$E$75=L6)&gt;0),--($F$4:$F$75=$G$4:$G$75),--($F$4:$F$75&lt;&gt;""),--($G$4:$G$75&lt;&gt;""))</f>
        <v>0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4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1</v>
      </c>
      <c r="R6" s="60">
        <f>P6-Q6</f>
        <v>3</v>
      </c>
      <c r="S6" s="60">
        <f>M6*3+N6</f>
        <v>9</v>
      </c>
      <c r="T6" s="71">
        <f>S6*100000+R6*1000+P6</f>
        <v>903004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Marocko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Skottland</v>
      </c>
      <c r="AA6" s="72" cm="1">
        <f t="array" ref="AA6">IF(COUNTIFS($C$4:$C$75,"C",$F$4:$F$75,"&lt;&gt;",$G$4:$G$75,"&lt;&gt;")=0,"",LARGE($T$20:$T$23+ROW($T$20:$T$23)/100000,3))</f>
        <v>301006.00023000001</v>
      </c>
      <c r="AB6" s="72">
        <f t="shared" si="2"/>
        <v>5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1</v>
      </c>
      <c r="H7" s="40" t="str">
        <f t="shared" si="1"/>
        <v>1</v>
      </c>
      <c r="I7" s="40">
        <f>IF(OR(F7="",G7="",'📊 Resultat &amp; Tabell'!K8="",'📊 Resultat &amp; Tabell'!L8=""),"",IF(F7='📊 Resultat &amp; Tabell'!K8,2,0)+IF(G7='📊 Resultat &amp; Tabell'!L8,2,0))</f>
        <v>0</v>
      </c>
      <c r="J7" s="40">
        <f>IF(OR(H7="",'📊 Resultat &amp; Tabell'!M8=""),"",IF(H7='📊 Resultat &amp; Tabell'!M8,2,0))</f>
        <v>2</v>
      </c>
      <c r="K7" s="40">
        <f t="shared" si="0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3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2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7</v>
      </c>
      <c r="R7" s="60">
        <f t="shared" ref="R7:R9" si="3">P7-Q7</f>
        <v>-5</v>
      </c>
      <c r="S7" s="60">
        <f t="shared" ref="S7:S9" si="4">M7*3+N7</f>
        <v>0</v>
      </c>
      <c r="T7" s="71">
        <f t="shared" ref="T7:T9" si="5">S7*100000+R7*1000+P7</f>
        <v>-4998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Turkiet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Paraguay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Australien</v>
      </c>
      <c r="AA7" s="72" cm="1">
        <f t="array" ref="AA7">IF(COUNTIFS($C$4:$C$75,"D",$F$4:$F$75,"&lt;&gt;",$G$4:$G$75,"&lt;&gt;")=0,"",LARGE($T$27:$T$30+ROW($T$27:$T$30)/100000,3))</f>
        <v>198002.00029</v>
      </c>
      <c r="AB7" s="72">
        <f t="shared" si="2"/>
        <v>8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0</v>
      </c>
      <c r="G8" s="13">
        <v>1</v>
      </c>
      <c r="H8" s="40" t="str">
        <f t="shared" si="1"/>
        <v>2</v>
      </c>
      <c r="I8" s="40">
        <f>IF(OR(F8="",G8="",'📊 Resultat &amp; Tabell'!K9="",'📊 Resultat &amp; Tabell'!L9=""),"",IF(F8='📊 Resultat &amp; Tabell'!K9,2,0)+IF(G8='📊 Resultat &amp; Tabell'!L9,2,0))</f>
        <v>2</v>
      </c>
      <c r="J8" s="40">
        <f>IF(OR(H8="",'📊 Resultat &amp; Tabell'!M9=""),"",IF(H8='📊 Resultat &amp; Tabell'!M9,2,0))</f>
        <v>2</v>
      </c>
      <c r="K8" s="40">
        <f t="shared" si="0"/>
        <v>4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1</v>
      </c>
      <c r="N8" s="59" cm="1">
        <f t="array" ref="N8">SUMPRODUCT(--($C$4:$C$75="A"),--(($D$4:$D$75=L8)+($E$4:$E$75=L8)&gt;0),--($F$4:$F$75=$G$4:$G$75),--($F$4:$F$75&lt;&gt;""),--($G$4:$G$75&lt;&gt;""))</f>
        <v>1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1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5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4</v>
      </c>
      <c r="R8" s="60">
        <f t="shared" si="3"/>
        <v>1</v>
      </c>
      <c r="S8" s="60">
        <f t="shared" si="4"/>
        <v>4</v>
      </c>
      <c r="T8" s="71">
        <f t="shared" si="5"/>
        <v>401005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503006.00036000001</v>
      </c>
      <c r="AB8" s="72">
        <f t="shared" si="2"/>
        <v>1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3</v>
      </c>
      <c r="H9" s="40" t="str">
        <f t="shared" si="1"/>
        <v>2</v>
      </c>
      <c r="I9" s="40">
        <f>IF(OR(F9="",G9="",'📊 Resultat &amp; Tabell'!K10="",'📊 Resultat &amp; Tabell'!L10=""),"",IF(F9='📊 Resultat &amp; Tabell'!K10,2,0)+IF(G9='📊 Resultat &amp; Tabell'!L10,2,0))</f>
        <v>2</v>
      </c>
      <c r="J9" s="40">
        <f>IF(OR(H9="",'📊 Resultat &amp; Tabell'!M10=""),"",IF(H9='📊 Resultat &amp; Tabell'!M10,2,0))</f>
        <v>0</v>
      </c>
      <c r="K9" s="40">
        <f t="shared" si="0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1</v>
      </c>
      <c r="N9" s="59" cm="1">
        <f t="array" ref="N9">SUMPRODUCT(--($C$4:$C$75="A"),--(($D$4:$D$75=L9)+($E$4:$E$75=L9)&gt;0),--($F$4:$F$75=$G$4:$G$75),--($F$4:$F$75&lt;&gt;""),--($G$4:$G$75&lt;&gt;""))</f>
        <v>1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4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3</v>
      </c>
      <c r="R9" s="60">
        <f t="shared" si="3"/>
        <v>1</v>
      </c>
      <c r="S9" s="60">
        <f t="shared" si="4"/>
        <v>4</v>
      </c>
      <c r="T9" s="71">
        <f t="shared" si="5"/>
        <v>401004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Japan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Nederländerna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Sverige</v>
      </c>
      <c r="AA9" s="72" cm="1">
        <f t="array" ref="AA9">IF(COUNTIFS($C$4:$C$75,"F",$F$4:$F$75,"&lt;&gt;",$G$4:$G$75,"&lt;&gt;")=0,"",LARGE($T$41:$T$44+ROW($T$41:$T$44)/100000,3))</f>
        <v>400004.00043000001</v>
      </c>
      <c r="AB9" s="72">
        <f t="shared" si="2"/>
        <v>3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2</v>
      </c>
      <c r="G10" s="13">
        <v>0</v>
      </c>
      <c r="H10" s="40" t="str">
        <f t="shared" si="1"/>
        <v>1</v>
      </c>
      <c r="I10" s="40">
        <f>IF(OR(F10="",G10="",'📊 Resultat &amp; Tabell'!K11="",'📊 Resultat &amp; Tabell'!L11=""),"",IF(F10='📊 Resultat &amp; Tabell'!K11,2,0)+IF(G10='📊 Resultat &amp; Tabell'!L11,2,0))</f>
        <v>0</v>
      </c>
      <c r="J10" s="40">
        <f>IF(OR(H10="",'📊 Resultat &amp; Tabell'!M11=""),"",IF(H10='📊 Resultat &amp; Tabell'!M11,2,0))</f>
        <v>0</v>
      </c>
      <c r="K10" s="40">
        <f t="shared" si="0"/>
        <v>0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95002.000499999995</v>
      </c>
      <c r="AB10" s="72">
        <f t="shared" si="2"/>
        <v>12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0</v>
      </c>
      <c r="G11" s="13">
        <v>3</v>
      </c>
      <c r="H11" s="40" t="str">
        <f t="shared" si="1"/>
        <v>2</v>
      </c>
      <c r="I11" s="40">
        <f>IF(OR(F11="",G11="",'📊 Resultat &amp; Tabell'!K12="",'📊 Resultat &amp; Tabell'!L12=""),"",IF(F11='📊 Resultat &amp; Tabell'!K12,2,0)+IF(G11='📊 Resultat &amp; Tabell'!L12,2,0))</f>
        <v>0</v>
      </c>
      <c r="J11" s="40">
        <f>IF(OR(H11="",'📊 Resultat &amp; Tabell'!M12=""),"",IF(H11='📊 Resultat &amp; Tabell'!M12,2,0))</f>
        <v>0</v>
      </c>
      <c r="K11" s="40">
        <f t="shared" si="0"/>
        <v>0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97003.000570000004</v>
      </c>
      <c r="AB11" s="72">
        <f t="shared" si="2"/>
        <v>11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1</v>
      </c>
      <c r="G12" s="13">
        <v>0</v>
      </c>
      <c r="H12" s="40" t="str">
        <f t="shared" si="1"/>
        <v>1</v>
      </c>
      <c r="I12" s="40">
        <f>IF(OR(F12="",G12="",'📊 Resultat &amp; Tabell'!K13="",'📊 Resultat &amp; Tabell'!L13=""),"",IF(F12='📊 Resultat &amp; Tabell'!K13,2,0)+IF(G12='📊 Resultat &amp; Tabell'!L13,2,0))</f>
        <v>0</v>
      </c>
      <c r="J12" s="40">
        <f>IF(OR(H12="",'📊 Resultat &amp; Tabell'!M13=""),"",IF(H12='📊 Resultat &amp; Tabell'!M13,2,0))</f>
        <v>2</v>
      </c>
      <c r="K12" s="40">
        <f t="shared" si="0"/>
        <v>2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Norge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Frankrike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98003.000629999995</v>
      </c>
      <c r="AB12" s="72">
        <f t="shared" si="2"/>
        <v>9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0</v>
      </c>
      <c r="H13" s="40" t="str">
        <f t="shared" si="1"/>
        <v>1</v>
      </c>
      <c r="I13" s="40">
        <f>IF(OR(F13="",G13="",'📊 Resultat &amp; Tabell'!K14="",'📊 Resultat &amp; Tabell'!L14=""),"",IF(F13='📊 Resultat &amp; Tabell'!K14,2,0)+IF(G13='📊 Resultat &amp; Tabell'!L14,2,0))</f>
        <v>2</v>
      </c>
      <c r="J13" s="40">
        <f>IF(OR(H13="",'📊 Resultat &amp; Tabell'!M14=""),"",IF(H13='📊 Resultat &amp; Tabell'!M14,2,0))</f>
        <v>2</v>
      </c>
      <c r="K13" s="40">
        <f t="shared" si="0"/>
        <v>4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2</v>
      </c>
      <c r="N13" s="59" cm="1">
        <f t="array" ref="N13">SUMPRODUCT(--($C$4:$C$75="B"),--(($D$4:$D$75=L13)+($E$4:$E$75=L13)&gt;0),--($F$4:$F$75=$G$4:$G$75),--($F$4:$F$75&lt;&gt;""),--($G$4:$G$75&lt;&gt;""))</f>
        <v>1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5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1</v>
      </c>
      <c r="R13" s="60">
        <f>P13-Q13</f>
        <v>4</v>
      </c>
      <c r="S13" s="60">
        <f>M13*3+N13</f>
        <v>7</v>
      </c>
      <c r="T13" s="71">
        <f>S13*100000+R13*1000+P13</f>
        <v>704005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399003.00069999998</v>
      </c>
      <c r="AB13" s="72">
        <f t="shared" si="2"/>
        <v>4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1</v>
      </c>
      <c r="H14" s="40" t="str">
        <f t="shared" si="1"/>
        <v>X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0</v>
      </c>
      <c r="K14" s="40">
        <f t="shared" si="0"/>
        <v>2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0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2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2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3</v>
      </c>
      <c r="R14" s="60">
        <f t="shared" ref="R14:R16" si="6">P14-Q14</f>
        <v>-1</v>
      </c>
      <c r="S14" s="60">
        <f t="shared" ref="S14:S16" si="7">M14*3+N14</f>
        <v>3</v>
      </c>
      <c r="T14" s="71">
        <f t="shared" ref="T14:T16" si="8">S14*100000+R14*1000+P14</f>
        <v>299002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Uzbekistan</v>
      </c>
      <c r="AA14" s="72" cm="1">
        <f t="array" ref="AA14">IF(COUNTIFS($C$4:$C$75,"K",$F$4:$F$75,"&lt;&gt;",$G$4:$G$75,"&lt;&gt;")=0,"",LARGE($T$76:$T$79+ROW($T$76:$T$79)/100000,3))</f>
        <v>198002.00078</v>
      </c>
      <c r="AB14" s="72">
        <f t="shared" si="2"/>
        <v>7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0</v>
      </c>
      <c r="H15" s="40" t="str">
        <f t="shared" si="1"/>
        <v>1</v>
      </c>
      <c r="I15" s="40">
        <f>IF(OR(F15="",G15="",'📊 Resultat &amp; Tabell'!K16="",'📊 Resultat &amp; Tabell'!L16=""),"",IF(F15='📊 Resultat &amp; Tabell'!K16,2,0)+IF(G15='📊 Resultat &amp; Tabell'!L16,2,0))</f>
        <v>0</v>
      </c>
      <c r="J15" s="40">
        <f>IF(OR(H15="",'📊 Resultat &amp; Tabell'!M16=""),"",IF(H15='📊 Resultat &amp; Tabell'!M16,2,0))</f>
        <v>2</v>
      </c>
      <c r="K15" s="40">
        <f t="shared" si="0"/>
        <v>2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0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7</v>
      </c>
      <c r="R15" s="60">
        <f t="shared" si="6"/>
        <v>-7</v>
      </c>
      <c r="S15" s="60">
        <f t="shared" si="7"/>
        <v>0</v>
      </c>
      <c r="T15" s="71">
        <f t="shared" si="8"/>
        <v>-7000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Kroatien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England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98002.000849999997</v>
      </c>
      <c r="AB15" s="72">
        <f t="shared" si="2"/>
        <v>10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2</v>
      </c>
      <c r="G16" s="13">
        <v>2</v>
      </c>
      <c r="H16" s="40" t="str">
        <f t="shared" si="1"/>
        <v>X</v>
      </c>
      <c r="I16" s="40">
        <f>IF(OR(F16="",G16="",'📊 Resultat &amp; Tabell'!K17="",'📊 Resultat &amp; Tabell'!L17=""),"",IF(F16='📊 Resultat &amp; Tabell'!K17,2,0)+IF(G16='📊 Resultat &amp; Tabell'!L17,2,0))</f>
        <v>0</v>
      </c>
      <c r="J16" s="40">
        <f>IF(OR(H16="",'📊 Resultat &amp; Tabell'!M17=""),"",IF(H16='📊 Resultat &amp; Tabell'!M17,2,0))</f>
        <v>2</v>
      </c>
      <c r="K16" s="40">
        <f t="shared" si="0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2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5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1</v>
      </c>
      <c r="R16" s="60">
        <f t="shared" si="6"/>
        <v>4</v>
      </c>
      <c r="S16" s="60">
        <f t="shared" si="7"/>
        <v>7</v>
      </c>
      <c r="T16" s="71">
        <f t="shared" si="8"/>
        <v>704005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4</v>
      </c>
      <c r="H17" s="40" t="str">
        <f t="shared" si="1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0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3</v>
      </c>
      <c r="H18" s="40" t="str">
        <f t="shared" si="1"/>
        <v>2</v>
      </c>
      <c r="I18" s="40">
        <f>IF(OR(F18="",G18="",'📊 Resultat &amp; Tabell'!K19="",'📊 Resultat &amp; Tabell'!L19=""),"",IF(F18='📊 Resultat &amp; Tabell'!K19,2,0)+IF(G18='📊 Resultat &amp; Tabell'!L19,2,0))</f>
        <v>0</v>
      </c>
      <c r="J18" s="40">
        <f>IF(OR(H18="",'📊 Resultat &amp; Tabell'!M19=""),"",IF(H18='📊 Resultat &amp; Tabell'!M19,2,0))</f>
        <v>2</v>
      </c>
      <c r="K18" s="40">
        <f t="shared" si="0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4</v>
      </c>
      <c r="G19" s="13">
        <v>0</v>
      </c>
      <c r="H19" s="40" t="str">
        <f t="shared" si="1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0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1</v>
      </c>
      <c r="G20" s="13">
        <v>2</v>
      </c>
      <c r="H20" s="40" t="str">
        <f t="shared" si="1"/>
        <v>2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2</v>
      </c>
      <c r="K20" s="40">
        <f t="shared" si="0"/>
        <v>2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2</v>
      </c>
      <c r="N20" s="59" cm="1">
        <f t="array" ref="N20">SUMPRODUCT(--($C$4:$C$75="C"),--(($D$4:$D$75=L20)+($E$4:$E$75=L20)&gt;0),--($F$4:$F$75=$G$4:$G$75),--($F$4:$F$75&lt;&gt;""),--($G$4:$G$75&lt;&gt;""))</f>
        <v>1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8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3</v>
      </c>
      <c r="R20" s="60">
        <f t="shared" ref="R20:R23" si="9">P20-Q20</f>
        <v>5</v>
      </c>
      <c r="S20" s="60">
        <f t="shared" ref="S20:S23" si="10">M20*3+N20</f>
        <v>7</v>
      </c>
      <c r="T20" s="71">
        <f t="shared" ref="T20:T23" si="11">S20*100000+R20*1000+P20</f>
        <v>705008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0</v>
      </c>
      <c r="H21" s="40" t="str">
        <f t="shared" si="1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0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2</v>
      </c>
      <c r="N21" s="59" cm="1">
        <f t="array" ref="N21">SUMPRODUCT(--($C$4:$C$75="C"),--(($D$4:$D$75=L21)+($E$4:$E$75=L21)&gt;0),--($F$4:$F$75=$G$4:$G$75),--($F$4:$F$75&lt;&gt;""),--($G$4:$G$75&lt;&gt;""))</f>
        <v>1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0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7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3</v>
      </c>
      <c r="R21" s="60">
        <f t="shared" si="9"/>
        <v>4</v>
      </c>
      <c r="S21" s="60">
        <f t="shared" si="10"/>
        <v>7</v>
      </c>
      <c r="T21" s="71">
        <f t="shared" si="11"/>
        <v>704007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1</v>
      </c>
      <c r="G22" s="13">
        <v>2</v>
      </c>
      <c r="H22" s="40" t="str">
        <f t="shared" si="1"/>
        <v>2</v>
      </c>
      <c r="I22" s="40">
        <f>IF(OR(F22="",G22="",'📊 Resultat &amp; Tabell'!K23="",'📊 Resultat &amp; Tabell'!L23=""),"",IF(F22='📊 Resultat &amp; Tabell'!K23,2,0)+IF(G22='📊 Resultat &amp; Tabell'!L23,2,0))</f>
        <v>0</v>
      </c>
      <c r="J22" s="40">
        <f>IF(OR(H22="",'📊 Resultat &amp; Tabell'!M23=""),"",IF(H22='📊 Resultat &amp; Tabell'!M23,2,0))</f>
        <v>0</v>
      </c>
      <c r="K22" s="40">
        <f t="shared" si="0"/>
        <v>0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10</v>
      </c>
      <c r="R22" s="60">
        <f t="shared" si="9"/>
        <v>-10</v>
      </c>
      <c r="S22" s="60">
        <f t="shared" si="10"/>
        <v>0</v>
      </c>
      <c r="T22" s="71">
        <f t="shared" si="11"/>
        <v>-10000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1</v>
      </c>
      <c r="H23" s="40" t="str">
        <f t="shared" si="1"/>
        <v>X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0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1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2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6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5</v>
      </c>
      <c r="R23" s="60">
        <f t="shared" si="9"/>
        <v>1</v>
      </c>
      <c r="S23" s="60">
        <f t="shared" si="10"/>
        <v>3</v>
      </c>
      <c r="T23" s="71">
        <f t="shared" si="11"/>
        <v>301006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2</v>
      </c>
      <c r="G24" s="13">
        <v>1</v>
      </c>
      <c r="H24" s="40" t="str">
        <f t="shared" si="1"/>
        <v>1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0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1</v>
      </c>
      <c r="G25" s="13">
        <v>1</v>
      </c>
      <c r="H25" s="40" t="str">
        <f t="shared" si="1"/>
        <v>X</v>
      </c>
      <c r="I25" s="40">
        <f>IF(OR(F25="",G25="",'📊 Resultat &amp; Tabell'!K26="",'📊 Resultat &amp; Tabell'!L26=""),"",IF(F25='📊 Resultat &amp; Tabell'!K26,2,0)+IF(G25='📊 Resultat &amp; Tabell'!L26,2,0))</f>
        <v>0</v>
      </c>
      <c r="J25" s="40">
        <f>IF(OR(H25="",'📊 Resultat &amp; Tabell'!M26=""),"",IF(H25='📊 Resultat &amp; Tabell'!M26,2,0))</f>
        <v>0</v>
      </c>
      <c r="K25" s="40">
        <f t="shared" si="0"/>
        <v>0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3</v>
      </c>
      <c r="G26" s="13">
        <v>1</v>
      </c>
      <c r="H26" s="40" t="str">
        <f t="shared" si="1"/>
        <v>1</v>
      </c>
      <c r="I26" s="40">
        <f>IF(OR(F26="",G26="",'📊 Resultat &amp; Tabell'!K27="",'📊 Resultat &amp; Tabell'!L27=""),"",IF(F26='📊 Resultat &amp; Tabell'!K27,2,0)+IF(G26='📊 Resultat &amp; Tabell'!L27,2,0))</f>
        <v>2</v>
      </c>
      <c r="J26" s="40">
        <f>IF(OR(H26="",'📊 Resultat &amp; Tabell'!M27=""),"",IF(H26='📊 Resultat &amp; Tabell'!M27,2,0))</f>
        <v>2</v>
      </c>
      <c r="K26" s="40">
        <f t="shared" si="0"/>
        <v>4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2</v>
      </c>
      <c r="G27" s="13">
        <v>0</v>
      </c>
      <c r="H27" s="40" t="str">
        <f t="shared" si="1"/>
        <v>1</v>
      </c>
      <c r="I27" s="40">
        <f>IF(OR(F27="",G27="",'📊 Resultat &amp; Tabell'!K28="",'📊 Resultat &amp; Tabell'!L28=""),"",IF(F27='📊 Resultat &amp; Tabell'!K28,2,0)+IF(G27='📊 Resultat &amp; Tabell'!L28,2,0))</f>
        <v>2</v>
      </c>
      <c r="J27" s="40">
        <f>IF(OR(H27="",'📊 Resultat &amp; Tabell'!M28=""),"",IF(H27='📊 Resultat &amp; Tabell'!M28,2,0))</f>
        <v>0</v>
      </c>
      <c r="K27" s="40">
        <f t="shared" si="0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0</v>
      </c>
      <c r="N27" s="59" cm="1">
        <f t="array" ref="N27">SUMPRODUCT(--($C$4:$C$75="D"),--(($D$4:$D$75=L27)+($E$4:$E$75=L27)&gt;0),--($F$4:$F$75=$G$4:$G$75),--($F$4:$F$75&lt;&gt;""),--($G$4:$G$75&lt;&gt;""))</f>
        <v>1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2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3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6</v>
      </c>
      <c r="R27" s="60">
        <f t="shared" ref="R27:R30" si="12">P27-Q27</f>
        <v>-3</v>
      </c>
      <c r="S27" s="60">
        <f t="shared" ref="S27:S30" si="13">M27*3+N27</f>
        <v>1</v>
      </c>
      <c r="T27" s="71">
        <f t="shared" ref="T27:T30" si="14">S27*100000+R27*1000+P27</f>
        <v>97003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5</v>
      </c>
      <c r="G28" s="13">
        <v>0</v>
      </c>
      <c r="H28" s="40" t="str">
        <f t="shared" si="1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0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2</v>
      </c>
      <c r="N28" s="59" cm="1">
        <f t="array" ref="N28">SUMPRODUCT(--($C$4:$C$75="D"),--(($D$4:$D$75=L28)+($E$4:$E$75=L28)&gt;0),--($F$4:$F$75=$G$4:$G$75),--($F$4:$F$75&lt;&gt;""),--($G$4:$G$75&lt;&gt;""))</f>
        <v>0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1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5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3</v>
      </c>
      <c r="R28" s="60">
        <f t="shared" si="12"/>
        <v>2</v>
      </c>
      <c r="S28" s="60">
        <f t="shared" si="13"/>
        <v>6</v>
      </c>
      <c r="T28" s="71">
        <f t="shared" si="14"/>
        <v>602005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2</v>
      </c>
      <c r="G29" s="13">
        <v>2</v>
      </c>
      <c r="H29" s="40" t="str">
        <f t="shared" si="1"/>
        <v>X</v>
      </c>
      <c r="I29" s="40">
        <f>IF(OR(F29="",G29="",'📊 Resultat &amp; Tabell'!K30="",'📊 Resultat &amp; Tabell'!L30=""),"",IF(F29='📊 Resultat &amp; Tabell'!K30,2,0)+IF(G29='📊 Resultat &amp; Tabell'!L30,2,0))</f>
        <v>0</v>
      </c>
      <c r="J29" s="40">
        <f>IF(OR(H29="",'📊 Resultat &amp; Tabell'!M30=""),"",IF(H29='📊 Resultat &amp; Tabell'!M30,2,0))</f>
        <v>0</v>
      </c>
      <c r="K29" s="40">
        <f t="shared" si="0"/>
        <v>0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2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2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4</v>
      </c>
      <c r="R29" s="60">
        <f t="shared" si="12"/>
        <v>-2</v>
      </c>
      <c r="S29" s="60">
        <f t="shared" si="13"/>
        <v>2</v>
      </c>
      <c r="T29" s="71">
        <f t="shared" si="14"/>
        <v>198002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3</v>
      </c>
      <c r="G30" s="13">
        <v>0</v>
      </c>
      <c r="H30" s="40" t="str">
        <f t="shared" si="1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0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2</v>
      </c>
      <c r="N30" s="59" cm="1">
        <f t="array" ref="N30">SUMPRODUCT(--($C$4:$C$75="D"),--(($D$4:$D$75=L30)+($E$4:$E$75=L30)&gt;0),--($F$4:$F$75=$G$4:$G$75),--($F$4:$F$75&lt;&gt;""),--($G$4:$G$75&lt;&gt;""))</f>
        <v>1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6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3</v>
      </c>
      <c r="R30" s="60">
        <f t="shared" si="12"/>
        <v>3</v>
      </c>
      <c r="S30" s="60">
        <f t="shared" si="13"/>
        <v>7</v>
      </c>
      <c r="T30" s="71">
        <f t="shared" si="14"/>
        <v>703006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1</v>
      </c>
      <c r="G31" s="13">
        <v>1</v>
      </c>
      <c r="H31" s="40" t="str">
        <f t="shared" si="1"/>
        <v>X</v>
      </c>
      <c r="I31" s="40">
        <f>IF(OR(F31="",G31="",'📊 Resultat &amp; Tabell'!K32="",'📊 Resultat &amp; Tabell'!L32=""),"",IF(F31='📊 Resultat &amp; Tabell'!K32,2,0)+IF(G31='📊 Resultat &amp; Tabell'!L32,2,0))</f>
        <v>2</v>
      </c>
      <c r="J31" s="40">
        <f>IF(OR(H31="",'📊 Resultat &amp; Tabell'!M32=""),"",IF(H31='📊 Resultat &amp; Tabell'!M32,2,0))</f>
        <v>0</v>
      </c>
      <c r="K31" s="40">
        <f t="shared" si="0"/>
        <v>2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1</v>
      </c>
      <c r="H32" s="40" t="str">
        <f t="shared" si="1"/>
        <v>X</v>
      </c>
      <c r="I32" s="40">
        <f>IF(OR(F32="",G32="",'📊 Resultat &amp; Tabell'!K33="",'📊 Resultat &amp; Tabell'!L33=""),"",IF(F32='📊 Resultat &amp; Tabell'!K33,2,0)+IF(G32='📊 Resultat &amp; Tabell'!L33,2,0))</f>
        <v>2</v>
      </c>
      <c r="J32" s="40">
        <f>IF(OR(H32="",'📊 Resultat &amp; Tabell'!M33=""),"",IF(H32='📊 Resultat &amp; Tabell'!M33,2,0))</f>
        <v>0</v>
      </c>
      <c r="K32" s="40">
        <f t="shared" si="0"/>
        <v>2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0</v>
      </c>
      <c r="G33" s="13">
        <v>3</v>
      </c>
      <c r="H33" s="40" t="str">
        <f t="shared" si="1"/>
        <v>2</v>
      </c>
      <c r="I33" s="40">
        <f>IF(OR(F33="",G33="",'📊 Resultat &amp; Tabell'!K34="",'📊 Resultat &amp; Tabell'!L34=""),"",IF(F33='📊 Resultat &amp; Tabell'!K34,2,0)+IF(G33='📊 Resultat &amp; Tabell'!L34,2,0))</f>
        <v>2</v>
      </c>
      <c r="J33" s="40">
        <f>IF(OR(H33="",'📊 Resultat &amp; Tabell'!M34=""),"",IF(H33='📊 Resultat &amp; Tabell'!M34,2,0))</f>
        <v>2</v>
      </c>
      <c r="K33" s="40">
        <f t="shared" si="0"/>
        <v>4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1</v>
      </c>
      <c r="G34" s="13">
        <v>2</v>
      </c>
      <c r="H34" s="40" t="str">
        <f t="shared" si="1"/>
        <v>2</v>
      </c>
      <c r="I34" s="40">
        <f>IF(OR(F34="",G34="",'📊 Resultat &amp; Tabell'!K35="",'📊 Resultat &amp; Tabell'!L35=""),"",IF(F34='📊 Resultat &amp; Tabell'!K35,2,0)+IF(G34='📊 Resultat &amp; Tabell'!L35,2,0))</f>
        <v>2</v>
      </c>
      <c r="J34" s="40">
        <f>IF(OR(H34="",'📊 Resultat &amp; Tabell'!M35=""),"",IF(H34='📊 Resultat &amp; Tabell'!M35,2,0))</f>
        <v>0</v>
      </c>
      <c r="K34" s="40">
        <f t="shared" si="0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1</v>
      </c>
      <c r="N34" s="59" cm="1">
        <f t="array" ref="N34">SUMPRODUCT(--($C$4:$C$75="E"),--(($D$4:$D$75=L34)+($E$4:$E$75=L34)&gt;0),--($F$4:$F$75=$G$4:$G$75),--($F$4:$F$75&lt;&gt;""),--($G$4:$G$75&lt;&gt;""))</f>
        <v>2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7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5</v>
      </c>
      <c r="S34" s="60">
        <f t="shared" ref="S34:S37" si="16">M34*3+N34</f>
        <v>5</v>
      </c>
      <c r="T34" s="71">
        <f t="shared" ref="T34:T37" si="17">S34*100000+R34*1000+P34</f>
        <v>505007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1</v>
      </c>
      <c r="H35" s="40" t="str">
        <f t="shared" si="1"/>
        <v>1</v>
      </c>
      <c r="I35" s="40">
        <f>IF(OR(F35="",G35="",'📊 Resultat &amp; Tabell'!K36="",'📊 Resultat &amp; Tabell'!L36=""),"",IF(F35='📊 Resultat &amp; Tabell'!K36,2,0)+IF(G35='📊 Resultat &amp; Tabell'!L36,2,0))</f>
        <v>2</v>
      </c>
      <c r="J35" s="40">
        <f>IF(OR(H35="",'📊 Resultat &amp; Tabell'!M36=""),"",IF(H35='📊 Resultat &amp; Tabell'!M36,2,0))</f>
        <v>2</v>
      </c>
      <c r="K35" s="40">
        <f t="shared" si="0"/>
        <v>4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0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11</v>
      </c>
      <c r="R35" s="60">
        <f t="shared" si="15"/>
        <v>-11</v>
      </c>
      <c r="S35" s="60">
        <f t="shared" si="16"/>
        <v>0</v>
      </c>
      <c r="T35" s="71">
        <f t="shared" si="17"/>
        <v>-11000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3</v>
      </c>
      <c r="G36" s="13">
        <v>0</v>
      </c>
      <c r="H36" s="40" t="str">
        <f t="shared" si="1"/>
        <v>1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0</v>
      </c>
      <c r="K36" s="40">
        <f t="shared" si="0"/>
        <v>0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2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0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6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3</v>
      </c>
      <c r="R36" s="60">
        <f t="shared" si="15"/>
        <v>3</v>
      </c>
      <c r="S36" s="60">
        <f t="shared" si="16"/>
        <v>5</v>
      </c>
      <c r="T36" s="71">
        <f t="shared" si="17"/>
        <v>503006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1</v>
      </c>
      <c r="G37" s="13">
        <v>1</v>
      </c>
      <c r="H37" s="40" t="str">
        <f t="shared" si="1"/>
        <v>X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0</v>
      </c>
      <c r="K37" s="40">
        <f t="shared" si="0"/>
        <v>2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2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0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6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3</v>
      </c>
      <c r="S37" s="60">
        <f t="shared" si="16"/>
        <v>5</v>
      </c>
      <c r="T37" s="71">
        <f t="shared" si="17"/>
        <v>503006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1</v>
      </c>
      <c r="G38" s="13">
        <v>3</v>
      </c>
      <c r="H38" s="40" t="str">
        <f t="shared" si="1"/>
        <v>2</v>
      </c>
      <c r="I38" s="40">
        <f>IF(OR(F38="",G38="",'📊 Resultat &amp; Tabell'!K39="",'📊 Resultat &amp; Tabell'!L39=""),"",IF(F38='📊 Resultat &amp; Tabell'!K39,2,0)+IF(G38='📊 Resultat &amp; Tabell'!L39,2,0))</f>
        <v>4</v>
      </c>
      <c r="J38" s="40">
        <f>IF(OR(H38="",'📊 Resultat &amp; Tabell'!M39=""),"",IF(H38='📊 Resultat &amp; Tabell'!M39,2,0))</f>
        <v>2</v>
      </c>
      <c r="K38" s="40">
        <f t="shared" si="0"/>
        <v>6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2</v>
      </c>
      <c r="G39" s="13">
        <v>1</v>
      </c>
      <c r="H39" s="40" t="str">
        <f t="shared" si="1"/>
        <v>1</v>
      </c>
      <c r="I39" s="40">
        <f>IF(OR(F39="",G39="",'📊 Resultat &amp; Tabell'!K40="",'📊 Resultat &amp; Tabell'!L40=""),"",IF(F39='📊 Resultat &amp; Tabell'!K40,2,0)+IF(G39='📊 Resultat &amp; Tabell'!L40,2,0))</f>
        <v>2</v>
      </c>
      <c r="J39" s="40">
        <f>IF(OR(H39="",'📊 Resultat &amp; Tabell'!M40=""),"",IF(H39='📊 Resultat &amp; Tabell'!M40,2,0))</f>
        <v>0</v>
      </c>
      <c r="K39" s="40">
        <f t="shared" si="0"/>
        <v>2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2</v>
      </c>
      <c r="G40" s="13">
        <v>1</v>
      </c>
      <c r="H40" s="40" t="str">
        <f t="shared" si="1"/>
        <v>1</v>
      </c>
      <c r="I40" s="40">
        <f>IF(OR(F40="",G40="",'📊 Resultat &amp; Tabell'!K41="",'📊 Resultat &amp; Tabell'!L41=""),"",IF(F40='📊 Resultat &amp; Tabell'!K41,2,0)+IF(G40='📊 Resultat &amp; Tabell'!L41,2,0))</f>
        <v>2</v>
      </c>
      <c r="J40" s="40">
        <f>IF(OR(H40="",'📊 Resultat &amp; Tabell'!M41=""),"",IF(H40='📊 Resultat &amp; Tabell'!M41,2,0))</f>
        <v>0</v>
      </c>
      <c r="K40" s="40">
        <f t="shared" si="0"/>
        <v>2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0</v>
      </c>
      <c r="G41" s="13">
        <v>0</v>
      </c>
      <c r="H41" s="40" t="str">
        <f t="shared" si="1"/>
        <v>X</v>
      </c>
      <c r="I41" s="40">
        <f>IF(OR(F41="",G41="",'📊 Resultat &amp; Tabell'!K42="",'📊 Resultat &amp; Tabell'!L42=""),"",IF(F41='📊 Resultat &amp; Tabell'!K42,2,0)+IF(G41='📊 Resultat &amp; Tabell'!L42,2,0))</f>
        <v>0</v>
      </c>
      <c r="J41" s="40">
        <f>IF(OR(H41="",'📊 Resultat &amp; Tabell'!M42=""),"",IF(H41='📊 Resultat &amp; Tabell'!M42,2,0))</f>
        <v>2</v>
      </c>
      <c r="K41" s="40">
        <f t="shared" si="0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1</v>
      </c>
      <c r="N41" s="59" cm="1">
        <f t="array" ref="N41">SUMPRODUCT(--($C$4:$C$75="F"),--(($D$4:$D$75=L41)+($E$4:$E$75=L41)&gt;0),--($F$4:$F$75=$G$4:$G$75),--($F$4:$F$75&lt;&gt;""),--($G$4:$G$75&lt;&gt;""))</f>
        <v>1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1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5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4</v>
      </c>
      <c r="R41" s="60">
        <f t="shared" ref="R41:R44" si="18">P41-Q41</f>
        <v>1</v>
      </c>
      <c r="S41" s="60">
        <f t="shared" ref="S41:S44" si="19">M41*3+N41</f>
        <v>4</v>
      </c>
      <c r="T41" s="71">
        <f t="shared" ref="T41:T44" si="20">S41*100000+R41*1000+P41</f>
        <v>401005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0</v>
      </c>
      <c r="G42" s="13">
        <v>3</v>
      </c>
      <c r="H42" s="40" t="str">
        <f t="shared" si="1"/>
        <v>2</v>
      </c>
      <c r="I42" s="40">
        <f>IF(OR(F42="",G42="",'📊 Resultat &amp; Tabell'!K43="",'📊 Resultat &amp; Tabell'!L43=""),"",IF(F42='📊 Resultat &amp; Tabell'!K43,2,0)+IF(G42='📊 Resultat &amp; Tabell'!L43,2,0))</f>
        <v>2</v>
      </c>
      <c r="J42" s="40">
        <f>IF(OR(H42="",'📊 Resultat &amp; Tabell'!M43=""),"",IF(H42='📊 Resultat &amp; Tabell'!M43,2,0))</f>
        <v>2</v>
      </c>
      <c r="K42" s="40">
        <f t="shared" si="0"/>
        <v>4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2</v>
      </c>
      <c r="N42" s="59" cm="1">
        <f t="array" ref="N42">SUMPRODUCT(--($C$4:$C$75="F"),--(($D$4:$D$75=L42)+($E$4:$E$75=L42)&gt;0),--($F$4:$F$75=$G$4:$G$75),--($F$4:$F$75&lt;&gt;""),--($G$4:$G$75&lt;&gt;""))</f>
        <v>0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4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5</v>
      </c>
      <c r="R42" s="60">
        <f t="shared" si="18"/>
        <v>-1</v>
      </c>
      <c r="S42" s="60">
        <f t="shared" si="19"/>
        <v>6</v>
      </c>
      <c r="T42" s="71">
        <f t="shared" si="20"/>
        <v>599004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5</v>
      </c>
      <c r="G43" s="13">
        <v>1</v>
      </c>
      <c r="H43" s="40" t="str">
        <f t="shared" si="1"/>
        <v>1</v>
      </c>
      <c r="I43" s="40">
        <f>IF(OR(F43="",G43="",'📊 Resultat &amp; Tabell'!K44="",'📊 Resultat &amp; Tabell'!L44=""),"",IF(F43='📊 Resultat &amp; Tabell'!K44,2,0)+IF(G43='📊 Resultat &amp; Tabell'!L44,2,0))</f>
        <v>0</v>
      </c>
      <c r="J43" s="40">
        <f>IF(OR(H43="",'📊 Resultat &amp; Tabell'!M44=""),"",IF(H43='📊 Resultat &amp; Tabell'!M44,2,0))</f>
        <v>0</v>
      </c>
      <c r="K43" s="40">
        <f t="shared" si="0"/>
        <v>0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4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4</v>
      </c>
      <c r="R43" s="60">
        <f t="shared" si="18"/>
        <v>0</v>
      </c>
      <c r="S43" s="60">
        <f t="shared" si="19"/>
        <v>4</v>
      </c>
      <c r="T43" s="71">
        <f t="shared" si="20"/>
        <v>400004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6</v>
      </c>
      <c r="H44" s="40" t="str">
        <f t="shared" si="1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0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1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2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5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5</v>
      </c>
      <c r="R44" s="60">
        <f t="shared" si="18"/>
        <v>0</v>
      </c>
      <c r="S44" s="60">
        <f t="shared" si="19"/>
        <v>3</v>
      </c>
      <c r="T44" s="71">
        <f t="shared" si="20"/>
        <v>300005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2</v>
      </c>
      <c r="G45" s="13">
        <v>1</v>
      </c>
      <c r="H45" s="40" t="str">
        <f t="shared" si="1"/>
        <v>1</v>
      </c>
      <c r="I45" s="40">
        <f>IF(OR(F45="",G45="",'📊 Resultat &amp; Tabell'!K46="",'📊 Resultat &amp; Tabell'!L46=""),"",IF(F45='📊 Resultat &amp; Tabell'!K46,2,0)+IF(G45='📊 Resultat &amp; Tabell'!L46,2,0))</f>
        <v>2</v>
      </c>
      <c r="J45" s="40">
        <f>IF(OR(H45="",'📊 Resultat &amp; Tabell'!M46=""),"",IF(H45='📊 Resultat &amp; Tabell'!M46,2,0))</f>
        <v>0</v>
      </c>
      <c r="K45" s="40">
        <f t="shared" si="0"/>
        <v>2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4</v>
      </c>
      <c r="G46" s="13">
        <v>0</v>
      </c>
      <c r="H46" s="40" t="str">
        <f t="shared" si="1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0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1</v>
      </c>
      <c r="G47" s="13">
        <v>2</v>
      </c>
      <c r="H47" s="40" t="str">
        <f t="shared" si="1"/>
        <v>2</v>
      </c>
      <c r="I47" s="40">
        <f>IF(OR(F47="",G47="",'📊 Resultat &amp; Tabell'!K48="",'📊 Resultat &amp; Tabell'!L48=""),"",IF(F47='📊 Resultat &amp; Tabell'!K48,2,0)+IF(G47='📊 Resultat &amp; Tabell'!L48,2,0))</f>
        <v>2</v>
      </c>
      <c r="J47" s="40">
        <f>IF(OR(H47="",'📊 Resultat &amp; Tabell'!M48=""),"",IF(H47='📊 Resultat &amp; Tabell'!M48,2,0))</f>
        <v>0</v>
      </c>
      <c r="K47" s="40">
        <f t="shared" si="0"/>
        <v>2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2</v>
      </c>
      <c r="G48" s="13">
        <v>0</v>
      </c>
      <c r="H48" s="40" t="str">
        <f t="shared" si="1"/>
        <v>1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0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13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2</v>
      </c>
      <c r="R48" s="60">
        <f t="shared" ref="R48:R51" si="21">P48-Q48</f>
        <v>11</v>
      </c>
      <c r="S48" s="60">
        <f t="shared" ref="S48:S51" si="22">M48*3+N48</f>
        <v>9</v>
      </c>
      <c r="T48" s="71">
        <f t="shared" ref="T48:T51" si="23">S48*100000+R48*1000+P48</f>
        <v>911013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3</v>
      </c>
      <c r="G49" s="13">
        <v>1</v>
      </c>
      <c r="H49" s="40" t="str">
        <f t="shared" si="1"/>
        <v>1</v>
      </c>
      <c r="I49" s="40">
        <f>IF(OR(F49="",G49="",'📊 Resultat &amp; Tabell'!K50="",'📊 Resultat &amp; Tabell'!L50=""),"",IF(F49='📊 Resultat &amp; Tabell'!K50,2,0)+IF(G49='📊 Resultat &amp; Tabell'!L50,2,0))</f>
        <v>0</v>
      </c>
      <c r="J49" s="40">
        <f>IF(OR(H49="",'📊 Resultat &amp; Tabell'!M50=""),"",IF(H49='📊 Resultat &amp; Tabell'!M50,2,0))</f>
        <v>2</v>
      </c>
      <c r="K49" s="40">
        <f t="shared" si="0"/>
        <v>2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2</v>
      </c>
      <c r="N49" s="59" cm="1">
        <f t="array" ref="N49">SUMPRODUCT(--($C$4:$C$75="G"),--(($D$4:$D$75=L49)+($E$4:$E$75=L49)&gt;0),--($F$4:$F$75=$G$4:$G$75),--($F$4:$F$75&lt;&gt;""),--($G$4:$G$75&lt;&gt;""))</f>
        <v>0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6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3</v>
      </c>
      <c r="R49" s="60">
        <f t="shared" si="21"/>
        <v>3</v>
      </c>
      <c r="S49" s="60">
        <f t="shared" si="22"/>
        <v>6</v>
      </c>
      <c r="T49" s="71">
        <f t="shared" si="23"/>
        <v>603006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0</v>
      </c>
      <c r="G50" s="13">
        <v>2</v>
      </c>
      <c r="H50" s="40" t="str">
        <f t="shared" si="1"/>
        <v>2</v>
      </c>
      <c r="I50" s="40">
        <f>IF(OR(F50="",G50="",'📊 Resultat &amp; Tabell'!K51="",'📊 Resultat &amp; Tabell'!L51=""),"",IF(F50='📊 Resultat &amp; Tabell'!K51,2,0)+IF(G50='📊 Resultat &amp; Tabell'!L51,2,0))</f>
        <v>2</v>
      </c>
      <c r="J50" s="40">
        <f>IF(OR(H50="",'📊 Resultat &amp; Tabell'!M51=""),"",IF(H50='📊 Resultat &amp; Tabell'!M51,2,0))</f>
        <v>2</v>
      </c>
      <c r="K50" s="40">
        <f t="shared" si="0"/>
        <v>4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0</v>
      </c>
      <c r="N50" s="59" cm="1">
        <f t="array" ref="N50">SUMPRODUCT(--($C$4:$C$75="G"),--(($D$4:$D$75=L50)+($E$4:$E$75=L50)&gt;0),--($F$4:$F$75=$G$4:$G$75),--($F$4:$F$75&lt;&gt;""),--($G$4:$G$75&lt;&gt;""))</f>
        <v>1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2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2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7</v>
      </c>
      <c r="R50" s="60">
        <f t="shared" si="21"/>
        <v>-5</v>
      </c>
      <c r="S50" s="60">
        <f t="shared" si="22"/>
        <v>1</v>
      </c>
      <c r="T50" s="71">
        <f t="shared" si="23"/>
        <v>95002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1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0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1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2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0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9</v>
      </c>
      <c r="R51" s="60">
        <f t="shared" si="21"/>
        <v>-9</v>
      </c>
      <c r="S51" s="60">
        <f t="shared" si="22"/>
        <v>1</v>
      </c>
      <c r="T51" s="71">
        <f t="shared" si="23"/>
        <v>91000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1</v>
      </c>
      <c r="H52" s="40" t="str">
        <f t="shared" si="1"/>
        <v>1</v>
      </c>
      <c r="I52" s="40">
        <f>IF(OR(F52="",G52="",'📊 Resultat &amp; Tabell'!K53="",'📊 Resultat &amp; Tabell'!L53=""),"",IF(F52='📊 Resultat &amp; Tabell'!K53,2,0)+IF(G52='📊 Resultat &amp; Tabell'!L53,2,0))</f>
        <v>2</v>
      </c>
      <c r="J52" s="40">
        <f>IF(OR(H52="",'📊 Resultat &amp; Tabell'!M53=""),"",IF(H52='📊 Resultat &amp; Tabell'!M53,2,0))</f>
        <v>2</v>
      </c>
      <c r="K52" s="40">
        <f t="shared" si="0"/>
        <v>4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3</v>
      </c>
      <c r="H53" s="40" t="str">
        <f t="shared" si="1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0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2</v>
      </c>
      <c r="G54" s="13">
        <v>1</v>
      </c>
      <c r="H54" s="40" t="str">
        <f t="shared" si="1"/>
        <v>1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2</v>
      </c>
      <c r="K54" s="40">
        <f t="shared" si="0"/>
        <v>2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2</v>
      </c>
      <c r="G55" s="13">
        <v>0</v>
      </c>
      <c r="H55" s="40" t="str">
        <f t="shared" si="1"/>
        <v>1</v>
      </c>
      <c r="I55" s="40">
        <f>IF(OR(F55="",G55="",'📊 Resultat &amp; Tabell'!K56="",'📊 Resultat &amp; Tabell'!L56=""),"",IF(F55='📊 Resultat &amp; Tabell'!K56,2,0)+IF(G55='📊 Resultat &amp; Tabell'!L56,2,0))</f>
        <v>2</v>
      </c>
      <c r="J55" s="40">
        <f>IF(OR(H55="",'📊 Resultat &amp; Tabell'!M56=""),"",IF(H55='📊 Resultat &amp; Tabell'!M56,2,0))</f>
        <v>2</v>
      </c>
      <c r="K55" s="40">
        <f t="shared" si="0"/>
        <v>4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9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1</v>
      </c>
      <c r="R55" s="60">
        <f t="shared" ref="R55:R58" si="24">P55-Q55</f>
        <v>8</v>
      </c>
      <c r="S55" s="60">
        <f t="shared" ref="S55:S58" si="25">M55*3+N55</f>
        <v>9</v>
      </c>
      <c r="T55" s="71">
        <f t="shared" ref="T55:T58" si="26">S55*100000+R55*1000+P55</f>
        <v>908009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1</v>
      </c>
      <c r="H56" s="40" t="str">
        <f t="shared" si="1"/>
        <v>X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0</v>
      </c>
      <c r="K56" s="40">
        <f t="shared" si="0"/>
        <v>2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7</v>
      </c>
      <c r="R56" s="60">
        <f t="shared" si="24"/>
        <v>-6</v>
      </c>
      <c r="S56" s="60">
        <f t="shared" si="25"/>
        <v>1</v>
      </c>
      <c r="T56" s="71">
        <f t="shared" si="26"/>
        <v>94001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1</v>
      </c>
      <c r="G57" s="13">
        <v>1</v>
      </c>
      <c r="H57" s="40" t="str">
        <f t="shared" si="1"/>
        <v>X</v>
      </c>
      <c r="I57" s="40">
        <f>IF(OR(F57="",G57="",'📊 Resultat &amp; Tabell'!K58="",'📊 Resultat &amp; Tabell'!L58=""),"",IF(F57='📊 Resultat &amp; Tabell'!K58,2,0)+IF(G57='📊 Resultat &amp; Tabell'!L58,2,0))</f>
        <v>0</v>
      </c>
      <c r="J57" s="40">
        <f>IF(OR(H57="",'📊 Resultat &amp; Tabell'!M58=""),"",IF(H57='📊 Resultat &amp; Tabell'!M58,2,0))</f>
        <v>0</v>
      </c>
      <c r="K57" s="40">
        <f t="shared" si="0"/>
        <v>0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3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6</v>
      </c>
      <c r="R57" s="60">
        <f t="shared" si="24"/>
        <v>-3</v>
      </c>
      <c r="S57" s="60">
        <f t="shared" si="25"/>
        <v>1</v>
      </c>
      <c r="T57" s="71">
        <f t="shared" si="26"/>
        <v>97003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0</v>
      </c>
      <c r="H58" s="40" t="str">
        <f t="shared" si="1"/>
        <v>1</v>
      </c>
      <c r="I58" s="40">
        <f>IF(OR(F58="",G58="",'📊 Resultat &amp; Tabell'!K59="",'📊 Resultat &amp; Tabell'!L59=""),"",IF(F58='📊 Resultat &amp; Tabell'!K59,2,0)+IF(G58='📊 Resultat &amp; Tabell'!L59,2,0))</f>
        <v>4</v>
      </c>
      <c r="J58" s="40">
        <f>IF(OR(H58="",'📊 Resultat &amp; Tabell'!M59=""),"",IF(H58='📊 Resultat &amp; Tabell'!M59,2,0))</f>
        <v>2</v>
      </c>
      <c r="K58" s="40">
        <f t="shared" si="0"/>
        <v>6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4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3</v>
      </c>
      <c r="R58" s="60">
        <f t="shared" si="24"/>
        <v>1</v>
      </c>
      <c r="S58" s="60">
        <f t="shared" si="25"/>
        <v>6</v>
      </c>
      <c r="T58" s="71">
        <f t="shared" si="26"/>
        <v>601004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1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0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0</v>
      </c>
      <c r="G60" s="13">
        <v>2</v>
      </c>
      <c r="H60" s="40" t="str">
        <f t="shared" si="1"/>
        <v>2</v>
      </c>
      <c r="I60" s="40">
        <f>IF(OR(F60="",G60="",'📊 Resultat &amp; Tabell'!K61="",'📊 Resultat &amp; Tabell'!L61=""),"",IF(F60='📊 Resultat &amp; Tabell'!K61,2,0)+IF(G60='📊 Resultat &amp; Tabell'!L61,2,0))</f>
        <v>2</v>
      </c>
      <c r="J60" s="40">
        <f>IF(OR(H60="",'📊 Resultat &amp; Tabell'!M61=""),"",IF(H60='📊 Resultat &amp; Tabell'!M61,2,0))</f>
        <v>2</v>
      </c>
      <c r="K60" s="40">
        <f t="shared" si="0"/>
        <v>4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1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0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3</v>
      </c>
      <c r="H62" s="40" t="str">
        <f t="shared" si="1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0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2</v>
      </c>
      <c r="N62" s="59" cm="1">
        <f t="array" ref="N62">SUMPRODUCT(--($C$4:$C$75="I"),--(($D$4:$D$75=L62)+($E$4:$E$75=L62)&gt;0),--($F$4:$F$75=$G$4:$G$75),--($F$4:$F$75&lt;&gt;""),--($G$4:$G$75&lt;&gt;""))</f>
        <v>1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5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2</v>
      </c>
      <c r="R62" s="60">
        <f t="shared" ref="R62:R65" si="27">P62-Q62</f>
        <v>3</v>
      </c>
      <c r="S62" s="60">
        <f t="shared" ref="S62:S65" si="28">M62*3+N62</f>
        <v>7</v>
      </c>
      <c r="T62" s="71">
        <f t="shared" ref="T62:T65" si="29">S62*100000+R62*1000+P62</f>
        <v>703005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1</v>
      </c>
      <c r="H63" s="40" t="str">
        <f t="shared" si="1"/>
        <v>X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2</v>
      </c>
      <c r="K63" s="40">
        <f t="shared" si="0"/>
        <v>2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0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2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3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5</v>
      </c>
      <c r="R63" s="60">
        <f t="shared" si="27"/>
        <v>-2</v>
      </c>
      <c r="S63" s="60">
        <f t="shared" si="28"/>
        <v>1</v>
      </c>
      <c r="T63" s="71">
        <f t="shared" si="29"/>
        <v>98003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2</v>
      </c>
      <c r="G64" s="13">
        <v>0</v>
      </c>
      <c r="H64" s="40" t="str">
        <f t="shared" si="1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0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1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2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1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6</v>
      </c>
      <c r="R64" s="60">
        <f t="shared" si="27"/>
        <v>-5</v>
      </c>
      <c r="S64" s="60">
        <f t="shared" si="28"/>
        <v>1</v>
      </c>
      <c r="T64" s="71">
        <f t="shared" si="29"/>
        <v>95001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0</v>
      </c>
      <c r="G65" s="13">
        <v>0</v>
      </c>
      <c r="H65" s="40" t="str">
        <f t="shared" si="1"/>
        <v>X</v>
      </c>
      <c r="I65" s="40">
        <f>IF(OR(F65="",G65="",'📊 Resultat &amp; Tabell'!K66="",'📊 Resultat &amp; Tabell'!L66=""),"",IF(F65='📊 Resultat &amp; Tabell'!K66,2,0)+IF(G65='📊 Resultat &amp; Tabell'!L66,2,0))</f>
        <v>0</v>
      </c>
      <c r="J65" s="40">
        <f>IF(OR(H65="",'📊 Resultat &amp; Tabell'!M66=""),"",IF(H65='📊 Resultat &amp; Tabell'!M66,2,0))</f>
        <v>0</v>
      </c>
      <c r="K65" s="40">
        <f t="shared" si="0"/>
        <v>0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2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0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6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2</v>
      </c>
      <c r="R65" s="60">
        <f t="shared" si="27"/>
        <v>4</v>
      </c>
      <c r="S65" s="60">
        <f t="shared" si="28"/>
        <v>7</v>
      </c>
      <c r="T65" s="71">
        <f t="shared" si="29"/>
        <v>704006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1</v>
      </c>
      <c r="G66" s="13">
        <v>0</v>
      </c>
      <c r="H66" s="40" t="str">
        <f t="shared" si="1"/>
        <v>1</v>
      </c>
      <c r="I66" s="40">
        <f>IF(OR(F66="",G66="",'📊 Resultat &amp; Tabell'!K67="",'📊 Resultat &amp; Tabell'!L67=""),"",IF(F66='📊 Resultat &amp; Tabell'!K67,2,0)+IF(G66='📊 Resultat &amp; Tabell'!L67,2,0))</f>
        <v>4</v>
      </c>
      <c r="J66" s="40">
        <f>IF(OR(H66="",'📊 Resultat &amp; Tabell'!M67=""),"",IF(H66='📊 Resultat &amp; Tabell'!M67,2,0))</f>
        <v>2</v>
      </c>
      <c r="K66" s="40">
        <f t="shared" si="0"/>
        <v>6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3</v>
      </c>
      <c r="G67" s="13">
        <v>1</v>
      </c>
      <c r="H67" s="40" t="str">
        <f t="shared" si="1"/>
        <v>1</v>
      </c>
      <c r="I67" s="40">
        <f>IF(OR(F67="",G67="",'📊 Resultat &amp; Tabell'!K68="",'📊 Resultat &amp; Tabell'!L68=""),"",IF(F67='📊 Resultat &amp; Tabell'!K68,2,0)+IF(G67='📊 Resultat &amp; Tabell'!L68,2,0))</f>
        <v>0</v>
      </c>
      <c r="J67" s="40">
        <f>IF(OR(H67="",'📊 Resultat &amp; Tabell'!M68=""),"",IF(H67='📊 Resultat &amp; Tabell'!M68,2,0))</f>
        <v>2</v>
      </c>
      <c r="K67" s="40">
        <f t="shared" si="0"/>
        <v>2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0</v>
      </c>
      <c r="G68" s="13">
        <v>2</v>
      </c>
      <c r="H68" s="40" t="str">
        <f t="shared" ref="H68:H107" si="30">IF(OR(F68="",G68=""),"",IF(F68&gt;G68,"1",IF(F68&lt;G68,"2","X")))</f>
        <v>2</v>
      </c>
      <c r="I68" s="40">
        <f>IF(OR(F68="",G68="",'📊 Resultat &amp; Tabell'!K69="",'📊 Resultat &amp; Tabell'!L69=""),"",IF(F68='📊 Resultat &amp; Tabell'!K69,2,0)+IF(G68='📊 Resultat &amp; Tabell'!L69,2,0))</f>
        <v>2</v>
      </c>
      <c r="J68" s="40">
        <f>IF(OR(H68="",'📊 Resultat &amp; Tabell'!M69=""),"",IF(H68='📊 Resultat &amp; Tabell'!M69,2,0))</f>
        <v>0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1</v>
      </c>
      <c r="H69" s="40" t="str">
        <f t="shared" si="30"/>
        <v>X</v>
      </c>
      <c r="I69" s="40">
        <f>IF(OR(F69="",G69="",'📊 Resultat &amp; Tabell'!K70="",'📊 Resultat &amp; Tabell'!L70=""),"",IF(F69='📊 Resultat &amp; Tabell'!K70,2,0)+IF(G69='📊 Resultat &amp; Tabell'!L70,2,0))</f>
        <v>2</v>
      </c>
      <c r="J69" s="40">
        <f>IF(OR(H69="",'📊 Resultat &amp; Tabell'!M70=""),"",IF(H69='📊 Resultat &amp; Tabell'!M70,2,0))</f>
        <v>0</v>
      </c>
      <c r="K69" s="40">
        <f t="shared" si="31"/>
        <v>2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7</v>
      </c>
      <c r="S69" s="60">
        <f t="shared" ref="S69:S72" si="33">M69*3+N69</f>
        <v>9</v>
      </c>
      <c r="T69" s="71">
        <f t="shared" ref="T69:T72" si="34">S69*100000+R69*1000+P69</f>
        <v>907008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1</v>
      </c>
      <c r="G70" s="13">
        <v>1</v>
      </c>
      <c r="H70" s="40" t="str">
        <f t="shared" si="30"/>
        <v>X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0</v>
      </c>
      <c r="K70" s="40">
        <f t="shared" si="31"/>
        <v>0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1</v>
      </c>
      <c r="N70" s="59" cm="1">
        <f t="array" ref="N70">SUMPRODUCT(--($C$4:$C$75="J"),--(($D$4:$D$75=L70)+($E$4:$E$75=L70)&gt;0),--($F$4:$F$75=$G$4:$G$75),--($F$4:$F$75&lt;&gt;""),--($G$4:$G$75&lt;&gt;""))</f>
        <v>1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1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3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4</v>
      </c>
      <c r="R70" s="60">
        <f t="shared" si="32"/>
        <v>-1</v>
      </c>
      <c r="S70" s="60">
        <f t="shared" si="33"/>
        <v>4</v>
      </c>
      <c r="T70" s="71">
        <f t="shared" si="34"/>
        <v>399003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1</v>
      </c>
      <c r="G71" s="13">
        <v>1</v>
      </c>
      <c r="H71" s="40" t="str">
        <f t="shared" si="30"/>
        <v>X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0</v>
      </c>
      <c r="K71" s="40">
        <f t="shared" si="31"/>
        <v>2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1</v>
      </c>
      <c r="N71" s="59" cm="1">
        <f t="array" ref="N71">SUMPRODUCT(--($C$4:$C$75="J"),--(($D$4:$D$75=L71)+($E$4:$E$75=L71)&gt;0),--($F$4:$F$75=$G$4:$G$75),--($F$4:$F$75&lt;&gt;""),--($G$4:$G$75&lt;&gt;""))</f>
        <v>1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4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1</v>
      </c>
      <c r="S71" s="60">
        <f t="shared" si="33"/>
        <v>4</v>
      </c>
      <c r="T71" s="71">
        <f t="shared" si="34"/>
        <v>401004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0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3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0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7</v>
      </c>
      <c r="R72" s="60">
        <f t="shared" si="32"/>
        <v>-7</v>
      </c>
      <c r="S72" s="60">
        <f t="shared" si="33"/>
        <v>0</v>
      </c>
      <c r="T72" s="71">
        <f t="shared" si="34"/>
        <v>-7000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1</v>
      </c>
      <c r="G73" s="13">
        <v>0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2</v>
      </c>
      <c r="J73" s="40">
        <f>IF(OR(H73="",'📊 Resultat &amp; Tabell'!M74=""),"",IF(H73='📊 Resultat &amp; Tabell'!M74,2,0))</f>
        <v>0</v>
      </c>
      <c r="K73" s="40">
        <f t="shared" si="31"/>
        <v>2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2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4</v>
      </c>
      <c r="J74" s="40">
        <f>IF(OR(H74="",'📊 Resultat &amp; Tabell'!M75=""),"",IF(H74='📊 Resultat &amp; Tabell'!M75,2,0))</f>
        <v>2</v>
      </c>
      <c r="K74" s="40">
        <f t="shared" si="31"/>
        <v>6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1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4</v>
      </c>
      <c r="J75" s="40">
        <f>IF(OR(H75="",'📊 Resultat &amp; Tabell'!M76=""),"",IF(H75='📊 Resultat &amp; Tabell'!M76,2,0))</f>
        <v>2</v>
      </c>
      <c r="K75" s="40">
        <f t="shared" si="31"/>
        <v>6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33">
        <v>73</v>
      </c>
      <c r="B76" s="41" t="s">
        <v>190</v>
      </c>
      <c r="C76" s="33"/>
      <c r="D76" s="77" t="s">
        <v>290</v>
      </c>
      <c r="E76" s="78" t="s">
        <v>70</v>
      </c>
      <c r="F76" s="13">
        <v>2</v>
      </c>
      <c r="G76" s="13"/>
      <c r="H76" s="40" t="str">
        <f t="shared" si="30"/>
        <v/>
      </c>
      <c r="I76" s="40" t="str">
        <f>IF(OR(F76="",G76="",'📊 Resultat &amp; Tabell'!K77="",'📊 Resultat &amp; Tabell'!L77=""),"",IF(F76='📊 Resultat &amp; Tabell'!K77,2,0)+IF(G76='📊 Resultat &amp; Tabell'!L77,2,0))</f>
        <v/>
      </c>
      <c r="J76" s="40" t="str">
        <f>IF(OR(H76="",'📊 Resultat &amp; Tabell'!M77=""),"",IF(H76='📊 Resultat &amp; Tabell'!M77,2,0))</f>
        <v/>
      </c>
      <c r="K76" s="40" t="str">
        <f t="shared" si="31"/>
        <v/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3</v>
      </c>
      <c r="N76" s="59" cm="1">
        <f t="array" ref="N76">SUMPRODUCT(--($C$4:$C$75="K"),--(($D$4:$D$75=L76)+($E$4:$E$75=L76)&gt;0),--($F$4:$F$75=$G$4:$G$75),--($F$4:$F$75&lt;&gt;""),--($G$4:$G$75&lt;&gt;""))</f>
        <v>0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7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1</v>
      </c>
      <c r="R76" s="60">
        <f t="shared" ref="R76:R79" si="35">P76-Q76</f>
        <v>6</v>
      </c>
      <c r="S76" s="60">
        <f t="shared" ref="S76:S79" si="36">M76*3+N76</f>
        <v>9</v>
      </c>
      <c r="T76" s="71">
        <f t="shared" ref="T76:T79" si="37">S76*100000+R76*1000+P76</f>
        <v>906007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9" t="s">
        <v>123</v>
      </c>
      <c r="F77" s="13">
        <v>3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2</v>
      </c>
      <c r="J77" s="40">
        <f>IF(OR(H77="",'📊 Resultat &amp; Tabell'!M78=""),"",IF(H77='📊 Resultat &amp; Tabell'!M78,2,0))</f>
        <v>2</v>
      </c>
      <c r="K77" s="40">
        <f t="shared" si="31"/>
        <v>4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1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1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4</v>
      </c>
      <c r="R77" s="60">
        <f t="shared" si="35"/>
        <v>-3</v>
      </c>
      <c r="S77" s="60">
        <f t="shared" si="36"/>
        <v>1</v>
      </c>
      <c r="T77" s="71">
        <f t="shared" si="37"/>
        <v>97001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33">
        <v>75</v>
      </c>
      <c r="B78" s="41" t="s">
        <v>190</v>
      </c>
      <c r="C78" s="33"/>
      <c r="D78" s="78" t="s">
        <v>110</v>
      </c>
      <c r="E78" s="78" t="s">
        <v>101</v>
      </c>
      <c r="F78" s="13">
        <v>3</v>
      </c>
      <c r="G78" s="13">
        <v>0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2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1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2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4</v>
      </c>
      <c r="R78" s="60">
        <f t="shared" si="35"/>
        <v>-2</v>
      </c>
      <c r="S78" s="60">
        <f t="shared" si="36"/>
        <v>2</v>
      </c>
      <c r="T78" s="71">
        <f t="shared" si="37"/>
        <v>198002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2</v>
      </c>
      <c r="G79" s="13">
        <v>1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1</v>
      </c>
      <c r="N79" s="59" cm="1">
        <f t="array" ref="N79">SUMPRODUCT(--($C$4:$C$75="K"),--(($D$4:$D$75=L79)+($E$4:$E$75=L79)&gt;0),--($F$4:$F$75=$G$4:$G$75),--($F$4:$F$75&lt;&gt;""),--($G$4:$G$75&lt;&gt;""))</f>
        <v>1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1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1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2</v>
      </c>
      <c r="R79" s="60">
        <f t="shared" si="35"/>
        <v>-1</v>
      </c>
      <c r="S79" s="60">
        <f t="shared" si="36"/>
        <v>4</v>
      </c>
      <c r="T79" s="71">
        <f t="shared" si="37"/>
        <v>399001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33">
        <v>77</v>
      </c>
      <c r="B80" s="41" t="s">
        <v>190</v>
      </c>
      <c r="C80" s="33"/>
      <c r="D80" s="78" t="s">
        <v>291</v>
      </c>
      <c r="E80" s="79" t="s">
        <v>158</v>
      </c>
      <c r="F80" s="13">
        <v>1</v>
      </c>
      <c r="G80" s="13">
        <v>1</v>
      </c>
      <c r="H80" s="40" t="str">
        <f t="shared" si="30"/>
        <v>X</v>
      </c>
      <c r="I80" s="40">
        <f>IF(OR(F80="",G80="",'📊 Resultat &amp; Tabell'!K81="",'📊 Resultat &amp; Tabell'!L81=""),"",IF(F80='📊 Resultat &amp; Tabell'!K81,2,0)+IF(G80='📊 Resultat &amp; Tabell'!L81,2,0))</f>
        <v>2</v>
      </c>
      <c r="J80" s="40">
        <f>IF(OR(H80="",'📊 Resultat &amp; Tabell'!M81=""),"",IF(H80='📊 Resultat &amp; Tabell'!M81,2,0))</f>
        <v>0</v>
      </c>
      <c r="K80" s="40">
        <f t="shared" si="31"/>
        <v>2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4</v>
      </c>
      <c r="G81" s="13">
        <v>1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0</v>
      </c>
      <c r="J81" s="40">
        <f>IF(OR(H81="",'📊 Resultat &amp; Tabell'!M82=""),"",IF(H81='📊 Resultat &amp; Tabell'!M82,2,0))</f>
        <v>2</v>
      </c>
      <c r="K81" s="40">
        <f t="shared" si="31"/>
        <v>2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33">
        <v>79</v>
      </c>
      <c r="B82" s="41" t="s">
        <v>190</v>
      </c>
      <c r="C82" s="33"/>
      <c r="D82" s="78" t="s">
        <v>48</v>
      </c>
      <c r="E82" s="79" t="s">
        <v>116</v>
      </c>
      <c r="F82" s="13">
        <v>3</v>
      </c>
      <c r="G82" s="13">
        <v>0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9" t="s">
        <v>292</v>
      </c>
      <c r="F83" s="13">
        <v>2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2</v>
      </c>
      <c r="J83" s="40">
        <f>IF(OR(H83="",'📊 Resultat &amp; Tabell'!M84=""),"",IF(H83='📊 Resultat &amp; Tabell'!M84,2,0))</f>
        <v>2</v>
      </c>
      <c r="K83" s="40">
        <f t="shared" si="31"/>
        <v>4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2</v>
      </c>
      <c r="N83" s="59" cm="1">
        <f t="array" ref="N83">SUMPRODUCT(--($C$4:$C$75="L"),--(($D$4:$D$75=L83)+($E$4:$E$75=L83)&gt;0),--($F$4:$F$75=$G$4:$G$75),--($F$4:$F$75&lt;&gt;""),--($G$4:$G$75&lt;&gt;""))</f>
        <v>1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4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1</v>
      </c>
      <c r="R83" s="60">
        <f t="shared" ref="R83:R86" si="38">P83-Q83</f>
        <v>3</v>
      </c>
      <c r="S83" s="60">
        <f t="shared" ref="S83:S86" si="39">M83*3+N83</f>
        <v>7</v>
      </c>
      <c r="T83" s="71">
        <f t="shared" ref="T83:T86" si="40">S83*100000+R83*1000+P83</f>
        <v>703004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33">
        <v>81</v>
      </c>
      <c r="B84" s="41" t="s">
        <v>190</v>
      </c>
      <c r="C84" s="33"/>
      <c r="D84" s="78" t="s">
        <v>131</v>
      </c>
      <c r="E84" s="79" t="s">
        <v>153</v>
      </c>
      <c r="F84" s="13">
        <v>1</v>
      </c>
      <c r="G84" s="13">
        <v>0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0</v>
      </c>
      <c r="J84" s="40">
        <f>IF(OR(H84="",'📊 Resultat &amp; Tabell'!M85=""),"",IF(H84='📊 Resultat &amp; Tabell'!M85,2,0))</f>
        <v>0</v>
      </c>
      <c r="K84" s="40">
        <f t="shared" si="31"/>
        <v>0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2</v>
      </c>
      <c r="N84" s="59" cm="1">
        <f t="array" ref="N84">SUMPRODUCT(--($C$4:$C$75="L"),--(($D$4:$D$75=L84)+($E$4:$E$75=L84)&gt;0),--($F$4:$F$75=$G$4:$G$75),--($F$4:$F$75&lt;&gt;""),--($G$4:$G$75&lt;&gt;""))</f>
        <v>1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0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5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2</v>
      </c>
      <c r="R84" s="60">
        <f t="shared" si="38"/>
        <v>3</v>
      </c>
      <c r="S84" s="60">
        <f t="shared" si="39"/>
        <v>7</v>
      </c>
      <c r="T84" s="71">
        <f t="shared" si="40"/>
        <v>703005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9" t="s">
        <v>294</v>
      </c>
      <c r="F85" s="13">
        <v>2</v>
      </c>
      <c r="G85" s="13">
        <v>0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4</v>
      </c>
      <c r="J85" s="40">
        <f>IF(OR(H85="",'📊 Resultat &amp; Tabell'!M86=""),"",IF(H85='📊 Resultat &amp; Tabell'!M86,2,0))</f>
        <v>2</v>
      </c>
      <c r="K85" s="40">
        <f t="shared" si="31"/>
        <v>6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0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2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2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4</v>
      </c>
      <c r="R85" s="60">
        <f t="shared" si="38"/>
        <v>-2</v>
      </c>
      <c r="S85" s="60">
        <f t="shared" si="39"/>
        <v>1</v>
      </c>
      <c r="T85" s="71">
        <f t="shared" si="40"/>
        <v>98002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33">
        <v>83</v>
      </c>
      <c r="B86" s="41" t="s">
        <v>190</v>
      </c>
      <c r="C86" s="33"/>
      <c r="D86" s="78" t="s">
        <v>141</v>
      </c>
      <c r="E86" s="78" t="s">
        <v>165</v>
      </c>
      <c r="F86" s="13">
        <v>4</v>
      </c>
      <c r="G86" s="13">
        <v>2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0</v>
      </c>
      <c r="J86" s="40">
        <f>IF(OR(H86="",'📊 Resultat &amp; Tabell'!M87=""),"",IF(H86='📊 Resultat &amp; Tabell'!M87,2,0))</f>
        <v>2</v>
      </c>
      <c r="K86" s="40">
        <f t="shared" si="31"/>
        <v>2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1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2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1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5</v>
      </c>
      <c r="R86" s="60">
        <f t="shared" si="38"/>
        <v>-4</v>
      </c>
      <c r="S86" s="60">
        <f t="shared" si="39"/>
        <v>1</v>
      </c>
      <c r="T86" s="71">
        <f t="shared" si="40"/>
        <v>96001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0</v>
      </c>
      <c r="G87" s="13">
        <v>1</v>
      </c>
      <c r="H87" s="40" t="str">
        <f t="shared" si="30"/>
        <v>2</v>
      </c>
      <c r="I87" s="40">
        <f>IF(OR(F87="",G87="",'📊 Resultat &amp; Tabell'!K88="",'📊 Resultat &amp; Tabell'!L88=""),"",IF(F87='📊 Resultat &amp; Tabell'!K88,2,0)+IF(G87='📊 Resultat &amp; Tabell'!L88,2,0))</f>
        <v>2</v>
      </c>
      <c r="J87" s="40">
        <f>IF(OR(H87="",'📊 Resultat &amp; Tabell'!M88=""),"",IF(H87='📊 Resultat &amp; Tabell'!M88,2,0))</f>
        <v>0</v>
      </c>
      <c r="K87" s="40">
        <f t="shared" si="31"/>
        <v>2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33">
        <v>85</v>
      </c>
      <c r="B88" s="41" t="s">
        <v>190</v>
      </c>
      <c r="C88" s="33"/>
      <c r="D88" s="78" t="s">
        <v>79</v>
      </c>
      <c r="E88" s="79" t="s">
        <v>163</v>
      </c>
      <c r="F88" s="13">
        <v>1</v>
      </c>
      <c r="G88" s="13">
        <v>0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2</v>
      </c>
      <c r="J88" s="40">
        <f>IF(OR(H88="",'📊 Resultat &amp; Tabell'!M89=""),"",IF(H88='📊 Resultat &amp; Tabell'!M89,2,0))</f>
        <v>2</v>
      </c>
      <c r="K88" s="40">
        <f t="shared" si="31"/>
        <v>4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1</v>
      </c>
      <c r="G89" s="13">
        <v>1</v>
      </c>
      <c r="H89" s="40" t="str">
        <f t="shared" si="30"/>
        <v>X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33">
        <v>87</v>
      </c>
      <c r="B90" s="41" t="s">
        <v>190</v>
      </c>
      <c r="C90" s="33"/>
      <c r="D90" s="80" t="s">
        <v>161</v>
      </c>
      <c r="E90" s="79" t="s">
        <v>143</v>
      </c>
      <c r="F90" s="13">
        <v>4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1</v>
      </c>
      <c r="G91" s="13">
        <v>1</v>
      </c>
      <c r="H91" s="40" t="str">
        <f t="shared" si="30"/>
        <v>X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33">
        <v>89</v>
      </c>
      <c r="B92" s="41" t="s">
        <v>192</v>
      </c>
      <c r="C92" s="33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33">
        <v>91</v>
      </c>
      <c r="B94" s="41" t="s">
        <v>192</v>
      </c>
      <c r="C94" s="33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33">
        <v>93</v>
      </c>
      <c r="B96" s="41" t="s">
        <v>192</v>
      </c>
      <c r="C96" s="33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33">
        <v>95</v>
      </c>
      <c r="B98" s="41" t="s">
        <v>192</v>
      </c>
      <c r="C98" s="33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 t="str">
        <f>IF(OR(F88="",G88=""),"",IF(F88&gt;G88,D88,IF(F88&lt;G88,E88,"")))</f>
        <v>Schweiz</v>
      </c>
      <c r="E99" s="78" t="str">
        <f>IF(OR(F90="",G90=""),"",IF(F90&gt;G90,D90,IF(F90&lt;G90,E90,"")))</f>
        <v>Argentina</v>
      </c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33">
        <v>97</v>
      </c>
      <c r="B100" s="41" t="s">
        <v>193</v>
      </c>
      <c r="C100" s="33"/>
      <c r="D100" s="75" t="str">
        <f>IF(OR(F92="",G92=""),"",IF(F92&gt;G92,D92,IF(F92&lt;G92,E92,"")))</f>
        <v/>
      </c>
      <c r="E100" s="75" t="str">
        <f>IF(OR(F93="",G93=""),"",IF(F93&gt;G93,D93,IF(F93&lt;G93,E93,"")))</f>
        <v/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5" t="str">
        <f>IF(OR(F96="",G96=""),"",IF(F96&gt;G96,D96,IF(F96&lt;G96,E96,"")))</f>
        <v/>
      </c>
      <c r="E101" s="75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33">
        <v>99</v>
      </c>
      <c r="B102" s="41" t="s">
        <v>193</v>
      </c>
      <c r="C102" s="33"/>
      <c r="D102" s="75" t="str">
        <f>IF(OR(F94="",G94=""),"",IF(F94&gt;G94,D94,IF(F94&lt;G94,E94,"")))</f>
        <v/>
      </c>
      <c r="E102" s="75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5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33">
        <v>101</v>
      </c>
      <c r="B104" s="41" t="s">
        <v>194</v>
      </c>
      <c r="C104" s="33"/>
      <c r="D104" s="75" t="str">
        <f>IF(OR(F100="",G100=""),"",IF(F100&gt;G100,D100,IF(F100&lt;G100,E100,"")))</f>
        <v/>
      </c>
      <c r="E104" s="75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5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33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5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204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131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300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204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6FC33243-1D69-4F0B-9FE3-56660588C8BF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31876BF8-727E-410A-84B9-D6D758AB92E6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9B4F7BE8-9FBB-454E-9ACE-9788CF7885F7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BD576212-5692-4F56-86D3-7A4CC66D6048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78BCE05F-534E-4765-BA9B-5AA9AE98CD41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782FA01E-3C8B-4D96-93D5-1D5DF55D85F2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550C3D13-032B-49A5-9A48-DFFAE8B245BB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09C5599C-B933-4016-B4BC-701FE9F0663E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1E89EC7C-E724-4896-ADE4-AEA01037899B}"/>
  </hyperlinks>
  <pageMargins left="0.7" right="0.7" top="0.75" bottom="0.75" header="0.3" footer="0.3"/>
  <tableParts count="1">
    <tablePart r:id="rId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9932C-0E60-4451-81E3-EE5859CF3C8E}">
  <dimension ref="A1:AN116"/>
  <sheetViews>
    <sheetView topLeftCell="A73" workbookViewId="0">
      <selection activeCell="D99" sqref="D99:E99"/>
    </sheetView>
  </sheetViews>
  <sheetFormatPr defaultRowHeight="15"/>
  <cols>
    <col min="1" max="1" width="16" bestFit="1" customWidth="1"/>
    <col min="2" max="2" width="13.28515625" bestFit="1" customWidth="1"/>
    <col min="4" max="4" width="21.28515625" bestFit="1" customWidth="1"/>
    <col min="5" max="5" width="24" customWidth="1"/>
    <col min="6" max="6" width="8.85546875" bestFit="1" customWidth="1"/>
    <col min="7" max="7" width="8.5703125" bestFit="1" customWidth="1"/>
    <col min="8" max="8" width="9.7109375" bestFit="1" customWidth="1"/>
    <col min="9" max="9" width="14.7109375" customWidth="1"/>
    <col min="10" max="10" width="16.140625" bestFit="1" customWidth="1"/>
    <col min="11" max="11" width="14.85546875" bestFit="1" customWidth="1"/>
    <col min="12" max="12" width="22.28515625" bestFit="1" customWidth="1"/>
    <col min="13" max="13" width="3.5703125" bestFit="1" customWidth="1"/>
    <col min="14" max="17" width="4.5703125" bestFit="1" customWidth="1"/>
    <col min="18" max="19" width="4.7109375" bestFit="1" customWidth="1"/>
    <col min="20" max="20" width="10.28515625" bestFit="1" customWidth="1"/>
    <col min="23" max="23" width="13" bestFit="1" customWidth="1"/>
    <col min="24" max="24" width="14" bestFit="1" customWidth="1"/>
    <col min="25" max="25" width="11.42578125" bestFit="1" customWidth="1"/>
    <col min="26" max="26" width="22.85546875" bestFit="1" customWidth="1"/>
    <col min="27" max="27" width="13" bestFit="1" customWidth="1"/>
    <col min="28" max="28" width="8.140625" bestFit="1" customWidth="1"/>
    <col min="29" max="29" width="11.42578125" bestFit="1" customWidth="1"/>
  </cols>
  <sheetData>
    <row r="1" spans="1:40" ht="24.75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1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2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4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South Africa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Tjeckien</v>
      </c>
      <c r="AA4" s="72">
        <f>IF(COUNTIFS($C$4:$C$75,"A",$F$4:$F$75,"&lt;&gt;",$G$4:$G$75,"&lt;&gt;")=0,"",IFERROR(LARGE($T$6:$T$9,3),""))</f>
        <v>199003</v>
      </c>
      <c r="AB4" s="72">
        <f>IF(AA4="","",_xlfn.RANK.EQ(AA4,$AA$4:$AA$15,0))</f>
        <v>5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1</v>
      </c>
      <c r="H5" s="40" t="str">
        <f t="shared" si="0"/>
        <v>X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1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57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Kanada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Schweiz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198002.00013999999</v>
      </c>
      <c r="AB5" s="72">
        <f t="shared" ref="AB5:AB15" si="2">IF(AA5="","",_xlfn.RANK.EQ(AA5,$AA$4:$AA$15,0))</f>
        <v>8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1</v>
      </c>
      <c r="G6" s="13">
        <v>2</v>
      </c>
      <c r="H6" s="40" t="str">
        <f t="shared" si="0"/>
        <v>2</v>
      </c>
      <c r="I6" s="40">
        <f>IF(OR(F6="",G6="",'📊 Resultat &amp; Tabell'!K7="",'📊 Resultat &amp; Tabell'!L7=""),"",IF(F6='📊 Resultat &amp; Tabell'!K7,2,0)+IF(G6='📊 Resultat &amp; Tabell'!L7,2,0))</f>
        <v>2</v>
      </c>
      <c r="J6" s="40">
        <f>IF(OR(H6="",'📊 Resultat &amp; Tabell'!M7=""),"",IF(H6='📊 Resultat &amp; Tabell'!M7,2,0))</f>
        <v>0</v>
      </c>
      <c r="K6" s="40">
        <f t="shared" si="1"/>
        <v>2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1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5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3</v>
      </c>
      <c r="S6" s="60">
        <f>M6*3+N6</f>
        <v>7</v>
      </c>
      <c r="T6" s="71">
        <f>S6*100000+R6*1000+P6</f>
        <v>703005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Skottland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Marocko</v>
      </c>
      <c r="AA6" s="72" cm="1">
        <f t="array" ref="AA6">IF(COUNTIFS($C$4:$C$75,"C",$F$4:$F$75,"&lt;&gt;",$G$4:$G$75,"&lt;&gt;")=0,"",LARGE($T$20:$T$23+ROW($T$20:$T$23)/100000,3))</f>
        <v>399003.00021000003</v>
      </c>
      <c r="AB6" s="72">
        <f t="shared" si="2"/>
        <v>3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0</v>
      </c>
      <c r="H7" s="40" t="str">
        <f t="shared" si="0"/>
        <v>1</v>
      </c>
      <c r="I7" s="40">
        <f>IF(OR(F7="",G7="",'📊 Resultat &amp; Tabell'!K8="",'📊 Resultat &amp; Tabell'!L8=""),"",IF(F7='📊 Resultat &amp; Tabell'!K8,2,0)+IF(G7='📊 Resultat &amp; Tabell'!L8,2,0))</f>
        <v>2</v>
      </c>
      <c r="J7" s="40">
        <f>IF(OR(H7="",'📊 Resultat &amp; Tabell'!M8=""),"",IF(H7='📊 Resultat &amp; Tabell'!M8,2,0))</f>
        <v>2</v>
      </c>
      <c r="K7" s="40">
        <f t="shared" si="1"/>
        <v>4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2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1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5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4</v>
      </c>
      <c r="R7" s="60">
        <f t="shared" ref="R7:R9" si="3">P7-Q7</f>
        <v>1</v>
      </c>
      <c r="S7" s="60">
        <f t="shared" ref="S7:S9" si="4">M7*3+N7</f>
        <v>6</v>
      </c>
      <c r="T7" s="71">
        <f t="shared" ref="T7:T9" si="5">S7*100000+R7*1000+P7</f>
        <v>601005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Turkiet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Australien</v>
      </c>
      <c r="AA7" s="72" cm="1">
        <f t="array" ref="AA7">IF(COUNTIFS($C$4:$C$75,"D",$F$4:$F$75,"&lt;&gt;",$G$4:$G$75,"&lt;&gt;")=0,"",LARGE($T$27:$T$30+ROW($T$27:$T$30)/100000,3))</f>
        <v>198002.00029</v>
      </c>
      <c r="AB7" s="72">
        <f t="shared" si="2"/>
        <v>7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1</v>
      </c>
      <c r="H8" s="40" t="str">
        <f t="shared" si="0"/>
        <v>X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0</v>
      </c>
      <c r="K8" s="40">
        <f t="shared" si="1"/>
        <v>0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0</v>
      </c>
      <c r="N8" s="59" cm="1">
        <f t="array" ref="N8">SUMPRODUCT(--($C$4:$C$75="A"),--(($D$4:$D$75=L8)+($E$4:$E$75=L8)&gt;0),--($F$4:$F$75=$G$4:$G$75),--($F$4:$F$75&lt;&gt;""),--($G$4:$G$75&lt;&gt;""))</f>
        <v>1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2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2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5</v>
      </c>
      <c r="R8" s="60">
        <f t="shared" si="3"/>
        <v>-3</v>
      </c>
      <c r="S8" s="60">
        <f t="shared" si="4"/>
        <v>1</v>
      </c>
      <c r="T8" s="71">
        <f t="shared" si="5"/>
        <v>97002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400004.00036000001</v>
      </c>
      <c r="AB8" s="72">
        <f t="shared" si="2"/>
        <v>1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2</v>
      </c>
      <c r="G9" s="13">
        <v>1</v>
      </c>
      <c r="H9" s="40" t="str">
        <f t="shared" si="0"/>
        <v>1</v>
      </c>
      <c r="I9" s="40">
        <f>IF(OR(F9="",G9="",'📊 Resultat &amp; Tabell'!K10="",'📊 Resultat &amp; Tabell'!L10=""),"",IF(F9='📊 Resultat &amp; Tabell'!K10,2,0)+IF(G9='📊 Resultat &amp; Tabell'!L10,2,0))</f>
        <v>0</v>
      </c>
      <c r="J9" s="40">
        <f>IF(OR(H9="",'📊 Resultat &amp; Tabell'!M10=""),"",IF(H9='📊 Resultat &amp; Tabell'!M10,2,0))</f>
        <v>2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0</v>
      </c>
      <c r="N9" s="59" cm="1">
        <f t="array" ref="N9">SUMPRODUCT(--($C$4:$C$75="A"),--(($D$4:$D$75=L9)+($E$4:$E$75=L9)&gt;0),--($F$4:$F$75=$G$4:$G$75),--($F$4:$F$75&lt;&gt;""),--($G$4:$G$75&lt;&gt;""))</f>
        <v>2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3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4</v>
      </c>
      <c r="R9" s="60">
        <f t="shared" si="3"/>
        <v>-1</v>
      </c>
      <c r="S9" s="60">
        <f t="shared" si="4"/>
        <v>2</v>
      </c>
      <c r="T9" s="71">
        <f t="shared" si="5"/>
        <v>199003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Sverige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Japan</v>
      </c>
      <c r="AA9" s="72" cm="1">
        <f t="array" ref="AA9">IF(COUNTIFS($C$4:$C$75,"F",$F$4:$F$75,"&lt;&gt;",$G$4:$G$75,"&lt;&gt;")=0,"",LARGE($T$41:$T$44+ROW($T$41:$T$44)/100000,3))</f>
        <v>97002.000419999997</v>
      </c>
      <c r="AB9" s="72">
        <f t="shared" si="2"/>
        <v>11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2</v>
      </c>
      <c r="G10" s="13">
        <v>0</v>
      </c>
      <c r="H10" s="40" t="str">
        <f t="shared" si="0"/>
        <v>1</v>
      </c>
      <c r="I10" s="40">
        <f>IF(OR(F10="",G10="",'📊 Resultat &amp; Tabell'!K11="",'📊 Resultat &amp; Tabell'!L11=""),"",IF(F10='📊 Resultat &amp; Tabell'!K11,2,0)+IF(G10='📊 Resultat &amp; Tabell'!L11,2,0))</f>
        <v>0</v>
      </c>
      <c r="J10" s="40">
        <f>IF(OR(H10="",'📊 Resultat &amp; Tabell'!M11=""),"",IF(H10='📊 Resultat &amp; Tabell'!M11,2,0))</f>
        <v>0</v>
      </c>
      <c r="K10" s="40">
        <f t="shared" si="1"/>
        <v>0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198002.00049999999</v>
      </c>
      <c r="AB10" s="72">
        <f t="shared" si="2"/>
        <v>6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1</v>
      </c>
      <c r="G11" s="13">
        <v>2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2</v>
      </c>
      <c r="J11" s="40">
        <f>IF(OR(H11="",'📊 Resultat &amp; Tabell'!M12=""),"",IF(H11='📊 Resultat &amp; Tabell'!M12,2,0))</f>
        <v>0</v>
      </c>
      <c r="K11" s="40">
        <f t="shared" si="1"/>
        <v>2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98003.000570000004</v>
      </c>
      <c r="AB11" s="72">
        <f t="shared" si="2"/>
        <v>9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4.25" customHeight="1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1</v>
      </c>
      <c r="G12" s="13">
        <v>1</v>
      </c>
      <c r="H12" s="40" t="str">
        <f t="shared" si="0"/>
        <v>X</v>
      </c>
      <c r="I12" s="40">
        <f>IF(OR(F12="",G12="",'📊 Resultat &amp; Tabell'!K13="",'📊 Resultat &amp; Tabell'!L13=""),"",IF(F12='📊 Resultat &amp; Tabell'!K13,2,0)+IF(G12='📊 Resultat &amp; Tabell'!L13,2,0))</f>
        <v>2</v>
      </c>
      <c r="J12" s="40">
        <f>IF(OR(H12="",'📊 Resultat &amp; Tabell'!M13=""),"",IF(H12='📊 Resultat &amp; Tabell'!M13,2,0))</f>
        <v>0</v>
      </c>
      <c r="K12" s="40">
        <f t="shared" si="1"/>
        <v>2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57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Norge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399003.00063000002</v>
      </c>
      <c r="AB12" s="72">
        <f t="shared" si="2"/>
        <v>2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1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0</v>
      </c>
      <c r="J13" s="40">
        <f>IF(OR(H13="",'📊 Resultat &amp; Tabell'!M14=""),"",IF(H13='📊 Resultat &amp; Tabell'!M14,2,0))</f>
        <v>2</v>
      </c>
      <c r="K13" s="40">
        <f t="shared" si="1"/>
        <v>2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3</v>
      </c>
      <c r="N13" s="59" cm="1">
        <f t="array" ref="N13">SUMPRODUCT(--($C$4:$C$75="B"),--(($D$4:$D$75=L13)+($E$4:$E$75=L13)&gt;0),--($F$4:$F$75=$G$4:$G$75),--($F$4:$F$75&lt;&gt;""),--($G$4:$G$75&lt;&gt;""))</f>
        <v>0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6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2</v>
      </c>
      <c r="R13" s="60">
        <f>P13-Q13</f>
        <v>4</v>
      </c>
      <c r="S13" s="60">
        <f>M13*3+N13</f>
        <v>9</v>
      </c>
      <c r="T13" s="71">
        <f>S13*100000+R13*1000+P13</f>
        <v>904006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96002.000700000004</v>
      </c>
      <c r="AB13" s="72">
        <f t="shared" si="2"/>
        <v>12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2</v>
      </c>
      <c r="H14" s="40" t="str">
        <f t="shared" si="0"/>
        <v>2</v>
      </c>
      <c r="I14" s="40">
        <f>IF(OR(F14="",G14="",'📊 Resultat &amp; Tabell'!K15="",'📊 Resultat &amp; Tabell'!L15=""),"",IF(F14='📊 Resultat &amp; Tabell'!K15,2,0)+IF(G14='📊 Resultat &amp; Tabell'!L15,2,0))</f>
        <v>0</v>
      </c>
      <c r="J14" s="40">
        <f>IF(OR(H14="",'📊 Resultat &amp; Tabell'!M15=""),"",IF(H14='📊 Resultat &amp; Tabell'!M15,2,0))</f>
        <v>0</v>
      </c>
      <c r="K14" s="40">
        <f t="shared" si="1"/>
        <v>0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0</v>
      </c>
      <c r="N14" s="59" cm="1">
        <f t="array" ref="N14">SUMPRODUCT(--($C$4:$C$75="B"),--(($D$4:$D$75=L14)+($E$4:$E$75=L14)&gt;0),--($F$4:$F$75=$G$4:$G$75),--($F$4:$F$75&lt;&gt;""),--($G$4:$G$75&lt;&gt;""))</f>
        <v>2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1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2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4</v>
      </c>
      <c r="R14" s="60">
        <f t="shared" ref="R14:R16" si="6">P14-Q14</f>
        <v>-2</v>
      </c>
      <c r="S14" s="60">
        <f t="shared" ref="S14:S16" si="7">M14*3+N14</f>
        <v>2</v>
      </c>
      <c r="T14" s="71">
        <f t="shared" ref="T14:T16" si="8">S14*100000+R14*1000+P14</f>
        <v>198002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Kongo-Kinshasa</v>
      </c>
      <c r="AA14" s="72" cm="1">
        <f t="array" ref="AA14">IF(COUNTIFS($C$4:$C$75,"K",$F$4:$F$75,"&lt;&gt;",$G$4:$G$75,"&lt;&gt;")=0,"",LARGE($T$76:$T$79+ROW($T$76:$T$79)/100000,3))</f>
        <v>298002.00076999998</v>
      </c>
      <c r="AB14" s="72">
        <f t="shared" si="2"/>
        <v>4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1</v>
      </c>
      <c r="G15" s="13">
        <v>1</v>
      </c>
      <c r="H15" s="40" t="str">
        <f t="shared" si="0"/>
        <v>X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0</v>
      </c>
      <c r="K15" s="40">
        <f t="shared" si="1"/>
        <v>2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1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2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3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5</v>
      </c>
      <c r="R15" s="60">
        <f t="shared" si="6"/>
        <v>-2</v>
      </c>
      <c r="S15" s="60">
        <f t="shared" si="7"/>
        <v>1</v>
      </c>
      <c r="T15" s="71">
        <f t="shared" si="8"/>
        <v>98003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97003.000849999997</v>
      </c>
      <c r="AB15" s="72">
        <f t="shared" si="2"/>
        <v>10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3</v>
      </c>
      <c r="G16" s="13">
        <v>0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0</v>
      </c>
      <c r="J16" s="40">
        <f>IF(OR(H16="",'📊 Resultat &amp; Tabell'!M17=""),"",IF(H16='📊 Resultat &amp; Tabell'!M17,2,0))</f>
        <v>0</v>
      </c>
      <c r="K16" s="40">
        <f t="shared" si="1"/>
        <v>0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1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1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4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4</v>
      </c>
      <c r="R16" s="60">
        <f t="shared" si="6"/>
        <v>0</v>
      </c>
      <c r="S16" s="60">
        <f t="shared" si="7"/>
        <v>4</v>
      </c>
      <c r="T16" s="71">
        <f t="shared" si="8"/>
        <v>400004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1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1</v>
      </c>
      <c r="H18" s="40" t="str">
        <f t="shared" si="0"/>
        <v>X</v>
      </c>
      <c r="I18" s="40">
        <f>IF(OR(F18="",G18="",'📊 Resultat &amp; Tabell'!K19="",'📊 Resultat &amp; Tabell'!L19=""),"",IF(F18='📊 Resultat &amp; Tabell'!K19,2,0)+IF(G18='📊 Resultat &amp; Tabell'!L19,2,0))</f>
        <v>2</v>
      </c>
      <c r="J18" s="40">
        <f>IF(OR(H18="",'📊 Resultat &amp; Tabell'!M19=""),"",IF(H18='📊 Resultat &amp; Tabell'!M19,2,0))</f>
        <v>0</v>
      </c>
      <c r="K18" s="40">
        <f t="shared" si="1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7.25" customHeight="1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4</v>
      </c>
      <c r="G19" s="13">
        <v>0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1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1</v>
      </c>
      <c r="G20" s="13">
        <v>2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2</v>
      </c>
      <c r="K20" s="40">
        <f t="shared" si="1"/>
        <v>2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9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1</v>
      </c>
      <c r="R20" s="60">
        <f t="shared" ref="R20:R23" si="9">P20-Q20</f>
        <v>8</v>
      </c>
      <c r="S20" s="60">
        <f t="shared" ref="S20:S23" si="10">M20*3+N20</f>
        <v>9</v>
      </c>
      <c r="T20" s="71">
        <f t="shared" ref="T20:T23" si="11">S20*100000+R20*1000+P20</f>
        <v>908009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0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1</v>
      </c>
      <c r="N21" s="59" cm="1">
        <f t="array" ref="N21">SUMPRODUCT(--($C$4:$C$75="C"),--(($D$4:$D$75=L21)+($E$4:$E$75=L21)&gt;0),--($F$4:$F$75=$G$4:$G$75),--($F$4:$F$75&lt;&gt;""),--($G$4:$G$75&lt;&gt;""))</f>
        <v>1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1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3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4</v>
      </c>
      <c r="R21" s="60">
        <f t="shared" si="9"/>
        <v>-1</v>
      </c>
      <c r="S21" s="60">
        <f t="shared" si="10"/>
        <v>4</v>
      </c>
      <c r="T21" s="71">
        <f t="shared" si="11"/>
        <v>399003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8</v>
      </c>
      <c r="R22" s="60">
        <f t="shared" si="9"/>
        <v>-8</v>
      </c>
      <c r="S22" s="60">
        <f t="shared" si="10"/>
        <v>0</v>
      </c>
      <c r="T22" s="71">
        <f t="shared" si="11"/>
        <v>-8000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1</v>
      </c>
      <c r="H23" s="40" t="str">
        <f t="shared" si="0"/>
        <v>X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1</v>
      </c>
      <c r="N23" s="59" cm="1">
        <f t="array" ref="N23">SUMPRODUCT(--($C$4:$C$75="C"),--(($D$4:$D$75=L23)+($E$4:$E$75=L23)&gt;0),--($F$4:$F$75=$G$4:$G$75),--($F$4:$F$75&lt;&gt;""),--($G$4:$G$75&lt;&gt;""))</f>
        <v>1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1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3</v>
      </c>
      <c r="R23" s="60">
        <f t="shared" si="9"/>
        <v>1</v>
      </c>
      <c r="S23" s="60">
        <f t="shared" si="10"/>
        <v>4</v>
      </c>
      <c r="T23" s="71">
        <f t="shared" si="11"/>
        <v>401004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2</v>
      </c>
      <c r="G24" s="13">
        <v>1</v>
      </c>
      <c r="H24" s="40" t="str">
        <f t="shared" si="0"/>
        <v>1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0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4</v>
      </c>
      <c r="J25" s="40">
        <f>IF(OR(H25="",'📊 Resultat &amp; Tabell'!M26=""),"",IF(H25='📊 Resultat &amp; Tabell'!M26,2,0))</f>
        <v>2</v>
      </c>
      <c r="K25" s="40">
        <f t="shared" si="1"/>
        <v>6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2</v>
      </c>
      <c r="H26" s="40" t="str">
        <f t="shared" si="0"/>
        <v>2</v>
      </c>
      <c r="I26" s="40">
        <f>IF(OR(F26="",G26="",'📊 Resultat &amp; Tabell'!K27="",'📊 Resultat &amp; Tabell'!L27=""),"",IF(F26='📊 Resultat &amp; Tabell'!K27,2,0)+IF(G26='📊 Resultat &amp; Tabell'!L27,2,0))</f>
        <v>2</v>
      </c>
      <c r="J26" s="40">
        <f>IF(OR(H26="",'📊 Resultat &amp; Tabell'!M27=""),"",IF(H26='📊 Resultat &amp; Tabell'!M27,2,0))</f>
        <v>0</v>
      </c>
      <c r="K26" s="40">
        <f t="shared" si="1"/>
        <v>2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1</v>
      </c>
      <c r="G27" s="13">
        <v>1</v>
      </c>
      <c r="H27" s="40" t="str">
        <f t="shared" si="0"/>
        <v>X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2</v>
      </c>
      <c r="K27" s="40">
        <f t="shared" si="1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3</v>
      </c>
      <c r="N27" s="59" cm="1">
        <f t="array" ref="N27">SUMPRODUCT(--($C$4:$C$75="D"),--(($D$4:$D$75=L27)+($E$4:$E$75=L27)&gt;0),--($F$4:$F$75=$G$4:$G$75),--($F$4:$F$75&lt;&gt;""),--($G$4:$G$75&lt;&gt;""))</f>
        <v>0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6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2</v>
      </c>
      <c r="R27" s="60">
        <f t="shared" ref="R27:R30" si="12">P27-Q27</f>
        <v>4</v>
      </c>
      <c r="S27" s="60">
        <f t="shared" ref="S27:S30" si="13">M27*3+N27</f>
        <v>9</v>
      </c>
      <c r="T27" s="71">
        <f t="shared" ref="T27:T30" si="14">S27*100000+R27*1000+P27</f>
        <v>904006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3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2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3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5</v>
      </c>
      <c r="R28" s="60">
        <f t="shared" si="12"/>
        <v>-2</v>
      </c>
      <c r="S28" s="60">
        <f t="shared" si="13"/>
        <v>1</v>
      </c>
      <c r="T28" s="71">
        <f t="shared" si="14"/>
        <v>98003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1</v>
      </c>
      <c r="H29" s="40" t="str">
        <f t="shared" si="0"/>
        <v>X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2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2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4</v>
      </c>
      <c r="R29" s="60">
        <f t="shared" si="12"/>
        <v>-2</v>
      </c>
      <c r="S29" s="60">
        <f t="shared" si="13"/>
        <v>2</v>
      </c>
      <c r="T29" s="71">
        <f t="shared" si="14"/>
        <v>198002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2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1</v>
      </c>
      <c r="N30" s="59" cm="1">
        <f t="array" ref="N30">SUMPRODUCT(--($C$4:$C$75="D"),--(($D$4:$D$75=L30)+($E$4:$E$75=L30)&gt;0),--($F$4:$F$75=$G$4:$G$75),--($F$4:$F$75&lt;&gt;""),--($G$4:$G$75&lt;&gt;""))</f>
        <v>1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1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4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4</v>
      </c>
      <c r="R30" s="60">
        <f t="shared" si="12"/>
        <v>0</v>
      </c>
      <c r="S30" s="60">
        <f t="shared" si="13"/>
        <v>4</v>
      </c>
      <c r="T30" s="71">
        <f t="shared" si="14"/>
        <v>400004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1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4</v>
      </c>
      <c r="J31" s="40">
        <f>IF(OR(H31="",'📊 Resultat &amp; Tabell'!M32=""),"",IF(H31='📊 Resultat &amp; Tabell'!M32,2,0))</f>
        <v>2</v>
      </c>
      <c r="K31" s="40">
        <f t="shared" si="1"/>
        <v>6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2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1</v>
      </c>
      <c r="G33" s="13">
        <v>2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2</v>
      </c>
      <c r="J33" s="40">
        <f>IF(OR(H33="",'📊 Resultat &amp; Tabell'!M34=""),"",IF(H33='📊 Resultat &amp; Tabell'!M34,2,0))</f>
        <v>2</v>
      </c>
      <c r="K33" s="40">
        <f t="shared" si="1"/>
        <v>4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2</v>
      </c>
      <c r="G34" s="13">
        <v>0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2</v>
      </c>
      <c r="J34" s="40">
        <f>IF(OR(H34="",'📊 Resultat &amp; Tabell'!M35=""),"",IF(H34='📊 Resultat &amp; Tabell'!M35,2,0))</f>
        <v>0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7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5</v>
      </c>
      <c r="S34" s="60">
        <f t="shared" ref="S34:S37" si="16">M34*3+N34</f>
        <v>9</v>
      </c>
      <c r="T34" s="71">
        <f t="shared" ref="T34:T37" si="17">S34*100000+R34*1000+P34</f>
        <v>905007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1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2</v>
      </c>
      <c r="J35" s="40">
        <f>IF(OR(H35="",'📊 Resultat &amp; Tabell'!M36=""),"",IF(H35='📊 Resultat &amp; Tabell'!M36,2,0))</f>
        <v>2</v>
      </c>
      <c r="K35" s="40">
        <f t="shared" si="1"/>
        <v>4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1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7</v>
      </c>
      <c r="R35" s="60">
        <f t="shared" si="15"/>
        <v>-6</v>
      </c>
      <c r="S35" s="60">
        <f t="shared" si="16"/>
        <v>0</v>
      </c>
      <c r="T35" s="71">
        <f t="shared" si="17"/>
        <v>-5999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1</v>
      </c>
      <c r="H36" s="40" t="str">
        <f t="shared" si="0"/>
        <v>X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0</v>
      </c>
      <c r="K36" s="40">
        <f t="shared" si="1"/>
        <v>0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4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4</v>
      </c>
      <c r="R36" s="60">
        <f t="shared" si="15"/>
        <v>0</v>
      </c>
      <c r="S36" s="60">
        <f t="shared" si="16"/>
        <v>4</v>
      </c>
      <c r="T36" s="71">
        <f t="shared" si="17"/>
        <v>400004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2</v>
      </c>
      <c r="G37" s="13">
        <v>1</v>
      </c>
      <c r="H37" s="40" t="str">
        <f t="shared" si="0"/>
        <v>1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2</v>
      </c>
      <c r="K37" s="40">
        <f t="shared" si="1"/>
        <v>4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4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1</v>
      </c>
      <c r="S37" s="60">
        <f t="shared" si="16"/>
        <v>4</v>
      </c>
      <c r="T37" s="71">
        <f t="shared" si="17"/>
        <v>401004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0</v>
      </c>
      <c r="G38" s="13">
        <v>3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2</v>
      </c>
      <c r="J38" s="40">
        <f>IF(OR(H38="",'📊 Resultat &amp; Tabell'!M39=""),"",IF(H38='📊 Resultat &amp; Tabell'!M39,2,0))</f>
        <v>2</v>
      </c>
      <c r="K38" s="40">
        <f t="shared" si="1"/>
        <v>4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1</v>
      </c>
      <c r="G39" s="13">
        <v>2</v>
      </c>
      <c r="H39" s="40" t="str">
        <f t="shared" si="0"/>
        <v>2</v>
      </c>
      <c r="I39" s="40">
        <f>IF(OR(F39="",G39="",'📊 Resultat &amp; Tabell'!K40="",'📊 Resultat &amp; Tabell'!L40=""),"",IF(F39='📊 Resultat &amp; Tabell'!K40,2,0)+IF(G39='📊 Resultat &amp; Tabell'!L40,2,0))</f>
        <v>2</v>
      </c>
      <c r="J39" s="40">
        <f>IF(OR(H39="",'📊 Resultat &amp; Tabell'!M40=""),"",IF(H39='📊 Resultat &amp; Tabell'!M40,2,0))</f>
        <v>0</v>
      </c>
      <c r="K39" s="40">
        <f t="shared" si="1"/>
        <v>2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3</v>
      </c>
      <c r="G40" s="13">
        <v>1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2</v>
      </c>
      <c r="J40" s="40">
        <f>IF(OR(H40="",'📊 Resultat &amp; Tabell'!M41=""),"",IF(H40='📊 Resultat &amp; Tabell'!M41,2,0))</f>
        <v>0</v>
      </c>
      <c r="K40" s="40">
        <f t="shared" si="1"/>
        <v>2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1</v>
      </c>
      <c r="G41" s="13">
        <v>1</v>
      </c>
      <c r="H41" s="40" t="str">
        <f t="shared" si="0"/>
        <v>X</v>
      </c>
      <c r="I41" s="40">
        <f>IF(OR(F41="",G41="",'📊 Resultat &amp; Tabell'!K42="",'📊 Resultat &amp; Tabell'!L42=""),"",IF(F41='📊 Resultat &amp; Tabell'!K42,2,0)+IF(G41='📊 Resultat &amp; Tabell'!L42,2,0))</f>
        <v>0</v>
      </c>
      <c r="J41" s="40">
        <f>IF(OR(H41="",'📊 Resultat &amp; Tabell'!M42=""),"",IF(H41='📊 Resultat &amp; Tabell'!M42,2,0))</f>
        <v>2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3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7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1</v>
      </c>
      <c r="R41" s="60">
        <f t="shared" ref="R41:R44" si="18">P41-Q41</f>
        <v>6</v>
      </c>
      <c r="S41" s="60">
        <f t="shared" ref="S41:S44" si="19">M41*3+N41</f>
        <v>9</v>
      </c>
      <c r="T41" s="71">
        <f t="shared" ref="T41:T44" si="20">S41*100000+R41*1000+P41</f>
        <v>906007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0</v>
      </c>
      <c r="G42" s="13">
        <v>2</v>
      </c>
      <c r="H42" s="40" t="str">
        <f t="shared" si="0"/>
        <v>2</v>
      </c>
      <c r="I42" s="40">
        <f>IF(OR(F42="",G42="",'📊 Resultat &amp; Tabell'!K43="",'📊 Resultat &amp; Tabell'!L43=""),"",IF(F42='📊 Resultat &amp; Tabell'!K43,2,0)+IF(G42='📊 Resultat &amp; Tabell'!L43,2,0))</f>
        <v>0</v>
      </c>
      <c r="J42" s="40">
        <f>IF(OR(H42="",'📊 Resultat &amp; Tabell'!M43=""),"",IF(H42='📊 Resultat &amp; Tabell'!M43,2,0))</f>
        <v>2</v>
      </c>
      <c r="K42" s="40">
        <f t="shared" si="1"/>
        <v>2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0</v>
      </c>
      <c r="N42" s="59" cm="1">
        <f t="array" ref="N42">SUMPRODUCT(--($C$4:$C$75="F"),--(($D$4:$D$75=L42)+($E$4:$E$75=L42)&gt;0),--($F$4:$F$75=$G$4:$G$75),--($F$4:$F$75&lt;&gt;""),--($G$4:$G$75&lt;&gt;""))</f>
        <v>1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2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2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5</v>
      </c>
      <c r="R42" s="60">
        <f t="shared" si="18"/>
        <v>-3</v>
      </c>
      <c r="S42" s="60">
        <f t="shared" si="19"/>
        <v>1</v>
      </c>
      <c r="T42" s="71">
        <f t="shared" si="20"/>
        <v>97002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0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2</v>
      </c>
      <c r="J43" s="40">
        <f>IF(OR(H43="",'📊 Resultat &amp; Tabell'!M44=""),"",IF(H43='📊 Resultat &amp; Tabell'!M44,2,0))</f>
        <v>0</v>
      </c>
      <c r="K43" s="40">
        <f t="shared" si="1"/>
        <v>2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2</v>
      </c>
      <c r="N43" s="59" cm="1">
        <f t="array" ref="N43">SUMPRODUCT(--($C$4:$C$75="F"),--(($D$4:$D$75=L43)+($E$4:$E$75=L43)&gt;0),--($F$4:$F$75=$G$4:$G$75),--($F$4:$F$75&lt;&gt;""),--($G$4:$G$75&lt;&gt;""))</f>
        <v>0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5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4</v>
      </c>
      <c r="R43" s="60">
        <f t="shared" si="18"/>
        <v>1</v>
      </c>
      <c r="S43" s="60">
        <f t="shared" si="19"/>
        <v>6</v>
      </c>
      <c r="T43" s="71">
        <f t="shared" si="20"/>
        <v>601005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3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1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2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2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6</v>
      </c>
      <c r="R44" s="60">
        <f t="shared" si="18"/>
        <v>-4</v>
      </c>
      <c r="S44" s="60">
        <f t="shared" si="19"/>
        <v>1</v>
      </c>
      <c r="T44" s="71">
        <f t="shared" si="20"/>
        <v>96002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1</v>
      </c>
      <c r="H45" s="40" t="str">
        <f t="shared" si="0"/>
        <v>X</v>
      </c>
      <c r="I45" s="40">
        <f>IF(OR(F45="",G45="",'📊 Resultat &amp; Tabell'!K46="",'📊 Resultat &amp; Tabell'!L46=""),"",IF(F45='📊 Resultat &amp; Tabell'!K46,2,0)+IF(G45='📊 Resultat &amp; Tabell'!L46,2,0))</f>
        <v>4</v>
      </c>
      <c r="J45" s="40">
        <f>IF(OR(H45="",'📊 Resultat &amp; Tabell'!M46=""),"",IF(H45='📊 Resultat &amp; Tabell'!M46,2,0))</f>
        <v>2</v>
      </c>
      <c r="K45" s="40">
        <f t="shared" si="1"/>
        <v>6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3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1</v>
      </c>
      <c r="G47" s="13">
        <v>2</v>
      </c>
      <c r="H47" s="40" t="str">
        <f t="shared" si="0"/>
        <v>2</v>
      </c>
      <c r="I47" s="40">
        <f>IF(OR(F47="",G47="",'📊 Resultat &amp; Tabell'!K48="",'📊 Resultat &amp; Tabell'!L48=""),"",IF(F47='📊 Resultat &amp; Tabell'!K48,2,0)+IF(G47='📊 Resultat &amp; Tabell'!L48,2,0))</f>
        <v>2</v>
      </c>
      <c r="J47" s="40">
        <f>IF(OR(H47="",'📊 Resultat &amp; Tabell'!M48=""),"",IF(H47='📊 Resultat &amp; Tabell'!M48,2,0))</f>
        <v>0</v>
      </c>
      <c r="K47" s="40">
        <f t="shared" si="1"/>
        <v>2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2</v>
      </c>
      <c r="G48" s="13">
        <v>0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8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1</v>
      </c>
      <c r="R48" s="60">
        <f t="shared" ref="R48:R51" si="21">P48-Q48</f>
        <v>7</v>
      </c>
      <c r="S48" s="60">
        <f t="shared" ref="S48:S51" si="22">M48*3+N48</f>
        <v>9</v>
      </c>
      <c r="T48" s="71">
        <f t="shared" ref="T48:T51" si="23">S48*100000+R48*1000+P48</f>
        <v>907008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2</v>
      </c>
      <c r="G49" s="13">
        <v>1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0</v>
      </c>
      <c r="J49" s="40">
        <f>IF(OR(H49="",'📊 Resultat &amp; Tabell'!M50=""),"",IF(H49='📊 Resultat &amp; Tabell'!M50,2,0))</f>
        <v>2</v>
      </c>
      <c r="K49" s="40">
        <f t="shared" si="1"/>
        <v>2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1</v>
      </c>
      <c r="N49" s="59" cm="1">
        <f t="array" ref="N49">SUMPRODUCT(--($C$4:$C$75="G"),--(($D$4:$D$75=L49)+($E$4:$E$75=L49)&gt;0),--($F$4:$F$75=$G$4:$G$75),--($F$4:$F$75&lt;&gt;""),--($G$4:$G$75&lt;&gt;""))</f>
        <v>1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4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4</v>
      </c>
      <c r="R49" s="60">
        <f t="shared" si="21"/>
        <v>0</v>
      </c>
      <c r="S49" s="60">
        <f t="shared" si="22"/>
        <v>4</v>
      </c>
      <c r="T49" s="71">
        <f t="shared" si="23"/>
        <v>400004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0</v>
      </c>
      <c r="N50" s="59" cm="1">
        <f t="array" ref="N50">SUMPRODUCT(--($C$4:$C$75="G"),--(($D$4:$D$75=L50)+($E$4:$E$75=L50)&gt;0),--($F$4:$F$75=$G$4:$G$75),--($F$4:$F$75&lt;&gt;""),--($G$4:$G$75&lt;&gt;""))</f>
        <v>2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1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2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4</v>
      </c>
      <c r="R50" s="60">
        <f t="shared" si="21"/>
        <v>-2</v>
      </c>
      <c r="S50" s="60">
        <f t="shared" si="22"/>
        <v>2</v>
      </c>
      <c r="T50" s="71">
        <f t="shared" si="23"/>
        <v>198002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1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1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2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1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6</v>
      </c>
      <c r="R51" s="60">
        <f t="shared" si="21"/>
        <v>-5</v>
      </c>
      <c r="S51" s="60">
        <f t="shared" si="22"/>
        <v>1</v>
      </c>
      <c r="T51" s="71">
        <f t="shared" si="23"/>
        <v>95001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0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0</v>
      </c>
      <c r="J52" s="40">
        <f>IF(OR(H52="",'📊 Resultat &amp; Tabell'!M53=""),"",IF(H52='📊 Resultat &amp; Tabell'!M53,2,0))</f>
        <v>2</v>
      </c>
      <c r="K52" s="40">
        <f t="shared" si="1"/>
        <v>2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2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1</v>
      </c>
      <c r="G54" s="13">
        <v>1</v>
      </c>
      <c r="H54" s="40" t="str">
        <f t="shared" si="0"/>
        <v>X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0</v>
      </c>
      <c r="K54" s="40">
        <f t="shared" si="1"/>
        <v>0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3</v>
      </c>
      <c r="G55" s="13">
        <v>0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4</v>
      </c>
      <c r="J55" s="40">
        <f>IF(OR(H55="",'📊 Resultat &amp; Tabell'!M56=""),"",IF(H55='📊 Resultat &amp; Tabell'!M56,2,0))</f>
        <v>2</v>
      </c>
      <c r="K55" s="40">
        <f t="shared" si="1"/>
        <v>6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7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2</v>
      </c>
      <c r="R55" s="60">
        <f t="shared" ref="R55:R58" si="24">P55-Q55</f>
        <v>5</v>
      </c>
      <c r="S55" s="60">
        <f t="shared" ref="S55:S58" si="25">M55*3+N55</f>
        <v>9</v>
      </c>
      <c r="T55" s="71">
        <f t="shared" ref="T55:T58" si="26">S55*100000+R55*1000+P55</f>
        <v>905007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2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2</v>
      </c>
      <c r="K56" s="40">
        <f t="shared" si="1"/>
        <v>4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6</v>
      </c>
      <c r="R56" s="60">
        <f t="shared" si="24"/>
        <v>-5</v>
      </c>
      <c r="S56" s="60">
        <f t="shared" si="25"/>
        <v>1</v>
      </c>
      <c r="T56" s="71">
        <f t="shared" si="26"/>
        <v>95001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2</v>
      </c>
      <c r="G57" s="13">
        <v>1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0</v>
      </c>
      <c r="J57" s="40">
        <f>IF(OR(H57="",'📊 Resultat &amp; Tabell'!M58=""),"",IF(H57='📊 Resultat &amp; Tabell'!M58,2,0))</f>
        <v>2</v>
      </c>
      <c r="K57" s="40">
        <f t="shared" si="1"/>
        <v>2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3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5</v>
      </c>
      <c r="R57" s="60">
        <f t="shared" si="24"/>
        <v>-2</v>
      </c>
      <c r="S57" s="60">
        <f t="shared" si="25"/>
        <v>1</v>
      </c>
      <c r="T57" s="71">
        <f t="shared" si="26"/>
        <v>98003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0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4</v>
      </c>
      <c r="J58" s="40">
        <f>IF(OR(H58="",'📊 Resultat &amp; Tabell'!M59=""),"",IF(H58='📊 Resultat &amp; Tabell'!M59,2,0))</f>
        <v>2</v>
      </c>
      <c r="K58" s="40">
        <f t="shared" si="1"/>
        <v>6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5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3</v>
      </c>
      <c r="R58" s="60">
        <f t="shared" si="24"/>
        <v>2</v>
      </c>
      <c r="S58" s="60">
        <f t="shared" si="25"/>
        <v>6</v>
      </c>
      <c r="T58" s="71">
        <f t="shared" si="26"/>
        <v>602005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1</v>
      </c>
      <c r="H60" s="40" t="str">
        <f t="shared" si="0"/>
        <v>X</v>
      </c>
      <c r="I60" s="40">
        <f>IF(OR(F60="",G60="",'📊 Resultat &amp; Tabell'!K61="",'📊 Resultat &amp; Tabell'!L61=""),"",IF(F60='📊 Resultat &amp; Tabell'!K61,2,0)+IF(G60='📊 Resultat &amp; Tabell'!L61,2,0))</f>
        <v>2</v>
      </c>
      <c r="J60" s="40">
        <f>IF(OR(H60="",'📊 Resultat &amp; Tabell'!M61=""),"",IF(H60='📊 Resultat &amp; Tabell'!M61,2,0))</f>
        <v>0</v>
      </c>
      <c r="K60" s="40">
        <f t="shared" si="1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1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7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1</v>
      </c>
      <c r="R62" s="60">
        <f t="shared" ref="R62:R65" si="27">P62-Q62</f>
        <v>6</v>
      </c>
      <c r="S62" s="60">
        <f t="shared" ref="S62:S65" si="28">M62*3+N62</f>
        <v>9</v>
      </c>
      <c r="T62" s="71">
        <f t="shared" ref="T62:T65" si="29">S62*100000+R62*1000+P62</f>
        <v>906007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2</v>
      </c>
      <c r="H63" s="40" t="str">
        <f t="shared" si="0"/>
        <v>2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0</v>
      </c>
      <c r="K63" s="40">
        <f t="shared" si="1"/>
        <v>0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1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3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4</v>
      </c>
      <c r="R63" s="60">
        <f t="shared" si="27"/>
        <v>-1</v>
      </c>
      <c r="S63" s="60">
        <f t="shared" si="28"/>
        <v>4</v>
      </c>
      <c r="T63" s="71">
        <f t="shared" si="29"/>
        <v>399003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2</v>
      </c>
      <c r="G64" s="13">
        <v>0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1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1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7</v>
      </c>
      <c r="R64" s="60">
        <f t="shared" si="27"/>
        <v>-6</v>
      </c>
      <c r="S64" s="60">
        <f t="shared" si="28"/>
        <v>0</v>
      </c>
      <c r="T64" s="71">
        <f t="shared" si="29"/>
        <v>-5999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1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2</v>
      </c>
      <c r="J65" s="40">
        <f>IF(OR(H65="",'📊 Resultat &amp; Tabell'!M66=""),"",IF(H65='📊 Resultat &amp; Tabell'!M66,2,0))</f>
        <v>2</v>
      </c>
      <c r="K65" s="40">
        <f t="shared" si="1"/>
        <v>4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1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4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3</v>
      </c>
      <c r="R65" s="60">
        <f t="shared" si="27"/>
        <v>1</v>
      </c>
      <c r="S65" s="60">
        <f t="shared" si="28"/>
        <v>4</v>
      </c>
      <c r="T65" s="71">
        <f t="shared" si="29"/>
        <v>401004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1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0</v>
      </c>
      <c r="J66" s="40">
        <f>IF(OR(H66="",'📊 Resultat &amp; Tabell'!M67=""),"",IF(H66='📊 Resultat &amp; Tabell'!M67,2,0))</f>
        <v>2</v>
      </c>
      <c r="K66" s="40">
        <f t="shared" si="1"/>
        <v>2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3</v>
      </c>
      <c r="G67" s="13">
        <v>1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0</v>
      </c>
      <c r="J67" s="40">
        <f>IF(OR(H67="",'📊 Resultat &amp; Tabell'!M68=""),"",IF(H67='📊 Resultat &amp; Tabell'!M68,2,0))</f>
        <v>2</v>
      </c>
      <c r="K67" s="40">
        <f t="shared" si="1"/>
        <v>2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1</v>
      </c>
      <c r="H68" s="40" t="str">
        <f t="shared" ref="H68:H107" si="30">IF(OR(F68="",G68=""),"",IF(F68&gt;G68,"1",IF(F68&lt;G68,"2","X")))</f>
        <v>X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2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0</v>
      </c>
      <c r="H69" s="40" t="str">
        <f t="shared" si="30"/>
        <v>1</v>
      </c>
      <c r="I69" s="40">
        <f>IF(OR(F69="",G69="",'📊 Resultat &amp; Tabell'!K70="",'📊 Resultat &amp; Tabell'!L70=""),"",IF(F69='📊 Resultat &amp; Tabell'!K70,2,0)+IF(G69='📊 Resultat &amp; Tabell'!L70,2,0))</f>
        <v>0</v>
      </c>
      <c r="J69" s="40">
        <f>IF(OR(H69="",'📊 Resultat &amp; Tabell'!M70=""),"",IF(H69='📊 Resultat &amp; Tabell'!M70,2,0))</f>
        <v>2</v>
      </c>
      <c r="K69" s="40">
        <f t="shared" si="31"/>
        <v>2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7</v>
      </c>
      <c r="S69" s="60">
        <f t="shared" ref="S69:S72" si="33">M69*3+N69</f>
        <v>9</v>
      </c>
      <c r="T69" s="71">
        <f t="shared" ref="T69:T72" si="34">S69*100000+R69*1000+P69</f>
        <v>907008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1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2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2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6</v>
      </c>
      <c r="R70" s="60">
        <f t="shared" si="32"/>
        <v>-4</v>
      </c>
      <c r="S70" s="60">
        <f t="shared" si="33"/>
        <v>1</v>
      </c>
      <c r="T70" s="71">
        <f t="shared" si="34"/>
        <v>96002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1</v>
      </c>
      <c r="G71" s="13">
        <v>1</v>
      </c>
      <c r="H71" s="40" t="str">
        <f t="shared" si="30"/>
        <v>X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0</v>
      </c>
      <c r="K71" s="40">
        <f t="shared" si="31"/>
        <v>2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2</v>
      </c>
      <c r="N71" s="59" cm="1">
        <f t="array" ref="N71">SUMPRODUCT(--($C$4:$C$75="J"),--(($D$4:$D$75=L71)+($E$4:$E$75=L71)&gt;0),--($F$4:$F$75=$G$4:$G$75),--($F$4:$F$75&lt;&gt;""),--($G$4:$G$75&lt;&gt;""))</f>
        <v>0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5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2</v>
      </c>
      <c r="S71" s="60">
        <f t="shared" si="33"/>
        <v>6</v>
      </c>
      <c r="T71" s="71">
        <f t="shared" si="34"/>
        <v>602005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1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6</v>
      </c>
      <c r="R72" s="60">
        <f t="shared" si="32"/>
        <v>-5</v>
      </c>
      <c r="S72" s="60">
        <f t="shared" si="33"/>
        <v>1</v>
      </c>
      <c r="T72" s="71">
        <f t="shared" si="34"/>
        <v>95001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3</v>
      </c>
      <c r="G73" s="13">
        <v>1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0</v>
      </c>
      <c r="J73" s="40">
        <f>IF(OR(H73="",'📊 Resultat &amp; Tabell'!M74=""),"",IF(H73='📊 Resultat &amp; Tabell'!M74,2,0))</f>
        <v>0</v>
      </c>
      <c r="K73" s="40">
        <f t="shared" si="31"/>
        <v>0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3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1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4</v>
      </c>
      <c r="J75" s="40">
        <f>IF(OR(H75="",'📊 Resultat &amp; Tabell'!M76=""),"",IF(H75='📊 Resultat &amp; Tabell'!M76,2,0))</f>
        <v>2</v>
      </c>
      <c r="K75" s="40">
        <f t="shared" si="31"/>
        <v>6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33">
        <v>73</v>
      </c>
      <c r="B76" s="41" t="s">
        <v>190</v>
      </c>
      <c r="C76" s="33"/>
      <c r="D76" s="77" t="s">
        <v>290</v>
      </c>
      <c r="E76" s="78" t="s">
        <v>70</v>
      </c>
      <c r="F76" s="13">
        <v>1</v>
      </c>
      <c r="G76" s="13">
        <v>2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0</v>
      </c>
      <c r="J76" s="40">
        <f>IF(OR(H76="",'📊 Resultat &amp; Tabell'!M77=""),"",IF(H76='📊 Resultat &amp; Tabell'!M77,2,0))</f>
        <v>2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2</v>
      </c>
      <c r="N76" s="59" cm="1">
        <f t="array" ref="N76">SUMPRODUCT(--($C$4:$C$75="K"),--(($D$4:$D$75=L76)+($E$4:$E$75=L76)&gt;0),--($F$4:$F$75=$G$4:$G$75),--($F$4:$F$75&lt;&gt;""),--($G$4:$G$75&lt;&gt;""))</f>
        <v>1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6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2</v>
      </c>
      <c r="R76" s="60">
        <f t="shared" ref="R76:R79" si="35">P76-Q76</f>
        <v>4</v>
      </c>
      <c r="S76" s="60">
        <f t="shared" ref="S76:S79" si="36">M76*3+N76</f>
        <v>7</v>
      </c>
      <c r="T76" s="71">
        <f t="shared" ref="T76:T79" si="37">S76*100000+R76*1000+P76</f>
        <v>704006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4</v>
      </c>
      <c r="J77" s="40">
        <f>IF(OR(H77="",'📊 Resultat &amp; Tabell'!M78=""),"",IF(H77='📊 Resultat &amp; Tabell'!M78,2,0))</f>
        <v>2</v>
      </c>
      <c r="K77" s="40">
        <f t="shared" si="31"/>
        <v>6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1</v>
      </c>
      <c r="N77" s="59" cm="1">
        <f t="array" ref="N77">SUMPRODUCT(--($C$4:$C$75="K"),--(($D$4:$D$75=L77)+($E$4:$E$75=L77)&gt;0),--($F$4:$F$75=$G$4:$G$75),--($F$4:$F$75&lt;&gt;""),--($G$4:$G$75&lt;&gt;""))</f>
        <v>0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2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4</v>
      </c>
      <c r="R77" s="60">
        <f t="shared" si="35"/>
        <v>-2</v>
      </c>
      <c r="S77" s="60">
        <f t="shared" si="36"/>
        <v>3</v>
      </c>
      <c r="T77" s="71">
        <f t="shared" si="37"/>
        <v>298002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33">
        <v>75</v>
      </c>
      <c r="B78" s="41" t="s">
        <v>190</v>
      </c>
      <c r="C78" s="33"/>
      <c r="D78" s="78" t="s">
        <v>110</v>
      </c>
      <c r="E78" s="78" t="s">
        <v>101</v>
      </c>
      <c r="F78" s="13">
        <v>2</v>
      </c>
      <c r="G78" s="13">
        <v>0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0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3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2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6</v>
      </c>
      <c r="R78" s="60">
        <f t="shared" si="35"/>
        <v>-4</v>
      </c>
      <c r="S78" s="60">
        <f t="shared" si="36"/>
        <v>0</v>
      </c>
      <c r="T78" s="71">
        <f t="shared" si="37"/>
        <v>-3998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2</v>
      </c>
      <c r="G79" s="13">
        <v>1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1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0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5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3</v>
      </c>
      <c r="R79" s="60">
        <f t="shared" si="35"/>
        <v>2</v>
      </c>
      <c r="S79" s="60">
        <f t="shared" si="36"/>
        <v>7</v>
      </c>
      <c r="T79" s="71">
        <f t="shared" si="37"/>
        <v>702005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33">
        <v>77</v>
      </c>
      <c r="B80" s="41" t="s">
        <v>190</v>
      </c>
      <c r="C80" s="33"/>
      <c r="D80" s="78" t="s">
        <v>291</v>
      </c>
      <c r="E80" s="78" t="s">
        <v>158</v>
      </c>
      <c r="F80" s="13">
        <v>1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4</v>
      </c>
      <c r="J80" s="40">
        <f>IF(OR(H80="",'📊 Resultat &amp; Tabell'!M81=""),"",IF(H80='📊 Resultat &amp; Tabell'!M81,2,0))</f>
        <v>2</v>
      </c>
      <c r="K80" s="40">
        <f t="shared" si="31"/>
        <v>6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3</v>
      </c>
      <c r="G81" s="13">
        <v>1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2</v>
      </c>
      <c r="J81" s="40">
        <f>IF(OR(H81="",'📊 Resultat &amp; Tabell'!M82=""),"",IF(H81='📊 Resultat &amp; Tabell'!M82,2,0))</f>
        <v>2</v>
      </c>
      <c r="K81" s="40">
        <f t="shared" si="31"/>
        <v>4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33">
        <v>79</v>
      </c>
      <c r="B82" s="41" t="s">
        <v>190</v>
      </c>
      <c r="C82" s="33"/>
      <c r="D82" s="78" t="s">
        <v>48</v>
      </c>
      <c r="E82" s="78" t="s">
        <v>116</v>
      </c>
      <c r="F82" s="13">
        <v>2</v>
      </c>
      <c r="G82" s="13">
        <v>1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2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2</v>
      </c>
      <c r="J83" s="40">
        <f>IF(OR(H83="",'📊 Resultat &amp; Tabell'!M84=""),"",IF(H83='📊 Resultat &amp; Tabell'!M84,2,0))</f>
        <v>2</v>
      </c>
      <c r="K83" s="40">
        <f t="shared" si="31"/>
        <v>4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8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2</v>
      </c>
      <c r="R83" s="60">
        <f t="shared" ref="R83:R86" si="38">P83-Q83</f>
        <v>6</v>
      </c>
      <c r="S83" s="60">
        <f t="shared" ref="S83:S86" si="39">M83*3+N83</f>
        <v>9</v>
      </c>
      <c r="T83" s="71">
        <f t="shared" ref="T83:T86" si="40">S83*100000+R83*1000+P83</f>
        <v>906008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33">
        <v>81</v>
      </c>
      <c r="B84" s="41" t="s">
        <v>190</v>
      </c>
      <c r="C84" s="33"/>
      <c r="D84" s="78" t="s">
        <v>131</v>
      </c>
      <c r="E84" s="78" t="s">
        <v>153</v>
      </c>
      <c r="F84" s="13">
        <v>1</v>
      </c>
      <c r="G84" s="13">
        <v>1</v>
      </c>
      <c r="H84" s="40" t="str">
        <f t="shared" si="30"/>
        <v>X</v>
      </c>
      <c r="I84" s="40">
        <f>IF(OR(F84="",G84="",'📊 Resultat &amp; Tabell'!K85="",'📊 Resultat &amp; Tabell'!L85=""),"",IF(F84='📊 Resultat &amp; Tabell'!K85,2,0)+IF(G84='📊 Resultat &amp; Tabell'!L85,2,0))</f>
        <v>0</v>
      </c>
      <c r="J84" s="40">
        <f>IF(OR(H84="",'📊 Resultat &amp; Tabell'!M85=""),"",IF(H84='📊 Resultat &amp; Tabell'!M85,2,0))</f>
        <v>2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2</v>
      </c>
      <c r="N84" s="59" cm="1">
        <f t="array" ref="N84">SUMPRODUCT(--($C$4:$C$75="L"),--(($D$4:$D$75=L84)+($E$4:$E$75=L84)&gt;0),--($F$4:$F$75=$G$4:$G$75),--($F$4:$F$75&lt;&gt;""),--($G$4:$G$75&lt;&gt;""))</f>
        <v>0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5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3</v>
      </c>
      <c r="R84" s="60">
        <f t="shared" si="38"/>
        <v>2</v>
      </c>
      <c r="S84" s="60">
        <f t="shared" si="39"/>
        <v>6</v>
      </c>
      <c r="T84" s="71">
        <f t="shared" si="40"/>
        <v>602005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1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2</v>
      </c>
      <c r="J85" s="40">
        <f>IF(OR(H85="",'📊 Resultat &amp; Tabell'!M86=""),"",IF(H85='📊 Resultat &amp; Tabell'!M86,2,0))</f>
        <v>2</v>
      </c>
      <c r="K85" s="40">
        <f t="shared" si="31"/>
        <v>4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0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2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3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6</v>
      </c>
      <c r="R85" s="60">
        <f t="shared" si="38"/>
        <v>-3</v>
      </c>
      <c r="S85" s="60">
        <f t="shared" si="39"/>
        <v>1</v>
      </c>
      <c r="T85" s="71">
        <f t="shared" si="40"/>
        <v>97003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33">
        <v>83</v>
      </c>
      <c r="B86" s="41" t="s">
        <v>190</v>
      </c>
      <c r="C86" s="33"/>
      <c r="D86" s="78" t="s">
        <v>141</v>
      </c>
      <c r="E86" s="78" t="s">
        <v>165</v>
      </c>
      <c r="F86" s="13">
        <v>2</v>
      </c>
      <c r="G86" s="13">
        <v>0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2</v>
      </c>
      <c r="J86" s="40">
        <f>IF(OR(H86="",'📊 Resultat &amp; Tabell'!M87=""),"",IF(H86='📊 Resultat &amp; Tabell'!M87,2,0))</f>
        <v>2</v>
      </c>
      <c r="K86" s="40">
        <f t="shared" si="31"/>
        <v>4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1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2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1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6</v>
      </c>
      <c r="R86" s="60">
        <f t="shared" si="38"/>
        <v>-5</v>
      </c>
      <c r="S86" s="60">
        <f t="shared" si="39"/>
        <v>1</v>
      </c>
      <c r="T86" s="71">
        <f t="shared" si="40"/>
        <v>95001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2</v>
      </c>
      <c r="G87" s="13">
        <v>1</v>
      </c>
      <c r="H87" s="40" t="str">
        <f t="shared" si="30"/>
        <v>1</v>
      </c>
      <c r="I87" s="40">
        <f>IF(OR(F87="",G87="",'📊 Resultat &amp; Tabell'!K88="",'📊 Resultat &amp; Tabell'!L88=""),"",IF(F87='📊 Resultat &amp; Tabell'!K88,2,0)+IF(G87='📊 Resultat &amp; Tabell'!L88,2,0))</f>
        <v>4</v>
      </c>
      <c r="J87" s="40">
        <f>IF(OR(H87="",'📊 Resultat &amp; Tabell'!M88=""),"",IF(H87='📊 Resultat &amp; Tabell'!M88,2,0))</f>
        <v>2</v>
      </c>
      <c r="K87" s="40">
        <f t="shared" si="31"/>
        <v>6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33">
        <v>85</v>
      </c>
      <c r="B88" s="41" t="s">
        <v>190</v>
      </c>
      <c r="C88" s="33"/>
      <c r="D88" s="78" t="s">
        <v>79</v>
      </c>
      <c r="E88" s="78" t="s">
        <v>163</v>
      </c>
      <c r="F88" s="13">
        <v>1</v>
      </c>
      <c r="G88" s="13">
        <v>0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2</v>
      </c>
      <c r="J88" s="40">
        <f>IF(OR(H88="",'📊 Resultat &amp; Tabell'!M89=""),"",IF(H88='📊 Resultat &amp; Tabell'!M89,2,0))</f>
        <v>2</v>
      </c>
      <c r="K88" s="40">
        <f t="shared" si="31"/>
        <v>4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1</v>
      </c>
      <c r="G89" s="13">
        <v>2</v>
      </c>
      <c r="H89" s="40" t="str">
        <f t="shared" si="30"/>
        <v>2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33">
        <v>87</v>
      </c>
      <c r="B90" s="41" t="s">
        <v>190</v>
      </c>
      <c r="C90" s="33"/>
      <c r="D90" s="80" t="s">
        <v>161</v>
      </c>
      <c r="E90" s="78" t="s">
        <v>143</v>
      </c>
      <c r="F90" s="13">
        <v>3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1</v>
      </c>
      <c r="H91" s="40" t="str">
        <f t="shared" si="30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33">
        <v>89</v>
      </c>
      <c r="B92" s="41" t="s">
        <v>192</v>
      </c>
      <c r="C92" s="33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33">
        <v>91</v>
      </c>
      <c r="B94" s="41" t="s">
        <v>192</v>
      </c>
      <c r="C94" s="33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33">
        <v>93</v>
      </c>
      <c r="B96" s="41" t="s">
        <v>192</v>
      </c>
      <c r="C96" s="33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33">
        <v>95</v>
      </c>
      <c r="B98" s="41" t="s">
        <v>192</v>
      </c>
      <c r="C98" s="33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33">
        <v>97</v>
      </c>
      <c r="B100" s="41" t="s">
        <v>193</v>
      </c>
      <c r="C100" s="33"/>
      <c r="D100" s="78" t="str">
        <f>IF(OR(F92="",G92=""),"",IF(F92&gt;G92,D92,IF(F92&lt;G92,E92,"")))</f>
        <v/>
      </c>
      <c r="E100" s="78" t="str">
        <f>IF(OR(F93="",G93=""),"",IF(F93&gt;G93,D93,IF(F93&lt;G93,E93,"")))</f>
        <v/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8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33">
        <v>99</v>
      </c>
      <c r="B102" s="41" t="s">
        <v>193</v>
      </c>
      <c r="C102" s="33"/>
      <c r="D102" s="78" t="str">
        <f>IF(OR(F94="",G94=""),"",IF(F94&gt;G94,D94,IF(F94&lt;G94,E94,"")))</f>
        <v/>
      </c>
      <c r="E102" s="78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8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33">
        <v>101</v>
      </c>
      <c r="B104" s="41" t="s">
        <v>194</v>
      </c>
      <c r="C104" s="33"/>
      <c r="D104" s="78" t="str">
        <f>IF(OR(F100="",G100=""),"",IF(F100&gt;G100,D100,IF(F100&lt;G100,E100,"")))</f>
        <v/>
      </c>
      <c r="E104" s="78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8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33"/>
      <c r="D106" s="81" t="str">
        <f>IF(OR(F104="",G104=""),"",IF(F104&lt;G104,D104,IF(F104&gt;G104,E104,"")))</f>
        <v/>
      </c>
      <c r="E106" s="81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8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224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151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301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224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94ACEA4E-96BB-4474-8E46-5CA14E8AFF42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76B6E53C-818C-454C-ACF4-77F6B75BF347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E390E388-A8CB-4EDC-B609-B913C5B8091F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BD8B17DD-6DAC-494D-84D6-661DFDE4FB48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1264E6C1-76AD-47D7-A7EE-37B8680F1415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DD1512B0-54A7-4CB5-9113-10549A916C2F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4D1DAB59-DB8F-480C-86C9-1D7DD5253EDB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7B950026-0491-485F-8CAD-105258FD779E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D0C1702A-DC0B-4F59-B730-3E7C9F684495}"/>
  </hyperlinks>
  <pageMargins left="0.7" right="0.7" top="0.75" bottom="0.75" header="0.3" footer="0.3"/>
  <tableParts count="1">
    <tablePart r:id="rId9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E4F1-5100-A542-89AB-BF70F1622172}">
  <sheetPr>
    <pageSetUpPr fitToPage="1"/>
  </sheetPr>
  <dimension ref="A1:AN116"/>
  <sheetViews>
    <sheetView showGridLines="0" topLeftCell="A70" workbookViewId="0">
      <selection activeCell="D99" sqref="D99:E99"/>
    </sheetView>
  </sheetViews>
  <sheetFormatPr defaultRowHeight="15"/>
  <cols>
    <col min="1" max="1" width="16" bestFit="1" customWidth="1"/>
    <col min="2" max="2" width="17" customWidth="1"/>
    <col min="3" max="3" width="8" customWidth="1"/>
    <col min="4" max="4" width="20" customWidth="1"/>
    <col min="5" max="5" width="21.7109375" bestFit="1" customWidth="1"/>
    <col min="6" max="6" width="14.42578125" customWidth="1"/>
    <col min="7" max="7" width="15.42578125" customWidth="1"/>
    <col min="8" max="8" width="9" customWidth="1"/>
    <col min="9" max="9" width="19.42578125" customWidth="1"/>
    <col min="10" max="10" width="18.5703125" customWidth="1"/>
    <col min="11" max="11" width="20.85546875" customWidth="1"/>
    <col min="12" max="12" width="22.28515625" bestFit="1" customWidth="1"/>
    <col min="14" max="14" width="20" customWidth="1"/>
    <col min="15" max="19" width="8" customWidth="1"/>
    <col min="20" max="20" width="12.7109375" customWidth="1"/>
    <col min="21" max="21" width="8" customWidth="1"/>
    <col min="22" max="23" width="13" bestFit="1" customWidth="1"/>
    <col min="24" max="24" width="16.42578125" customWidth="1"/>
    <col min="26" max="26" width="30" customWidth="1"/>
    <col min="27" max="27" width="13" bestFit="1" customWidth="1"/>
    <col min="28" max="29" width="11.42578125" bestFit="1" customWidth="1"/>
  </cols>
  <sheetData>
    <row r="1" spans="1:40" ht="27.95" customHeight="1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 ht="21.95" customHeight="1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1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2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4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Sydkorea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South Africa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Tjeckien</v>
      </c>
      <c r="AA4" s="72">
        <f>IF(COUNTIFS($C$4:$C$75,"A",$F$4:$F$75,"&lt;&gt;",$G$4:$G$75,"&lt;&gt;")=0,"",IFERROR(LARGE($T$6:$T$9,3),""))</f>
        <v>399003</v>
      </c>
      <c r="AB4" s="72">
        <f>IF(AA4="","",_xlfn.RANK.EQ(AA4,$AA$4:$AA$15,0))</f>
        <v>6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6.5" customHeight="1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2</v>
      </c>
      <c r="G5" s="13">
        <v>0</v>
      </c>
      <c r="H5" s="40" t="str">
        <f t="shared" si="0"/>
        <v>1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2</v>
      </c>
      <c r="K5" s="40">
        <f t="shared" si="1"/>
        <v>4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Kanada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Schweiz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Qatar</v>
      </c>
      <c r="AA5" s="72" cm="1">
        <f t="array" ref="AA5">IF(COUNTIFS($C$4:$C$75,"B",$F$4:$F$75,"&lt;&gt;",$G$4:$G$75,"&lt;&gt;")=0,"",LARGE($T$13:$T$16+ROW($T$13:$T$16)/100000,3))</f>
        <v>199003.00015000001</v>
      </c>
      <c r="AB5" s="72">
        <f t="shared" ref="AB5:AB15" si="2">IF(AA5="","",_xlfn.RANK.EQ(AA5,$AA$4:$AA$15,0))</f>
        <v>11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1</v>
      </c>
      <c r="G6" s="13">
        <v>1</v>
      </c>
      <c r="H6" s="40" t="str">
        <f t="shared" si="0"/>
        <v>X</v>
      </c>
      <c r="I6" s="40">
        <f>IF(OR(F6="",G6="",'📊 Resultat &amp; Tabell'!K7="",'📊 Resultat &amp; Tabell'!L7=""),"",IF(F6='📊 Resultat &amp; Tabell'!K7,2,0)+IF(G6='📊 Resultat &amp; Tabell'!L7,2,0))</f>
        <v>4</v>
      </c>
      <c r="J6" s="40">
        <f>IF(OR(H6="",'📊 Resultat &amp; Tabell'!M7=""),"",IF(H6='📊 Resultat &amp; Tabell'!M7,2,0))</f>
        <v>2</v>
      </c>
      <c r="K6" s="40">
        <f t="shared" si="1"/>
        <v>6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1</v>
      </c>
      <c r="N6" s="59" cm="1">
        <f t="array" ref="N6">SUMPRODUCT(--($C$4:$C$75="A"),--(($D$4:$D$75=L6)+($E$4:$E$75=L6)&gt;0),--($F$4:$F$75=$G$4:$G$75),--($F$4:$F$75&lt;&gt;""),--($G$4:$G$75&lt;&gt;""))</f>
        <v>0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2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4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5</v>
      </c>
      <c r="R6" s="60">
        <f>P6-Q6</f>
        <v>-1</v>
      </c>
      <c r="S6" s="60">
        <f>M6*3+N6</f>
        <v>3</v>
      </c>
      <c r="T6" s="71">
        <f>S6*100000+R6*1000+P6</f>
        <v>299004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Skottland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Brasilien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Haiti</v>
      </c>
      <c r="AA6" s="72" cm="1">
        <f t="array" ref="AA6">IF(COUNTIFS($C$4:$C$75,"C",$F$4:$F$75,"&lt;&gt;",$G$4:$G$75,"&lt;&gt;")=0,"",LARGE($T$20:$T$23+ROW($T$20:$T$23)/100000,3))</f>
        <v>199003.00021999999</v>
      </c>
      <c r="AB6" s="72">
        <f t="shared" si="2"/>
        <v>10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1</v>
      </c>
      <c r="G7" s="13">
        <v>2</v>
      </c>
      <c r="H7" s="40" t="str">
        <f t="shared" si="0"/>
        <v>2</v>
      </c>
      <c r="I7" s="40">
        <f>IF(OR(F7="",G7="",'📊 Resultat &amp; Tabell'!K8="",'📊 Resultat &amp; Tabell'!L8=""),"",IF(F7='📊 Resultat &amp; Tabell'!K8,2,0)+IF(G7='📊 Resultat &amp; Tabell'!L8,2,0))</f>
        <v>2</v>
      </c>
      <c r="J7" s="40">
        <f>IF(OR(H7="",'📊 Resultat &amp; Tabell'!M8=""),"",IF(H7='📊 Resultat &amp; Tabell'!M8,2,0))</f>
        <v>0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1</v>
      </c>
      <c r="N7" s="59" cm="1">
        <f t="array" ref="N7">SUMPRODUCT(--($C$4:$C$75="A"),--(($D$4:$D$75=L7)+($E$4:$E$75=L7)&gt;0),--($F$4:$F$75=$G$4:$G$75),--($F$4:$F$75&lt;&gt;""),--($G$4:$G$75&lt;&gt;""))</f>
        <v>1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1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3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3</v>
      </c>
      <c r="R7" s="60">
        <f t="shared" ref="R7:R9" si="3">P7-Q7</f>
        <v>0</v>
      </c>
      <c r="S7" s="60">
        <f t="shared" ref="S7:S9" si="4">M7*3+N7</f>
        <v>4</v>
      </c>
      <c r="T7" s="71">
        <f t="shared" ref="T7:T9" si="5">S7*100000+R7*1000+P7</f>
        <v>400003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Australien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Paraguay</v>
      </c>
      <c r="AA7" s="72" cm="1">
        <f t="array" ref="AA7">IF(COUNTIFS($C$4:$C$75,"D",$F$4:$F$75,"&lt;&gt;",$G$4:$G$75,"&lt;&gt;")=0,"",LARGE($T$27:$T$30+ROW($T$27:$T$30)/100000,3))</f>
        <v>199003.00028000001</v>
      </c>
      <c r="AB7" s="72">
        <f t="shared" si="2"/>
        <v>9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2</v>
      </c>
      <c r="G8" s="13">
        <v>1</v>
      </c>
      <c r="H8" s="40" t="str">
        <f t="shared" si="0"/>
        <v>1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0</v>
      </c>
      <c r="K8" s="40">
        <f t="shared" si="1"/>
        <v>0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2</v>
      </c>
      <c r="N8" s="59" cm="1">
        <f t="array" ref="N8">SUMPRODUCT(--($C$4:$C$75="A"),--(($D$4:$D$75=L8)+($E$4:$E$75=L8)&gt;0),--($F$4:$F$75=$G$4:$G$75),--($F$4:$F$75&lt;&gt;""),--($G$4:$G$75&lt;&gt;""))</f>
        <v>0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1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4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2</v>
      </c>
      <c r="R8" s="60">
        <f t="shared" si="3"/>
        <v>2</v>
      </c>
      <c r="S8" s="60">
        <f t="shared" si="4"/>
        <v>6</v>
      </c>
      <c r="T8" s="71">
        <f t="shared" si="5"/>
        <v>602004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Elfenbenskusten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Ecuador</v>
      </c>
      <c r="AA8" s="72" cm="1">
        <f t="array" ref="AA8">IF(COUNTIFS($C$4:$C$75,"E",$F$4:$F$75,"&lt;&gt;",$G$4:$G$75,"&lt;&gt;")=0,"",LARGE($T$34:$T$37+ROW($T$34:$T$37)/100000,3))</f>
        <v>400003.00037000002</v>
      </c>
      <c r="AB8" s="72">
        <f t="shared" si="2"/>
        <v>4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0</v>
      </c>
      <c r="H9" s="40" t="str">
        <f t="shared" si="0"/>
        <v>1</v>
      </c>
      <c r="I9" s="40">
        <f>IF(OR(F9="",G9="",'📊 Resultat &amp; Tabell'!K10="",'📊 Resultat &amp; Tabell'!L10=""),"",IF(F9='📊 Resultat &amp; Tabell'!K10,2,0)+IF(G9='📊 Resultat &amp; Tabell'!L10,2,0))</f>
        <v>4</v>
      </c>
      <c r="J9" s="40">
        <f>IF(OR(H9="",'📊 Resultat &amp; Tabell'!M10=""),"",IF(H9='📊 Resultat &amp; Tabell'!M10,2,0))</f>
        <v>2</v>
      </c>
      <c r="K9" s="40">
        <f t="shared" si="1"/>
        <v>6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1</v>
      </c>
      <c r="N9" s="59" cm="1">
        <f t="array" ref="N9">SUMPRODUCT(--($C$4:$C$75="A"),--(($D$4:$D$75=L9)+($E$4:$E$75=L9)&gt;0),--($F$4:$F$75=$G$4:$G$75),--($F$4:$F$75&lt;&gt;""),--($G$4:$G$75&lt;&gt;""))</f>
        <v>1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3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4</v>
      </c>
      <c r="R9" s="60">
        <f t="shared" si="3"/>
        <v>-1</v>
      </c>
      <c r="S9" s="60">
        <f t="shared" si="4"/>
        <v>4</v>
      </c>
      <c r="T9" s="71">
        <f t="shared" si="5"/>
        <v>399003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Sverige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Japan</v>
      </c>
      <c r="AA9" s="72" cm="1">
        <f t="array" ref="AA9">IF(COUNTIFS($C$4:$C$75,"F",$F$4:$F$75,"&lt;&gt;",$G$4:$G$75,"&lt;&gt;")=0,"",LARGE($T$41:$T$44+ROW($T$41:$T$44)/100000,3))</f>
        <v>199003.00042</v>
      </c>
      <c r="AB9" s="72">
        <f t="shared" si="2"/>
        <v>8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2</v>
      </c>
      <c r="G10" s="13">
        <v>0</v>
      </c>
      <c r="H10" s="40" t="str">
        <f t="shared" si="0"/>
        <v>1</v>
      </c>
      <c r="I10" s="40">
        <f>IF(OR(F10="",G10="",'📊 Resultat &amp; Tabell'!K11="",'📊 Resultat &amp; Tabell'!L11=""),"",IF(F10='📊 Resultat &amp; Tabell'!K11,2,0)+IF(G10='📊 Resultat &amp; Tabell'!L11,2,0))</f>
        <v>0</v>
      </c>
      <c r="J10" s="40">
        <f>IF(OR(H10="",'📊 Resultat &amp; Tabell'!M11=""),"",IF(H10='📊 Resultat &amp; Tabell'!M11,2,0))</f>
        <v>0</v>
      </c>
      <c r="K10" s="40">
        <f t="shared" si="1"/>
        <v>0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Nya Zeeland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400004.00050000002</v>
      </c>
      <c r="AB10" s="72">
        <f t="shared" si="2"/>
        <v>2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1</v>
      </c>
      <c r="G11" s="13">
        <v>1</v>
      </c>
      <c r="H11" s="40" t="str">
        <f t="shared" si="0"/>
        <v>X</v>
      </c>
      <c r="I11" s="40">
        <f>IF(OR(F11="",G11="",'📊 Resultat &amp; Tabell'!K12="",'📊 Resultat &amp; Tabell'!L12=""),"",IF(F11='📊 Resultat &amp; Tabell'!K12,2,0)+IF(G11='📊 Resultat &amp; Tabell'!L12,2,0))</f>
        <v>4</v>
      </c>
      <c r="J11" s="40">
        <f>IF(OR(H11="",'📊 Resultat &amp; Tabell'!M12=""),"",IF(H11='📊 Resultat &amp; Tabell'!M12,2,0))</f>
        <v>2</v>
      </c>
      <c r="K11" s="40">
        <f t="shared" si="1"/>
        <v>6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198002.00057</v>
      </c>
      <c r="AB11" s="72">
        <f t="shared" si="2"/>
        <v>12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4.25" customHeight="1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1</v>
      </c>
      <c r="G12" s="13">
        <v>0</v>
      </c>
      <c r="H12" s="40" t="str">
        <f t="shared" si="0"/>
        <v>1</v>
      </c>
      <c r="I12" s="40">
        <f>IF(OR(F12="",G12="",'📊 Resultat &amp; Tabell'!K13="",'📊 Resultat &amp; Tabell'!L13=""),"",IF(F12='📊 Resultat &amp; Tabell'!K13,2,0)+IF(G12='📊 Resultat &amp; Tabell'!L13,2,0))</f>
        <v>0</v>
      </c>
      <c r="J12" s="40">
        <f>IF(OR(H12="",'📊 Resultat &amp; Tabell'!M13=""),"",IF(H12='📊 Resultat &amp; Tabell'!M13,2,0))</f>
        <v>2</v>
      </c>
      <c r="K12" s="40">
        <f t="shared" si="1"/>
        <v>2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Irak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Norge</v>
      </c>
      <c r="AA12" s="72" cm="1">
        <f t="array" ref="AA12">IF(COUNTIFS($C$4:$C$75,"I",$F$4:$F$75,"&lt;&gt;",$G$4:$G$75,"&lt;&gt;")=0,"",LARGE($T$62:$T$65+ROW($T$62:$T$65)/100000,3))</f>
        <v>400003.00065</v>
      </c>
      <c r="AB12" s="72">
        <f t="shared" si="2"/>
        <v>3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1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0</v>
      </c>
      <c r="J13" s="40">
        <f>IF(OR(H13="",'📊 Resultat &amp; Tabell'!M14=""),"",IF(H13='📊 Resultat &amp; Tabell'!M14,2,0))</f>
        <v>2</v>
      </c>
      <c r="K13" s="40">
        <f t="shared" si="1"/>
        <v>2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3</v>
      </c>
      <c r="N13" s="59" cm="1">
        <f t="array" ref="N13">SUMPRODUCT(--($C$4:$C$75="B"),--(($D$4:$D$75=L13)+($E$4:$E$75=L13)&gt;0),--($F$4:$F$75=$G$4:$G$75),--($F$4:$F$75&lt;&gt;""),--($G$4:$G$75&lt;&gt;""))</f>
        <v>0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6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2</v>
      </c>
      <c r="R13" s="60">
        <f>P13-Q13</f>
        <v>4</v>
      </c>
      <c r="S13" s="60">
        <f>M13*3+N13</f>
        <v>9</v>
      </c>
      <c r="T13" s="71">
        <f>S13*100000+R13*1000+P13</f>
        <v>904006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199003.0007</v>
      </c>
      <c r="AB13" s="72">
        <f t="shared" si="2"/>
        <v>7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2</v>
      </c>
      <c r="H14" s="40" t="str">
        <f t="shared" si="0"/>
        <v>2</v>
      </c>
      <c r="I14" s="40">
        <f>IF(OR(F14="",G14="",'📊 Resultat &amp; Tabell'!K15="",'📊 Resultat &amp; Tabell'!L15=""),"",IF(F14='📊 Resultat &amp; Tabell'!K15,2,0)+IF(G14='📊 Resultat &amp; Tabell'!L15,2,0))</f>
        <v>0</v>
      </c>
      <c r="J14" s="40">
        <f>IF(OR(H14="",'📊 Resultat &amp; Tabell'!M15=""),"",IF(H14='📊 Resultat &amp; Tabell'!M15,2,0))</f>
        <v>0</v>
      </c>
      <c r="K14" s="40">
        <f t="shared" si="1"/>
        <v>0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0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2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1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4</v>
      </c>
      <c r="R14" s="60">
        <f t="shared" ref="R14:R16" si="6">P14-Q14</f>
        <v>-3</v>
      </c>
      <c r="S14" s="60">
        <f t="shared" ref="S14:S16" si="7">M14*3+N14</f>
        <v>1</v>
      </c>
      <c r="T14" s="71">
        <f t="shared" ref="T14:T16" si="8">S14*100000+R14*1000+P14</f>
        <v>97001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Uzbekistan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Colombia</v>
      </c>
      <c r="AA14" s="72" cm="1">
        <f t="array" ref="AA14">IF(COUNTIFS($C$4:$C$75,"K",$F$4:$F$75,"&lt;&gt;",$G$4:$G$75,"&lt;&gt;")=0,"",LARGE($T$76:$T$79+ROW($T$76:$T$79)/100000,3))</f>
        <v>401003.00079000002</v>
      </c>
      <c r="AB14" s="72">
        <f t="shared" si="2"/>
        <v>1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1</v>
      </c>
      <c r="G15" s="13">
        <v>1</v>
      </c>
      <c r="H15" s="40" t="str">
        <f t="shared" si="0"/>
        <v>X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0</v>
      </c>
      <c r="K15" s="40">
        <f t="shared" si="1"/>
        <v>2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2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1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3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4</v>
      </c>
      <c r="R15" s="60">
        <f t="shared" si="6"/>
        <v>-1</v>
      </c>
      <c r="S15" s="60">
        <f t="shared" si="7"/>
        <v>2</v>
      </c>
      <c r="T15" s="71">
        <f t="shared" si="8"/>
        <v>199003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Panama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399003.00085000001</v>
      </c>
      <c r="AB15" s="72">
        <f t="shared" si="2"/>
        <v>5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3</v>
      </c>
      <c r="G16" s="13">
        <v>0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0</v>
      </c>
      <c r="J16" s="40">
        <f>IF(OR(H16="",'📊 Resultat &amp; Tabell'!M17=""),"",IF(H16='📊 Resultat &amp; Tabell'!M17,2,0))</f>
        <v>0</v>
      </c>
      <c r="K16" s="40">
        <f t="shared" si="1"/>
        <v>0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1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1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3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3</v>
      </c>
      <c r="R16" s="60">
        <f t="shared" si="6"/>
        <v>0</v>
      </c>
      <c r="S16" s="60">
        <f t="shared" si="7"/>
        <v>4</v>
      </c>
      <c r="T16" s="71">
        <f t="shared" si="8"/>
        <v>400003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1</v>
      </c>
      <c r="G17" s="13">
        <v>1</v>
      </c>
      <c r="H17" s="40" t="str">
        <f t="shared" si="0"/>
        <v>X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0</v>
      </c>
      <c r="K17" s="40">
        <f t="shared" si="1"/>
        <v>2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0</v>
      </c>
      <c r="H18" s="40" t="str">
        <f t="shared" si="0"/>
        <v>1</v>
      </c>
      <c r="I18" s="40">
        <f>IF(OR(F18="",G18="",'📊 Resultat &amp; Tabell'!K19="",'📊 Resultat &amp; Tabell'!L19=""),"",IF(F18='📊 Resultat &amp; Tabell'!K19,2,0)+IF(G18='📊 Resultat &amp; Tabell'!L19,2,0))</f>
        <v>0</v>
      </c>
      <c r="J18" s="40">
        <f>IF(OR(H18="",'📊 Resultat &amp; Tabell'!M19=""),"",IF(H18='📊 Resultat &amp; Tabell'!M19,2,0))</f>
        <v>0</v>
      </c>
      <c r="K18" s="40">
        <f t="shared" si="1"/>
        <v>0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2.75" customHeight="1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2</v>
      </c>
      <c r="G19" s="13">
        <v>1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0</v>
      </c>
      <c r="J19" s="40">
        <f>IF(OR(H19="",'📊 Resultat &amp; Tabell'!M20=""),"",IF(H19='📊 Resultat &amp; Tabell'!M20,2,0))</f>
        <v>2</v>
      </c>
      <c r="K19" s="40">
        <f t="shared" si="1"/>
        <v>2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2</v>
      </c>
      <c r="G20" s="13">
        <v>1</v>
      </c>
      <c r="H20" s="40" t="str">
        <f t="shared" si="0"/>
        <v>1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0</v>
      </c>
      <c r="K20" s="40">
        <f t="shared" si="1"/>
        <v>0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2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1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6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3</v>
      </c>
      <c r="R20" s="60">
        <f t="shared" ref="R20:R23" si="9">P20-Q20</f>
        <v>3</v>
      </c>
      <c r="S20" s="60">
        <f t="shared" ref="S20:S23" si="10">M20*3+N20</f>
        <v>6</v>
      </c>
      <c r="T20" s="71">
        <f t="shared" ref="T20:T23" si="11">S20*100000+R20*1000+P20</f>
        <v>603006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1</v>
      </c>
      <c r="G21" s="13">
        <v>1</v>
      </c>
      <c r="H21" s="40" t="str">
        <f t="shared" si="0"/>
        <v>X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0</v>
      </c>
      <c r="K21" s="40">
        <f t="shared" si="1"/>
        <v>0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0</v>
      </c>
      <c r="N21" s="59" cm="1">
        <f t="array" ref="N21">SUMPRODUCT(--($C$4:$C$75="C"),--(($D$4:$D$75=L21)+($E$4:$E$75=L21)&gt;0),--($F$4:$F$75=$G$4:$G$75),--($F$4:$F$75&lt;&gt;""),--($G$4:$G$75&lt;&gt;""))</f>
        <v>1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2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1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5</v>
      </c>
      <c r="R21" s="60">
        <f t="shared" si="9"/>
        <v>-4</v>
      </c>
      <c r="S21" s="60">
        <f t="shared" si="10"/>
        <v>1</v>
      </c>
      <c r="T21" s="71">
        <f t="shared" si="11"/>
        <v>96001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2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1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3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4</v>
      </c>
      <c r="R22" s="60">
        <f t="shared" si="9"/>
        <v>-1</v>
      </c>
      <c r="S22" s="60">
        <f t="shared" si="10"/>
        <v>2</v>
      </c>
      <c r="T22" s="71">
        <f t="shared" si="11"/>
        <v>199003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0</v>
      </c>
      <c r="H23" s="40" t="str">
        <f t="shared" si="0"/>
        <v>1</v>
      </c>
      <c r="I23" s="40">
        <f>IF(OR(F23="",G23="",'📊 Resultat &amp; Tabell'!K24="",'📊 Resultat &amp; Tabell'!L24=""),"",IF(F23='📊 Resultat &amp; Tabell'!K24,2,0)+IF(G23='📊 Resultat &amp; Tabell'!L24,2,0))</f>
        <v>2</v>
      </c>
      <c r="J23" s="40">
        <f>IF(OR(H23="",'📊 Resultat &amp; Tabell'!M24=""),"",IF(H23='📊 Resultat &amp; Tabell'!M24,2,0))</f>
        <v>2</v>
      </c>
      <c r="K23" s="40">
        <f t="shared" si="1"/>
        <v>4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2</v>
      </c>
      <c r="N23" s="59" cm="1">
        <f t="array" ref="N23">SUMPRODUCT(--($C$4:$C$75="C"),--(($D$4:$D$75=L23)+($E$4:$E$75=L23)&gt;0),--($F$4:$F$75=$G$4:$G$75),--($F$4:$F$75&lt;&gt;""),--($G$4:$G$75&lt;&gt;""))</f>
        <v>1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0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2</v>
      </c>
      <c r="R23" s="60">
        <f t="shared" si="9"/>
        <v>2</v>
      </c>
      <c r="S23" s="60">
        <f t="shared" si="10"/>
        <v>7</v>
      </c>
      <c r="T23" s="71">
        <f t="shared" si="11"/>
        <v>702004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1</v>
      </c>
      <c r="G24" s="13">
        <v>1</v>
      </c>
      <c r="H24" s="40" t="str">
        <f t="shared" si="0"/>
        <v>X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1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2</v>
      </c>
      <c r="J25" s="40">
        <f>IF(OR(H25="",'📊 Resultat &amp; Tabell'!M26=""),"",IF(H25='📊 Resultat &amp; Tabell'!M26,2,0))</f>
        <v>2</v>
      </c>
      <c r="K25" s="40">
        <f t="shared" si="1"/>
        <v>4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3.5" customHeight="1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2</v>
      </c>
      <c r="H26" s="40" t="str">
        <f t="shared" si="0"/>
        <v>2</v>
      </c>
      <c r="I26" s="40">
        <f>IF(OR(F26="",G26="",'📊 Resultat &amp; Tabell'!K27="",'📊 Resultat &amp; Tabell'!L27=""),"",IF(F26='📊 Resultat &amp; Tabell'!K27,2,0)+IF(G26='📊 Resultat &amp; Tabell'!L27,2,0))</f>
        <v>2</v>
      </c>
      <c r="J26" s="40">
        <f>IF(OR(H26="",'📊 Resultat &amp; Tabell'!M27=""),"",IF(H26='📊 Resultat &amp; Tabell'!M27,2,0))</f>
        <v>0</v>
      </c>
      <c r="K26" s="40">
        <f t="shared" si="1"/>
        <v>2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1</v>
      </c>
      <c r="G27" s="13">
        <v>1</v>
      </c>
      <c r="H27" s="40" t="str">
        <f t="shared" si="0"/>
        <v>X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2</v>
      </c>
      <c r="K27" s="40">
        <f t="shared" si="1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3</v>
      </c>
      <c r="N27" s="59" cm="1">
        <f t="array" ref="N27">SUMPRODUCT(--($C$4:$C$75="D"),--(($D$4:$D$75=L27)+($E$4:$E$75=L27)&gt;0),--($F$4:$F$75=$G$4:$G$75),--($F$4:$F$75&lt;&gt;""),--($G$4:$G$75&lt;&gt;""))</f>
        <v>0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6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3</v>
      </c>
      <c r="R27" s="60">
        <f t="shared" ref="R27:R30" si="12">P27-Q27</f>
        <v>3</v>
      </c>
      <c r="S27" s="60">
        <f t="shared" ref="S27:S30" si="13">M27*3+N27</f>
        <v>9</v>
      </c>
      <c r="T27" s="71">
        <f t="shared" ref="T27:T30" si="14">S27*100000+R27*1000+P27</f>
        <v>903006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3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2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1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3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4</v>
      </c>
      <c r="R28" s="60">
        <f t="shared" si="12"/>
        <v>-1</v>
      </c>
      <c r="S28" s="60">
        <f t="shared" si="13"/>
        <v>2</v>
      </c>
      <c r="T28" s="71">
        <f t="shared" si="14"/>
        <v>199003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2</v>
      </c>
      <c r="G29" s="13">
        <v>1</v>
      </c>
      <c r="H29" s="40" t="str">
        <f t="shared" si="0"/>
        <v>1</v>
      </c>
      <c r="I29" s="40">
        <f>IF(OR(F29="",G29="",'📊 Resultat &amp; Tabell'!K30="",'📊 Resultat &amp; Tabell'!L30=""),"",IF(F29='📊 Resultat &amp; Tabell'!K30,2,0)+IF(G29='📊 Resultat &amp; Tabell'!L30,2,0))</f>
        <v>0</v>
      </c>
      <c r="J29" s="40">
        <f>IF(OR(H29="",'📊 Resultat &amp; Tabell'!M30=""),"",IF(H29='📊 Resultat &amp; Tabell'!M30,2,0))</f>
        <v>2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1</v>
      </c>
      <c r="N29" s="59" cm="1">
        <f t="array" ref="N29">SUMPRODUCT(--($C$4:$C$75="D"),--(($D$4:$D$75=L29)+($E$4:$E$75=L29)&gt;0),--($F$4:$F$75=$G$4:$G$75),--($F$4:$F$75&lt;&gt;""),--($G$4:$G$75&lt;&gt;""))</f>
        <v>1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3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3</v>
      </c>
      <c r="R29" s="60">
        <f t="shared" si="12"/>
        <v>0</v>
      </c>
      <c r="S29" s="60">
        <f t="shared" si="13"/>
        <v>4</v>
      </c>
      <c r="T29" s="71">
        <f t="shared" si="14"/>
        <v>400003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1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0</v>
      </c>
      <c r="N30" s="59" cm="1">
        <f t="array" ref="N30">SUMPRODUCT(--($C$4:$C$75="D"),--(($D$4:$D$75=L30)+($E$4:$E$75=L30)&gt;0),--($F$4:$F$75=$G$4:$G$75),--($F$4:$F$75&lt;&gt;""),--($G$4:$G$75&lt;&gt;""))</f>
        <v>1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2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2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4</v>
      </c>
      <c r="R30" s="60">
        <f t="shared" si="12"/>
        <v>-2</v>
      </c>
      <c r="S30" s="60">
        <f t="shared" si="13"/>
        <v>1</v>
      </c>
      <c r="T30" s="71">
        <f t="shared" si="14"/>
        <v>98002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1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4</v>
      </c>
      <c r="J31" s="40">
        <f>IF(OR(H31="",'📊 Resultat &amp; Tabell'!M32=""),"",IF(H31='📊 Resultat &amp; Tabell'!M32,2,0))</f>
        <v>2</v>
      </c>
      <c r="K31" s="40">
        <f t="shared" si="1"/>
        <v>6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1</v>
      </c>
      <c r="H32" s="40" t="str">
        <f t="shared" si="0"/>
        <v>X</v>
      </c>
      <c r="I32" s="40">
        <f>IF(OR(F32="",G32="",'📊 Resultat &amp; Tabell'!K33="",'📊 Resultat &amp; Tabell'!L33=""),"",IF(F32='📊 Resultat &amp; Tabell'!K33,2,0)+IF(G32='📊 Resultat &amp; Tabell'!L33,2,0))</f>
        <v>2</v>
      </c>
      <c r="J32" s="40">
        <f>IF(OR(H32="",'📊 Resultat &amp; Tabell'!M33=""),"",IF(H32='📊 Resultat &amp; Tabell'!M33,2,0))</f>
        <v>0</v>
      </c>
      <c r="K32" s="40">
        <f t="shared" si="1"/>
        <v>2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 ht="14.25" customHeight="1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1</v>
      </c>
      <c r="G33" s="13">
        <v>1</v>
      </c>
      <c r="H33" s="40" t="str">
        <f t="shared" si="0"/>
        <v>X</v>
      </c>
      <c r="I33" s="40">
        <f>IF(OR(F33="",G33="",'📊 Resultat &amp; Tabell'!K34="",'📊 Resultat &amp; Tabell'!L34=""),"",IF(F33='📊 Resultat &amp; Tabell'!K34,2,0)+IF(G33='📊 Resultat &amp; Tabell'!L34,2,0))</f>
        <v>0</v>
      </c>
      <c r="J33" s="40">
        <f>IF(OR(H33="",'📊 Resultat &amp; Tabell'!M34=""),"",IF(H33='📊 Resultat &amp; Tabell'!M34,2,0))</f>
        <v>0</v>
      </c>
      <c r="K33" s="40">
        <f t="shared" si="1"/>
        <v>0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2</v>
      </c>
      <c r="G34" s="13">
        <v>1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2</v>
      </c>
      <c r="J34" s="40">
        <f>IF(OR(H34="",'📊 Resultat &amp; Tabell'!M35=""),"",IF(H34='📊 Resultat &amp; Tabell'!M35,2,0))</f>
        <v>0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2</v>
      </c>
      <c r="N34" s="59" cm="1">
        <f t="array" ref="N34">SUMPRODUCT(--($C$4:$C$75="E"),--(($D$4:$D$75=L34)+($E$4:$E$75=L34)&gt;0),--($F$4:$F$75=$G$4:$G$75),--($F$4:$F$75&lt;&gt;""),--($G$4:$G$75&lt;&gt;""))</f>
        <v>1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6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4</v>
      </c>
      <c r="S34" s="60">
        <f t="shared" ref="S34:S37" si="16">M34*3+N34</f>
        <v>7</v>
      </c>
      <c r="T34" s="71">
        <f t="shared" ref="T34:T37" si="17">S34*100000+R34*1000+P34</f>
        <v>704006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1</v>
      </c>
      <c r="G35" s="13">
        <v>0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0</v>
      </c>
      <c r="J35" s="40">
        <f>IF(OR(H35="",'📊 Resultat &amp; Tabell'!M36=""),"",IF(H35='📊 Resultat &amp; Tabell'!M36,2,0))</f>
        <v>2</v>
      </c>
      <c r="K35" s="40">
        <f t="shared" si="1"/>
        <v>2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1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2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1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5</v>
      </c>
      <c r="R35" s="60">
        <f t="shared" si="15"/>
        <v>-4</v>
      </c>
      <c r="S35" s="60">
        <f t="shared" si="16"/>
        <v>1</v>
      </c>
      <c r="T35" s="71">
        <f t="shared" si="17"/>
        <v>96001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1</v>
      </c>
      <c r="H36" s="40" t="str">
        <f t="shared" si="0"/>
        <v>X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0</v>
      </c>
      <c r="K36" s="40">
        <f t="shared" si="1"/>
        <v>0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4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4</v>
      </c>
      <c r="R36" s="60">
        <f t="shared" si="15"/>
        <v>0</v>
      </c>
      <c r="S36" s="60">
        <f t="shared" si="16"/>
        <v>4</v>
      </c>
      <c r="T36" s="71">
        <f t="shared" si="17"/>
        <v>400004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3</v>
      </c>
      <c r="G37" s="13">
        <v>0</v>
      </c>
      <c r="H37" s="40" t="str">
        <f t="shared" si="0"/>
        <v>1</v>
      </c>
      <c r="I37" s="40">
        <f>IF(OR(F37="",G37="",'📊 Resultat &amp; Tabell'!K38="",'📊 Resultat &amp; Tabell'!L38=""),"",IF(F37='📊 Resultat &amp; Tabell'!K38,2,0)+IF(G37='📊 Resultat &amp; Tabell'!L38,2,0))</f>
        <v>0</v>
      </c>
      <c r="J37" s="40">
        <f>IF(OR(H37="",'📊 Resultat &amp; Tabell'!M38=""),"",IF(H37='📊 Resultat &amp; Tabell'!M38,2,0))</f>
        <v>2</v>
      </c>
      <c r="K37" s="40">
        <f t="shared" si="1"/>
        <v>2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3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0</v>
      </c>
      <c r="S37" s="60">
        <f t="shared" si="16"/>
        <v>4</v>
      </c>
      <c r="T37" s="71">
        <f t="shared" si="17"/>
        <v>400003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1</v>
      </c>
      <c r="G38" s="13">
        <v>1</v>
      </c>
      <c r="H38" s="40" t="str">
        <f t="shared" si="0"/>
        <v>X</v>
      </c>
      <c r="I38" s="40">
        <f>IF(OR(F38="",G38="",'📊 Resultat &amp; Tabell'!K39="",'📊 Resultat &amp; Tabell'!L39=""),"",IF(F38='📊 Resultat &amp; Tabell'!K39,2,0)+IF(G38='📊 Resultat &amp; Tabell'!L39,2,0))</f>
        <v>2</v>
      </c>
      <c r="J38" s="40">
        <f>IF(OR(H38="",'📊 Resultat &amp; Tabell'!M39=""),"",IF(H38='📊 Resultat &amp; Tabell'!M39,2,0))</f>
        <v>0</v>
      </c>
      <c r="K38" s="40">
        <f t="shared" si="1"/>
        <v>2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1</v>
      </c>
      <c r="G39" s="13">
        <v>1</v>
      </c>
      <c r="H39" s="40" t="str">
        <f t="shared" si="0"/>
        <v>X</v>
      </c>
      <c r="I39" s="40">
        <f>IF(OR(F39="",G39="",'📊 Resultat &amp; Tabell'!K40="",'📊 Resultat &amp; Tabell'!L40=""),"",IF(F39='📊 Resultat &amp; Tabell'!K40,2,0)+IF(G39='📊 Resultat &amp; Tabell'!L40,2,0))</f>
        <v>4</v>
      </c>
      <c r="J39" s="40">
        <f>IF(OR(H39="",'📊 Resultat &amp; Tabell'!M40=""),"",IF(H39='📊 Resultat &amp; Tabell'!M40,2,0))</f>
        <v>2</v>
      </c>
      <c r="K39" s="40">
        <f t="shared" si="1"/>
        <v>6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" customHeight="1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2</v>
      </c>
      <c r="G40" s="13">
        <v>1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2</v>
      </c>
      <c r="J40" s="40">
        <f>IF(OR(H40="",'📊 Resultat &amp; Tabell'!M41=""),"",IF(H40='📊 Resultat &amp; Tabell'!M41,2,0))</f>
        <v>0</v>
      </c>
      <c r="K40" s="40">
        <f t="shared" si="1"/>
        <v>2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1</v>
      </c>
      <c r="G41" s="13">
        <v>1</v>
      </c>
      <c r="H41" s="40" t="str">
        <f t="shared" si="0"/>
        <v>X</v>
      </c>
      <c r="I41" s="40">
        <f>IF(OR(F41="",G41="",'📊 Resultat &amp; Tabell'!K42="",'📊 Resultat &amp; Tabell'!L42=""),"",IF(F41='📊 Resultat &amp; Tabell'!K42,2,0)+IF(G41='📊 Resultat &amp; Tabell'!L42,2,0))</f>
        <v>0</v>
      </c>
      <c r="J41" s="40">
        <f>IF(OR(H41="",'📊 Resultat &amp; Tabell'!M42=""),"",IF(H41='📊 Resultat &amp; Tabell'!M42,2,0))</f>
        <v>2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2</v>
      </c>
      <c r="N41" s="59" cm="1">
        <f t="array" ref="N41">SUMPRODUCT(--($C$4:$C$75="F"),--(($D$4:$D$75=L41)+($E$4:$E$75=L41)&gt;0),--($F$4:$F$75=$G$4:$G$75),--($F$4:$F$75&lt;&gt;""),--($G$4:$G$75&lt;&gt;""))</f>
        <v>1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6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2</v>
      </c>
      <c r="R41" s="60">
        <f t="shared" ref="R41:R44" si="18">P41-Q41</f>
        <v>4</v>
      </c>
      <c r="S41" s="60">
        <f t="shared" ref="S41:S44" si="19">M41*3+N41</f>
        <v>7</v>
      </c>
      <c r="T41" s="71">
        <f t="shared" ref="T41:T44" si="20">S41*100000+R41*1000+P41</f>
        <v>704006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2</v>
      </c>
      <c r="G42" s="13">
        <v>0</v>
      </c>
      <c r="H42" s="40" t="str">
        <f t="shared" si="0"/>
        <v>1</v>
      </c>
      <c r="I42" s="40">
        <f>IF(OR(F42="",G42="",'📊 Resultat &amp; Tabell'!K43="",'📊 Resultat &amp; Tabell'!L43=""),"",IF(F42='📊 Resultat &amp; Tabell'!K43,2,0)+IF(G42='📊 Resultat &amp; Tabell'!L43,2,0))</f>
        <v>0</v>
      </c>
      <c r="J42" s="40">
        <f>IF(OR(H42="",'📊 Resultat &amp; Tabell'!M43=""),"",IF(H42='📊 Resultat &amp; Tabell'!M43,2,0))</f>
        <v>0</v>
      </c>
      <c r="K42" s="40">
        <f t="shared" si="1"/>
        <v>0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0</v>
      </c>
      <c r="N42" s="59" cm="1">
        <f t="array" ref="N42">SUMPRODUCT(--($C$4:$C$75="F"),--(($D$4:$D$75=L42)+($E$4:$E$75=L42)&gt;0),--($F$4:$F$75=$G$4:$G$75),--($F$4:$F$75&lt;&gt;""),--($G$4:$G$75&lt;&gt;""))</f>
        <v>2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3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4</v>
      </c>
      <c r="R42" s="60">
        <f t="shared" si="18"/>
        <v>-1</v>
      </c>
      <c r="S42" s="60">
        <f t="shared" si="19"/>
        <v>2</v>
      </c>
      <c r="T42" s="71">
        <f t="shared" si="20"/>
        <v>199003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1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0</v>
      </c>
      <c r="J43" s="40">
        <f>IF(OR(H43="",'📊 Resultat &amp; Tabell'!M44=""),"",IF(H43='📊 Resultat &amp; Tabell'!M44,2,0))</f>
        <v>0</v>
      </c>
      <c r="K43" s="40">
        <f t="shared" si="1"/>
        <v>0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2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4</v>
      </c>
      <c r="R43" s="60">
        <f t="shared" si="18"/>
        <v>-2</v>
      </c>
      <c r="S43" s="60">
        <f t="shared" si="19"/>
        <v>4</v>
      </c>
      <c r="T43" s="71">
        <f t="shared" si="20"/>
        <v>398002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1</v>
      </c>
      <c r="G44" s="13">
        <v>1</v>
      </c>
      <c r="H44" s="40" t="str">
        <f t="shared" si="0"/>
        <v>X</v>
      </c>
      <c r="I44" s="40">
        <f>IF(OR(F44="",G44="",'📊 Resultat &amp; Tabell'!K45="",'📊 Resultat &amp; Tabell'!L45=""),"",IF(F44='📊 Resultat &amp; Tabell'!K45,2,0)+IF(G44='📊 Resultat &amp; Tabell'!L45,2,0))</f>
        <v>2</v>
      </c>
      <c r="J44" s="40">
        <f>IF(OR(H44="",'📊 Resultat &amp; Tabell'!M45=""),"",IF(H44='📊 Resultat &amp; Tabell'!M45,2,0))</f>
        <v>0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2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1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2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3</v>
      </c>
      <c r="R44" s="60">
        <f t="shared" si="18"/>
        <v>-1</v>
      </c>
      <c r="S44" s="60">
        <f t="shared" si="19"/>
        <v>2</v>
      </c>
      <c r="T44" s="71">
        <f t="shared" si="20"/>
        <v>199002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2</v>
      </c>
      <c r="H45" s="40" t="str">
        <f t="shared" si="0"/>
        <v>2</v>
      </c>
      <c r="I45" s="40">
        <f>IF(OR(F45="",G45="",'📊 Resultat &amp; Tabell'!K46="",'📊 Resultat &amp; Tabell'!L46=""),"",IF(F45='📊 Resultat &amp; Tabell'!K46,2,0)+IF(G45='📊 Resultat &amp; Tabell'!L46,2,0))</f>
        <v>2</v>
      </c>
      <c r="J45" s="40">
        <f>IF(OR(H45="",'📊 Resultat &amp; Tabell'!M46=""),"",IF(H45='📊 Resultat &amp; Tabell'!M46,2,0))</f>
        <v>0</v>
      </c>
      <c r="K45" s="40">
        <f t="shared" si="1"/>
        <v>2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2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" customHeight="1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1</v>
      </c>
      <c r="G47" s="13">
        <v>1</v>
      </c>
      <c r="H47" s="40" t="str">
        <f t="shared" si="0"/>
        <v>X</v>
      </c>
      <c r="I47" s="40">
        <f>IF(OR(F47="",G47="",'📊 Resultat &amp; Tabell'!K48="",'📊 Resultat &amp; Tabell'!L48=""),"",IF(F47='📊 Resultat &amp; Tabell'!K48,2,0)+IF(G47='📊 Resultat &amp; Tabell'!L48,2,0))</f>
        <v>4</v>
      </c>
      <c r="J47" s="40">
        <f>IF(OR(H47="",'📊 Resultat &amp; Tabell'!M48=""),"",IF(H47='📊 Resultat &amp; Tabell'!M48,2,0))</f>
        <v>2</v>
      </c>
      <c r="K47" s="40">
        <f t="shared" si="1"/>
        <v>6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2</v>
      </c>
      <c r="G48" s="13">
        <v>1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2</v>
      </c>
      <c r="N48" s="59" cm="1">
        <f t="array" ref="N48">SUMPRODUCT(--($C$4:$C$75="G"),--(($D$4:$D$75=L48)+($E$4:$E$75=L48)&gt;0),--($F$4:$F$75=$G$4:$G$75),--($F$4:$F$75&lt;&gt;""),--($G$4:$G$75&lt;&gt;""))</f>
        <v>1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5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3</v>
      </c>
      <c r="R48" s="60">
        <f t="shared" ref="R48:R51" si="21">P48-Q48</f>
        <v>2</v>
      </c>
      <c r="S48" s="60">
        <f t="shared" ref="S48:S51" si="22">M48*3+N48</f>
        <v>7</v>
      </c>
      <c r="T48" s="71">
        <f t="shared" ref="T48:T51" si="23">S48*100000+R48*1000+P48</f>
        <v>702005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2</v>
      </c>
      <c r="G49" s="13">
        <v>0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2</v>
      </c>
      <c r="J49" s="40">
        <f>IF(OR(H49="",'📊 Resultat &amp; Tabell'!M50=""),"",IF(H49='📊 Resultat &amp; Tabell'!M50,2,0))</f>
        <v>2</v>
      </c>
      <c r="K49" s="40">
        <f t="shared" si="1"/>
        <v>4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0</v>
      </c>
      <c r="N49" s="59" cm="1">
        <f t="array" ref="N49">SUMPRODUCT(--($C$4:$C$75="G"),--(($D$4:$D$75=L49)+($E$4:$E$75=L49)&gt;0),--($F$4:$F$75=$G$4:$G$75),--($F$4:$F$75&lt;&gt;""),--($G$4:$G$75&lt;&gt;""))</f>
        <v>0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3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2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6</v>
      </c>
      <c r="R49" s="60">
        <f t="shared" si="21"/>
        <v>-4</v>
      </c>
      <c r="S49" s="60">
        <f t="shared" si="22"/>
        <v>0</v>
      </c>
      <c r="T49" s="71">
        <f t="shared" si="23"/>
        <v>-3998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1</v>
      </c>
      <c r="N50" s="59" cm="1">
        <f t="array" ref="N50">SUMPRODUCT(--($C$4:$C$75="G"),--(($D$4:$D$75=L50)+($E$4:$E$75=L50)&gt;0),--($F$4:$F$75=$G$4:$G$75),--($F$4:$F$75&lt;&gt;""),--($G$4:$G$75&lt;&gt;""))</f>
        <v>1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1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4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4</v>
      </c>
      <c r="R50" s="60">
        <f t="shared" si="21"/>
        <v>0</v>
      </c>
      <c r="S50" s="60">
        <f t="shared" si="22"/>
        <v>4</v>
      </c>
      <c r="T50" s="71">
        <f t="shared" si="23"/>
        <v>400004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1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1</v>
      </c>
      <c r="N51" s="59" cm="1">
        <f t="array" ref="N51">SUMPRODUCT(--($C$4:$C$75="G"),--(($D$4:$D$75=L51)+($E$4:$E$75=L51)&gt;0),--($F$4:$F$75=$G$4:$G$75),--($F$4:$F$75&lt;&gt;""),--($G$4:$G$75&lt;&gt;""))</f>
        <v>2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0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4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2</v>
      </c>
      <c r="R51" s="60">
        <f t="shared" si="21"/>
        <v>2</v>
      </c>
      <c r="S51" s="60">
        <f t="shared" si="22"/>
        <v>5</v>
      </c>
      <c r="T51" s="71">
        <f t="shared" si="23"/>
        <v>502004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3</v>
      </c>
      <c r="G52" s="13">
        <v>0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2</v>
      </c>
      <c r="J52" s="40">
        <f>IF(OR(H52="",'📊 Resultat &amp; Tabell'!M53=""),"",IF(H52='📊 Resultat &amp; Tabell'!M53,2,0))</f>
        <v>2</v>
      </c>
      <c r="K52" s="40">
        <f t="shared" si="1"/>
        <v>4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1</v>
      </c>
      <c r="G53" s="13">
        <v>0</v>
      </c>
      <c r="H53" s="40" t="str">
        <f t="shared" si="0"/>
        <v>1</v>
      </c>
      <c r="I53" s="40">
        <f>IF(OR(F53="",G53="",'📊 Resultat &amp; Tabell'!K54="",'📊 Resultat &amp; Tabell'!L54=""),"",IF(F53='📊 Resultat &amp; Tabell'!K54,2,0)+IF(G53='📊 Resultat &amp; Tabell'!L54,2,0))</f>
        <v>2</v>
      </c>
      <c r="J53" s="40">
        <f>IF(OR(H53="",'📊 Resultat &amp; Tabell'!M54=""),"",IF(H53='📊 Resultat &amp; Tabell'!M54,2,0))</f>
        <v>0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1</v>
      </c>
      <c r="G54" s="13">
        <v>1</v>
      </c>
      <c r="H54" s="40" t="str">
        <f t="shared" si="0"/>
        <v>X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0</v>
      </c>
      <c r="K54" s="40">
        <f t="shared" si="1"/>
        <v>0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2</v>
      </c>
      <c r="G55" s="13">
        <v>1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0</v>
      </c>
      <c r="J55" s="40">
        <f>IF(OR(H55="",'📊 Resultat &amp; Tabell'!M56=""),"",IF(H55='📊 Resultat &amp; Tabell'!M56,2,0))</f>
        <v>2</v>
      </c>
      <c r="K55" s="40">
        <f t="shared" si="1"/>
        <v>2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6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1</v>
      </c>
      <c r="R55" s="60">
        <f t="shared" ref="R55:R58" si="24">P55-Q55</f>
        <v>5</v>
      </c>
      <c r="S55" s="60">
        <f t="shared" ref="S55:S58" si="25">M55*3+N55</f>
        <v>9</v>
      </c>
      <c r="T55" s="71">
        <f t="shared" ref="T55:T58" si="26">S55*100000+R55*1000+P55</f>
        <v>905006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2</v>
      </c>
      <c r="G56" s="13">
        <v>1</v>
      </c>
      <c r="H56" s="40" t="str">
        <f t="shared" si="0"/>
        <v>1</v>
      </c>
      <c r="I56" s="40">
        <f>IF(OR(F56="",G56="",'📊 Resultat &amp; Tabell'!K57="",'📊 Resultat &amp; Tabell'!L57=""),"",IF(F56='📊 Resultat &amp; Tabell'!K57,2,0)+IF(G56='📊 Resultat &amp; Tabell'!L57,2,0))</f>
        <v>0</v>
      </c>
      <c r="J56" s="40">
        <f>IF(OR(H56="",'📊 Resultat &amp; Tabell'!M57=""),"",IF(H56='📊 Resultat &amp; Tabell'!M57,2,0))</f>
        <v>0</v>
      </c>
      <c r="K56" s="40">
        <f t="shared" si="1"/>
        <v>0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2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5</v>
      </c>
      <c r="R56" s="60">
        <f t="shared" si="24"/>
        <v>-3</v>
      </c>
      <c r="S56" s="60">
        <f t="shared" si="25"/>
        <v>1</v>
      </c>
      <c r="T56" s="71">
        <f t="shared" si="26"/>
        <v>97002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1</v>
      </c>
      <c r="G57" s="13">
        <v>2</v>
      </c>
      <c r="H57" s="40" t="str">
        <f t="shared" si="0"/>
        <v>2</v>
      </c>
      <c r="I57" s="40">
        <f>IF(OR(F57="",G57="",'📊 Resultat &amp; Tabell'!K58="",'📊 Resultat &amp; Tabell'!L58=""),"",IF(F57='📊 Resultat &amp; Tabell'!K58,2,0)+IF(G57='📊 Resultat &amp; Tabell'!L58,2,0))</f>
        <v>0</v>
      </c>
      <c r="J57" s="40">
        <f>IF(OR(H57="",'📊 Resultat &amp; Tabell'!M58=""),"",IF(H57='📊 Resultat &amp; Tabell'!M58,2,0))</f>
        <v>0</v>
      </c>
      <c r="K57" s="40">
        <f t="shared" si="1"/>
        <v>0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2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1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2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4</v>
      </c>
      <c r="R57" s="60">
        <f t="shared" si="24"/>
        <v>-2</v>
      </c>
      <c r="S57" s="60">
        <f t="shared" si="25"/>
        <v>2</v>
      </c>
      <c r="T57" s="71">
        <f t="shared" si="26"/>
        <v>198002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2</v>
      </c>
      <c r="G58" s="13">
        <v>1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0</v>
      </c>
      <c r="J58" s="40">
        <f>IF(OR(H58="",'📊 Resultat &amp; Tabell'!M59=""),"",IF(H58='📊 Resultat &amp; Tabell'!M59,2,0))</f>
        <v>2</v>
      </c>
      <c r="K58" s="40">
        <f t="shared" si="1"/>
        <v>2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1</v>
      </c>
      <c r="N58" s="59" cm="1">
        <f t="array" ref="N58">SUMPRODUCT(--($C$4:$C$75="H"),--(($D$4:$D$75=L58)+($E$4:$E$75=L58)&gt;0),--($F$4:$F$75=$G$4:$G$75),--($F$4:$F$75&lt;&gt;""),--($G$4:$G$75&lt;&gt;""))</f>
        <v>1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4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4</v>
      </c>
      <c r="R58" s="60">
        <f t="shared" si="24"/>
        <v>0</v>
      </c>
      <c r="S58" s="60">
        <f t="shared" si="25"/>
        <v>4</v>
      </c>
      <c r="T58" s="71">
        <f t="shared" si="26"/>
        <v>400004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1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1</v>
      </c>
      <c r="H60" s="40" t="str">
        <f t="shared" si="0"/>
        <v>X</v>
      </c>
      <c r="I60" s="40">
        <f>IF(OR(F60="",G60="",'📊 Resultat &amp; Tabell'!K61="",'📊 Resultat &amp; Tabell'!L61=""),"",IF(F60='📊 Resultat &amp; Tabell'!K61,2,0)+IF(G60='📊 Resultat &amp; Tabell'!L61,2,0))</f>
        <v>2</v>
      </c>
      <c r="J60" s="40">
        <f>IF(OR(H60="",'📊 Resultat &amp; Tabell'!M61=""),"",IF(H60='📊 Resultat &amp; Tabell'!M61,2,0))</f>
        <v>0</v>
      </c>
      <c r="K60" s="40">
        <f t="shared" si="1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1</v>
      </c>
      <c r="G62" s="13">
        <v>2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1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2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1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6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3</v>
      </c>
      <c r="R62" s="60">
        <f t="shared" ref="R62:R65" si="27">P62-Q62</f>
        <v>3</v>
      </c>
      <c r="S62" s="60">
        <f t="shared" ref="S62:S65" si="28">M62*3+N62</f>
        <v>6</v>
      </c>
      <c r="T62" s="71">
        <f t="shared" ref="T62:T65" si="29">S62*100000+R62*1000+P62</f>
        <v>603006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1</v>
      </c>
      <c r="H63" s="40" t="str">
        <f t="shared" si="0"/>
        <v>X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2</v>
      </c>
      <c r="K63" s="40">
        <f t="shared" si="1"/>
        <v>2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0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2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2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6</v>
      </c>
      <c r="R63" s="60">
        <f t="shared" si="27"/>
        <v>-4</v>
      </c>
      <c r="S63" s="60">
        <f t="shared" si="28"/>
        <v>1</v>
      </c>
      <c r="T63" s="71">
        <f t="shared" si="29"/>
        <v>96002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2</v>
      </c>
      <c r="G64" s="13">
        <v>1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2</v>
      </c>
      <c r="J64" s="40">
        <f>IF(OR(H64="",'📊 Resultat &amp; Tabell'!M65=""),"",IF(H64='📊 Resultat &amp; Tabell'!M65,2,0))</f>
        <v>0</v>
      </c>
      <c r="K64" s="40">
        <f t="shared" si="1"/>
        <v>2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2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1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4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3</v>
      </c>
      <c r="R64" s="60">
        <f t="shared" si="27"/>
        <v>1</v>
      </c>
      <c r="S64" s="60">
        <f t="shared" si="28"/>
        <v>6</v>
      </c>
      <c r="T64" s="71">
        <f t="shared" si="29"/>
        <v>601004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1</v>
      </c>
      <c r="G65" s="13">
        <v>0</v>
      </c>
      <c r="H65" s="40" t="str">
        <f t="shared" si="0"/>
        <v>1</v>
      </c>
      <c r="I65" s="40">
        <f>IF(OR(F65="",G65="",'📊 Resultat &amp; Tabell'!K66="",'📊 Resultat &amp; Tabell'!L66=""),"",IF(F65='📊 Resultat &amp; Tabell'!K66,2,0)+IF(G65='📊 Resultat &amp; Tabell'!L66,2,0))</f>
        <v>2</v>
      </c>
      <c r="J65" s="40">
        <f>IF(OR(H65="",'📊 Resultat &amp; Tabell'!M66=""),"",IF(H65='📊 Resultat &amp; Tabell'!M66,2,0))</f>
        <v>0</v>
      </c>
      <c r="K65" s="40">
        <f t="shared" si="1"/>
        <v>2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1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3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3</v>
      </c>
      <c r="R65" s="60">
        <f t="shared" si="27"/>
        <v>0</v>
      </c>
      <c r="S65" s="60">
        <f t="shared" si="28"/>
        <v>4</v>
      </c>
      <c r="T65" s="71">
        <f t="shared" si="29"/>
        <v>400003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0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2</v>
      </c>
      <c r="J66" s="40">
        <f>IF(OR(H66="",'📊 Resultat &amp; Tabell'!M67=""),"",IF(H66='📊 Resultat &amp; Tabell'!M67,2,0))</f>
        <v>2</v>
      </c>
      <c r="K66" s="40">
        <f t="shared" si="1"/>
        <v>4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2</v>
      </c>
      <c r="G67" s="13">
        <v>1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0</v>
      </c>
      <c r="J67" s="40">
        <f>IF(OR(H67="",'📊 Resultat &amp; Tabell'!M68=""),"",IF(H67='📊 Resultat &amp; Tabell'!M68,2,0))</f>
        <v>2</v>
      </c>
      <c r="K67" s="40">
        <f t="shared" si="1"/>
        <v>2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" customHeight="1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1</v>
      </c>
      <c r="H68" s="40" t="str">
        <f t="shared" ref="H68:H107" si="30">IF(OR(F68="",G68=""),"",IF(F68&gt;G68,"1",IF(F68&lt;G68,"2","X")))</f>
        <v>X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2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2</v>
      </c>
      <c r="H69" s="40" t="str">
        <f t="shared" si="30"/>
        <v>2</v>
      </c>
      <c r="I69" s="40" t="s">
        <v>302</v>
      </c>
      <c r="J69" s="40">
        <f>IF(OR(H69="",'📊 Resultat &amp; Tabell'!M70=""),"",IF(H69='📊 Resultat &amp; Tabell'!M70,2,0))</f>
        <v>0</v>
      </c>
      <c r="K69" s="40">
        <f t="shared" si="31"/>
        <v>0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6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3</v>
      </c>
      <c r="R69" s="60">
        <f t="shared" ref="R69:R72" si="32">P69-Q69</f>
        <v>3</v>
      </c>
      <c r="S69" s="60">
        <f t="shared" ref="S69:S72" si="33">M69*3+N69</f>
        <v>9</v>
      </c>
      <c r="T69" s="71">
        <f t="shared" ref="T69:T72" si="34">S69*100000+R69*1000+P69</f>
        <v>903006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3</v>
      </c>
      <c r="G70" s="13">
        <v>0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2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1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3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4</v>
      </c>
      <c r="R70" s="60">
        <f t="shared" si="32"/>
        <v>-1</v>
      </c>
      <c r="S70" s="60">
        <f t="shared" si="33"/>
        <v>2</v>
      </c>
      <c r="T70" s="71">
        <f t="shared" si="34"/>
        <v>199003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2</v>
      </c>
      <c r="G71" s="13">
        <v>1</v>
      </c>
      <c r="H71" s="40" t="str">
        <f t="shared" si="30"/>
        <v>1</v>
      </c>
      <c r="I71" s="40">
        <f>IF(OR(F71="",G71="",'📊 Resultat &amp; Tabell'!K72="",'📊 Resultat &amp; Tabell'!L72=""),"",IF(F71='📊 Resultat &amp; Tabell'!K72,2,0)+IF(G71='📊 Resultat &amp; Tabell'!L72,2,0))</f>
        <v>0</v>
      </c>
      <c r="J71" s="40">
        <f>IF(OR(H71="",'📊 Resultat &amp; Tabell'!M72=""),"",IF(H71='📊 Resultat &amp; Tabell'!M72,2,0))</f>
        <v>2</v>
      </c>
      <c r="K71" s="40">
        <f t="shared" si="31"/>
        <v>2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1</v>
      </c>
      <c r="N71" s="59" cm="1">
        <f t="array" ref="N71">SUMPRODUCT(--($C$4:$C$75="J"),--(($D$4:$D$75=L71)+($E$4:$E$75=L71)&gt;0),--($F$4:$F$75=$G$4:$G$75),--($F$4:$F$75&lt;&gt;""),--($G$4:$G$75&lt;&gt;""))</f>
        <v>1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3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0</v>
      </c>
      <c r="S71" s="60">
        <f t="shared" si="33"/>
        <v>4</v>
      </c>
      <c r="T71" s="71">
        <f t="shared" si="34"/>
        <v>400003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1</v>
      </c>
      <c r="G72" s="13">
        <v>1</v>
      </c>
      <c r="H72" s="40" t="str">
        <f t="shared" si="30"/>
        <v>X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0</v>
      </c>
      <c r="K72" s="40">
        <f t="shared" si="31"/>
        <v>2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2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4</v>
      </c>
      <c r="R72" s="60">
        <f t="shared" si="32"/>
        <v>-2</v>
      </c>
      <c r="S72" s="60">
        <f t="shared" si="33"/>
        <v>1</v>
      </c>
      <c r="T72" s="71">
        <f t="shared" si="34"/>
        <v>98002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2</v>
      </c>
      <c r="G73" s="13">
        <v>0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2</v>
      </c>
      <c r="J73" s="40">
        <f>IF(OR(H73="",'📊 Resultat &amp; Tabell'!M74=""),"",IF(H73='📊 Resultat &amp; Tabell'!M74,2,0))</f>
        <v>0</v>
      </c>
      <c r="K73" s="40">
        <f t="shared" si="31"/>
        <v>2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2</v>
      </c>
      <c r="G74" s="13">
        <v>1</v>
      </c>
      <c r="H74" s="40" t="str">
        <f t="shared" si="30"/>
        <v>1</v>
      </c>
      <c r="I74" s="40">
        <f>IF(OR(F74="",G74="",'📊 Resultat &amp; Tabell'!K75="",'📊 Resultat &amp; Tabell'!L75=""),"",IF(F74='📊 Resultat &amp; Tabell'!K75,2,0)+IF(G74='📊 Resultat &amp; Tabell'!L75,2,0))</f>
        <v>0</v>
      </c>
      <c r="J74" s="40">
        <f>IF(OR(H74="",'📊 Resultat &amp; Tabell'!M75=""),"",IF(H74='📊 Resultat &amp; Tabell'!M75,2,0))</f>
        <v>0</v>
      </c>
      <c r="K74" s="40">
        <f t="shared" si="31"/>
        <v>0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2.75" customHeight="1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1</v>
      </c>
      <c r="G75" s="13">
        <v>1</v>
      </c>
      <c r="H75" s="40" t="str">
        <f t="shared" si="30"/>
        <v>X</v>
      </c>
      <c r="I75" s="40">
        <f>IF(OR(F75="",G75="",'📊 Resultat &amp; Tabell'!K76="",'📊 Resultat &amp; Tabell'!L76=""),"",IF(F75='📊 Resultat &amp; Tabell'!K76,2,0)+IF(G75='📊 Resultat &amp; Tabell'!L76,2,0))</f>
        <v>2</v>
      </c>
      <c r="J75" s="40">
        <f>IF(OR(H75="",'📊 Resultat &amp; Tabell'!M76=""),"",IF(H75='📊 Resultat &amp; Tabell'!M76,2,0))</f>
        <v>0</v>
      </c>
      <c r="K75" s="40">
        <f t="shared" si="31"/>
        <v>2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1</v>
      </c>
      <c r="G76" s="13">
        <v>2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0</v>
      </c>
      <c r="J76" s="40">
        <f>IF(OR(H76="",'📊 Resultat &amp; Tabell'!M77=""),"",IF(H76='📊 Resultat &amp; Tabell'!M77,2,0))</f>
        <v>2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2</v>
      </c>
      <c r="N76" s="59" cm="1">
        <f t="array" ref="N76">SUMPRODUCT(--($C$4:$C$75="K"),--(($D$4:$D$75=L76)+($E$4:$E$75=L76)&gt;0),--($F$4:$F$75=$G$4:$G$75),--($F$4:$F$75&lt;&gt;""),--($G$4:$G$75&lt;&gt;""))</f>
        <v>1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5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3</v>
      </c>
      <c r="R76" s="60">
        <f t="shared" ref="R76:R79" si="35">P76-Q76</f>
        <v>2</v>
      </c>
      <c r="S76" s="60">
        <f t="shared" ref="S76:S79" si="36">M76*3+N76</f>
        <v>7</v>
      </c>
      <c r="T76" s="71">
        <f t="shared" ref="T76:T79" si="37">S76*100000+R76*1000+P76</f>
        <v>702005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4</v>
      </c>
      <c r="J77" s="40">
        <f>IF(OR(H77="",'📊 Resultat &amp; Tabell'!M78=""),"",IF(H77='📊 Resultat &amp; Tabell'!M78,2,0))</f>
        <v>2</v>
      </c>
      <c r="K77" s="40">
        <f t="shared" si="31"/>
        <v>6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0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3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2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6</v>
      </c>
      <c r="R77" s="60">
        <f t="shared" si="35"/>
        <v>-4</v>
      </c>
      <c r="S77" s="60">
        <f t="shared" si="36"/>
        <v>0</v>
      </c>
      <c r="T77" s="71">
        <f t="shared" si="37"/>
        <v>-3998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2</v>
      </c>
      <c r="G78" s="13">
        <v>0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2</v>
      </c>
      <c r="N78" s="59" cm="1">
        <f t="array" ref="N78">SUMPRODUCT(--($C$4:$C$75="K"),--(($D$4:$D$75=L78)+($E$4:$E$75=L78)&gt;0),--($F$4:$F$75=$G$4:$G$75),--($F$4:$F$75&lt;&gt;""),--($G$4:$G$75&lt;&gt;""))</f>
        <v>0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1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4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3</v>
      </c>
      <c r="R78" s="60">
        <f t="shared" si="35"/>
        <v>1</v>
      </c>
      <c r="S78" s="60">
        <f t="shared" si="36"/>
        <v>6</v>
      </c>
      <c r="T78" s="71">
        <f t="shared" si="37"/>
        <v>601004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2</v>
      </c>
      <c r="G79" s="13">
        <v>1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1</v>
      </c>
      <c r="N79" s="59" cm="1">
        <f t="array" ref="N79">SUMPRODUCT(--($C$4:$C$75="K"),--(($D$4:$D$75=L79)+($E$4:$E$75=L79)&gt;0),--($F$4:$F$75=$G$4:$G$75),--($F$4:$F$75&lt;&gt;""),--($G$4:$G$75&lt;&gt;""))</f>
        <v>1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1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3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2</v>
      </c>
      <c r="R79" s="60">
        <f t="shared" si="35"/>
        <v>1</v>
      </c>
      <c r="S79" s="60">
        <f t="shared" si="36"/>
        <v>4</v>
      </c>
      <c r="T79" s="71">
        <f t="shared" si="37"/>
        <v>401003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1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4</v>
      </c>
      <c r="J80" s="40">
        <f>IF(OR(H80="",'📊 Resultat &amp; Tabell'!M81=""),"",IF(H80='📊 Resultat &amp; Tabell'!M81,2,0))</f>
        <v>2</v>
      </c>
      <c r="K80" s="40">
        <f t="shared" si="31"/>
        <v>6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3</v>
      </c>
      <c r="G81" s="13">
        <v>1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2</v>
      </c>
      <c r="J81" s="40">
        <f>IF(OR(H81="",'📊 Resultat &amp; Tabell'!M82=""),"",IF(H81='📊 Resultat &amp; Tabell'!M82,2,0))</f>
        <v>2</v>
      </c>
      <c r="K81" s="40">
        <f t="shared" si="31"/>
        <v>4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2</v>
      </c>
      <c r="G82" s="13">
        <v>1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3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2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1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6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2</v>
      </c>
      <c r="R83" s="60">
        <f t="shared" ref="R83:R86" si="38">P83-Q83</f>
        <v>4</v>
      </c>
      <c r="S83" s="60">
        <f t="shared" ref="S83:S86" si="39">M83*3+N83</f>
        <v>6</v>
      </c>
      <c r="T83" s="71">
        <f t="shared" ref="T83:T86" si="40">S83*100000+R83*1000+P83</f>
        <v>604006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2</v>
      </c>
      <c r="G84" s="13">
        <v>1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2</v>
      </c>
      <c r="J84" s="40">
        <f>IF(OR(H84="",'📊 Resultat &amp; Tabell'!M85=""),"",IF(H84='📊 Resultat &amp; Tabell'!M85,2,0))</f>
        <v>0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0</v>
      </c>
      <c r="N84" s="59" cm="1">
        <f t="array" ref="N84">SUMPRODUCT(--($C$4:$C$75="L"),--(($D$4:$D$75=L84)+($E$4:$E$75=L84)&gt;0),--($F$4:$F$75=$G$4:$G$75),--($F$4:$F$75&lt;&gt;""),--($G$4:$G$75&lt;&gt;""))</f>
        <v>2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2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5</v>
      </c>
      <c r="R84" s="60">
        <f t="shared" si="38"/>
        <v>-3</v>
      </c>
      <c r="S84" s="60">
        <f t="shared" si="39"/>
        <v>2</v>
      </c>
      <c r="T84" s="71">
        <f t="shared" si="40"/>
        <v>197002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0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4</v>
      </c>
      <c r="J85" s="40">
        <f>IF(OR(H85="",'📊 Resultat &amp; Tabell'!M86=""),"",IF(H85='📊 Resultat &amp; Tabell'!M86,2,0))</f>
        <v>2</v>
      </c>
      <c r="K85" s="40">
        <f t="shared" si="31"/>
        <v>6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1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1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3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4</v>
      </c>
      <c r="R85" s="60">
        <f t="shared" si="38"/>
        <v>-1</v>
      </c>
      <c r="S85" s="60">
        <f t="shared" si="39"/>
        <v>4</v>
      </c>
      <c r="T85" s="71">
        <f t="shared" si="40"/>
        <v>399003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2</v>
      </c>
      <c r="G86" s="13">
        <v>1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0</v>
      </c>
      <c r="J86" s="40">
        <f>IF(OR(H86="",'📊 Resultat &amp; Tabell'!M87=""),"",IF(H86='📊 Resultat &amp; Tabell'!M87,2,0))</f>
        <v>2</v>
      </c>
      <c r="K86" s="40">
        <f t="shared" si="31"/>
        <v>2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1</v>
      </c>
      <c r="N86" s="59" cm="1">
        <f t="array" ref="N86">SUMPRODUCT(--($C$4:$C$75="L"),--(($D$4:$D$75=L86)+($E$4:$E$75=L86)&gt;0),--($F$4:$F$75=$G$4:$G$75),--($F$4:$F$75&lt;&gt;""),--($G$4:$G$75&lt;&gt;""))</f>
        <v>1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1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4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4</v>
      </c>
      <c r="R86" s="60">
        <f t="shared" si="38"/>
        <v>0</v>
      </c>
      <c r="S86" s="60">
        <f t="shared" si="39"/>
        <v>4</v>
      </c>
      <c r="T86" s="71">
        <f t="shared" si="40"/>
        <v>400004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2</v>
      </c>
      <c r="G87" s="13">
        <v>1</v>
      </c>
      <c r="H87" s="40" t="str">
        <f t="shared" si="30"/>
        <v>1</v>
      </c>
      <c r="I87" s="40">
        <f>IF(OR(F87="",G87="",'📊 Resultat &amp; Tabell'!K88="",'📊 Resultat &amp; Tabell'!L88=""),"",IF(F87='📊 Resultat &amp; Tabell'!K88,2,0)+IF(G87='📊 Resultat &amp; Tabell'!L88,2,0))</f>
        <v>4</v>
      </c>
      <c r="J87" s="40">
        <f>IF(OR(H87="",'📊 Resultat &amp; Tabell'!M88=""),"",IF(H87='📊 Resultat &amp; Tabell'!M88,2,0))</f>
        <v>2</v>
      </c>
      <c r="K87" s="40">
        <f t="shared" si="31"/>
        <v>6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2</v>
      </c>
      <c r="G88" s="13">
        <v>0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4</v>
      </c>
      <c r="J88" s="40">
        <f>IF(OR(H88="",'📊 Resultat &amp; Tabell'!M89=""),"",IF(H88='📊 Resultat &amp; Tabell'!M89,2,0))</f>
        <v>2</v>
      </c>
      <c r="K88" s="40">
        <f t="shared" si="31"/>
        <v>6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1</v>
      </c>
      <c r="G89" s="13">
        <v>1</v>
      </c>
      <c r="H89" s="40" t="str">
        <f t="shared" si="30"/>
        <v>X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3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1</v>
      </c>
      <c r="H91" s="40" t="str">
        <f t="shared" si="30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76" t="str">
        <f>IF(OR(F92="",G92=""),"",IF(F92&gt;G92,D92,IF(F92&lt;G92,E92,"")))</f>
        <v/>
      </c>
      <c r="E100" s="76" t="str">
        <f>IF(OR(F93="",G93=""),"",IF(F93&gt;G93,D93,IF(F93&lt;G93,E93,"")))</f>
        <v/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5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76" t="str">
        <f>IF(OR(F94="",G94=""),"",IF(F94&gt;G94,D94,IF(F94&lt;G94,E94,"")))</f>
        <v/>
      </c>
      <c r="E102" s="76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76" t="str">
        <f>IF(OR(F100="",G100=""),"",IF(F100&gt;G100,D100,IF(F100&lt;G100,E100,"")))</f>
        <v/>
      </c>
      <c r="E104" s="76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204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151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299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204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2C440070-BC1A-7E44-933E-47C9508CE661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70C24BBF-3DFD-AB4A-9DCC-2CCB8E2E5C2A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97F212B0-DF94-F449-AE92-843EEC09A9EE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42272D4E-D066-214E-BD89-EA656954A85E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689614EF-97D4-9442-A985-91AF43DBD79D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28ECF37E-8930-8B4F-A387-BCD715314858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14686635-3546-034A-837F-7A2A4D85336A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5D7B18EA-4FD0-A949-B811-090CC2A7B355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9E585613-08BE-344E-ACF4-FF1ADF923B56}"/>
  </hyperlinks>
  <pageMargins left="0.7" right="0.7" top="0.75" bottom="0.75" header="0.3" footer="0.3"/>
  <tableParts count="1">
    <tablePart r:id="rId9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E615E-F2D8-44C0-A860-04067AAE3070}">
  <dimension ref="A1:AN116"/>
  <sheetViews>
    <sheetView topLeftCell="A74" workbookViewId="0">
      <selection activeCell="D99" sqref="D99:E99"/>
    </sheetView>
  </sheetViews>
  <sheetFormatPr defaultRowHeight="15"/>
  <cols>
    <col min="1" max="1" width="16" bestFit="1" customWidth="1"/>
    <col min="2" max="2" width="13.28515625" bestFit="1" customWidth="1"/>
    <col min="3" max="3" width="8.85546875" bestFit="1" customWidth="1"/>
    <col min="4" max="5" width="21.28515625" bestFit="1" customWidth="1"/>
    <col min="6" max="6" width="8.85546875" bestFit="1" customWidth="1"/>
    <col min="7" max="7" width="8.5703125" bestFit="1" customWidth="1"/>
    <col min="8" max="8" width="9.7109375" bestFit="1" customWidth="1"/>
    <col min="9" max="9" width="13.28515625" bestFit="1" customWidth="1"/>
    <col min="10" max="10" width="16.140625" bestFit="1" customWidth="1"/>
    <col min="11" max="11" width="11.28515625" customWidth="1"/>
    <col min="12" max="12" width="22.85546875" bestFit="1" customWidth="1"/>
    <col min="13" max="19" width="9.28515625" customWidth="1"/>
    <col min="20" max="20" width="10.5703125" customWidth="1"/>
  </cols>
  <sheetData>
    <row r="1" spans="1:40" ht="24.75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0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4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6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Tjeckien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Mexico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Sydkorea</v>
      </c>
      <c r="AA4" s="72">
        <f>IF(COUNTIFS($C$4:$C$75,"A",$F$4:$F$75,"&lt;&gt;",$G$4:$G$75,"&lt;&gt;")=0,"",IFERROR(LARGE($T$6:$T$9,3),""))</f>
        <v>400004</v>
      </c>
      <c r="AB4" s="72">
        <f>IF(AA4="","",_xlfn.RANK.EQ(AA4,$AA$4:$AA$15,0))</f>
        <v>4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2</v>
      </c>
      <c r="H5" s="40" t="str">
        <f t="shared" si="0"/>
        <v>2</v>
      </c>
      <c r="I5" s="40">
        <f>IF(OR(F5="",G5="",'📊 Resultat &amp; Tabell'!K6="",'📊 Resultat &amp; Tabell'!L6=""),"",IF(F5='📊 Resultat &amp; Tabell'!K6,2,0)+IF(G5='📊 Resultat &amp; Tabell'!L6,2,0))</f>
        <v>0</v>
      </c>
      <c r="J5" s="40">
        <f>IF(OR(H5="",'📊 Resultat &amp; Tabell'!M6=""),"",IF(H5='📊 Resultat &amp; Tabell'!M6,2,0))</f>
        <v>0</v>
      </c>
      <c r="K5" s="40">
        <f t="shared" si="1"/>
        <v>0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Schweiz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300004.00014000002</v>
      </c>
      <c r="AB5" s="72">
        <f t="shared" ref="AB5:AB15" si="2">IF(AA5="","",_xlfn.RANK.EQ(AA5,$AA$4:$AA$15,0))</f>
        <v>6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2</v>
      </c>
      <c r="G6" s="13">
        <v>0</v>
      </c>
      <c r="H6" s="40" t="str">
        <f t="shared" si="0"/>
        <v>1</v>
      </c>
      <c r="I6" s="40">
        <f>IF(OR(F6="",G6="",'📊 Resultat &amp; Tabell'!K7="",'📊 Resultat &amp; Tabell'!L7=""),"",IF(F6='📊 Resultat &amp; Tabell'!K7,2,0)+IF(G6='📊 Resultat &amp; Tabell'!L7,2,0))</f>
        <v>0</v>
      </c>
      <c r="J6" s="40">
        <f>IF(OR(H6="",'📊 Resultat &amp; Tabell'!M7=""),"",IF(H6='📊 Resultat &amp; Tabell'!M7,2,0))</f>
        <v>0</v>
      </c>
      <c r="K6" s="40">
        <f t="shared" si="1"/>
        <v>0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1</v>
      </c>
      <c r="N6" s="59" cm="1">
        <f t="array" ref="N6">SUMPRODUCT(--($C$4:$C$75="A"),--(($D$4:$D$75=L6)+($E$4:$E$75=L6)&gt;0),--($F$4:$F$75=$G$4:$G$75),--($F$4:$F$75&lt;&gt;""),--($G$4:$G$75&lt;&gt;""))</f>
        <v>2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4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2</v>
      </c>
      <c r="S6" s="60">
        <f>M6*3+N6</f>
        <v>5</v>
      </c>
      <c r="T6" s="71">
        <f>S6*100000+R6*1000+P6</f>
        <v>502004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Skottland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Marocko</v>
      </c>
      <c r="AA6" s="72" cm="1">
        <f t="array" ref="AA6">IF(COUNTIFS($C$4:$C$75,"C",$F$4:$F$75,"&lt;&gt;",$G$4:$G$75,"&lt;&gt;")=0,"",LARGE($T$20:$T$23+ROW($T$20:$T$23)/100000,3))</f>
        <v>401004.00021000003</v>
      </c>
      <c r="AB6" s="72">
        <f t="shared" si="2"/>
        <v>3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1</v>
      </c>
      <c r="G7" s="13">
        <v>1</v>
      </c>
      <c r="H7" s="40" t="str">
        <f t="shared" si="0"/>
        <v>X</v>
      </c>
      <c r="I7" s="40">
        <f>IF(OR(F7="",G7="",'📊 Resultat &amp; Tabell'!K8="",'📊 Resultat &amp; Tabell'!L8=""),"",IF(F7='📊 Resultat &amp; Tabell'!K8,2,0)+IF(G7='📊 Resultat &amp; Tabell'!L8,2,0))</f>
        <v>2</v>
      </c>
      <c r="J7" s="40">
        <f>IF(OR(H7="",'📊 Resultat &amp; Tabell'!M8=""),"",IF(H7='📊 Resultat &amp; Tabell'!M8,2,0))</f>
        <v>0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3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1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6</v>
      </c>
      <c r="R7" s="60">
        <f t="shared" ref="R7:R9" si="3">P7-Q7</f>
        <v>-5</v>
      </c>
      <c r="S7" s="60">
        <f t="shared" ref="S7:S9" si="4">M7*3+N7</f>
        <v>0</v>
      </c>
      <c r="T7" s="71">
        <f t="shared" ref="T7:T9" si="5">S7*100000+R7*1000+P7</f>
        <v>-4999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Turkiet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Australien</v>
      </c>
      <c r="AA7" s="72" cm="1">
        <f t="array" ref="AA7">IF(COUNTIFS($C$4:$C$75,"D",$F$4:$F$75,"&lt;&gt;",$G$4:$G$75,"&lt;&gt;")=0,"",LARGE($T$27:$T$30+ROW($T$27:$T$30)/100000,3))</f>
        <v>199003.00029</v>
      </c>
      <c r="AB7" s="72">
        <f t="shared" si="2"/>
        <v>8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1</v>
      </c>
      <c r="H8" s="40" t="str">
        <f t="shared" si="0"/>
        <v>X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0</v>
      </c>
      <c r="K8" s="40">
        <f t="shared" si="1"/>
        <v>0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1</v>
      </c>
      <c r="N8" s="59" cm="1">
        <f t="array" ref="N8">SUMPRODUCT(--($C$4:$C$75="A"),--(($D$4:$D$75=L8)+($E$4:$E$75=L8)&gt;0),--($F$4:$F$75=$G$4:$G$75),--($F$4:$F$75&lt;&gt;""),--($G$4:$G$75&lt;&gt;""))</f>
        <v>1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1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4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4</v>
      </c>
      <c r="R8" s="60">
        <f t="shared" si="3"/>
        <v>0</v>
      </c>
      <c r="S8" s="60">
        <f t="shared" si="4"/>
        <v>4</v>
      </c>
      <c r="T8" s="71">
        <f t="shared" si="5"/>
        <v>400004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401004.00036000001</v>
      </c>
      <c r="AB8" s="72">
        <f t="shared" si="2"/>
        <v>2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2</v>
      </c>
      <c r="H9" s="40" t="str">
        <f t="shared" si="0"/>
        <v>2</v>
      </c>
      <c r="I9" s="40">
        <f>IF(OR(F9="",G9="",'📊 Resultat &amp; Tabell'!K10="",'📊 Resultat &amp; Tabell'!L10=""),"",IF(F9='📊 Resultat &amp; Tabell'!K10,2,0)+IF(G9='📊 Resultat &amp; Tabell'!L10,2,0))</f>
        <v>2</v>
      </c>
      <c r="J9" s="40">
        <f>IF(OR(H9="",'📊 Resultat &amp; Tabell'!M10=""),"",IF(H9='📊 Resultat &amp; Tabell'!M10,2,0))</f>
        <v>0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2</v>
      </c>
      <c r="N9" s="59" cm="1">
        <f t="array" ref="N9">SUMPRODUCT(--($C$4:$C$75="A"),--(($D$4:$D$75=L9)+($E$4:$E$75=L9)&gt;0),--($F$4:$F$75=$G$4:$G$75),--($F$4:$F$75&lt;&gt;""),--($G$4:$G$75&lt;&gt;""))</f>
        <v>1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0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5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2</v>
      </c>
      <c r="R9" s="60">
        <f t="shared" si="3"/>
        <v>3</v>
      </c>
      <c r="S9" s="60">
        <f t="shared" si="4"/>
        <v>7</v>
      </c>
      <c r="T9" s="71">
        <f t="shared" si="5"/>
        <v>703005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Sverige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Japan</v>
      </c>
      <c r="AA9" s="72" cm="1">
        <f t="array" ref="AA9">IF(COUNTIFS($C$4:$C$75,"F",$F$4:$F$75,"&lt;&gt;",$G$4:$G$75,"&lt;&gt;")=0,"",LARGE($T$41:$T$44+ROW($T$41:$T$44)/100000,3))</f>
        <v>199003.00042</v>
      </c>
      <c r="AB9" s="72">
        <f t="shared" si="2"/>
        <v>7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2</v>
      </c>
      <c r="G10" s="13">
        <v>1</v>
      </c>
      <c r="H10" s="40" t="str">
        <f t="shared" si="0"/>
        <v>1</v>
      </c>
      <c r="I10" s="40">
        <f>IF(OR(F10="",G10="",'📊 Resultat &amp; Tabell'!K11="",'📊 Resultat &amp; Tabell'!L11=""),"",IF(F10='📊 Resultat &amp; Tabell'!K11,2,0)+IF(G10='📊 Resultat &amp; Tabell'!L11,2,0))</f>
        <v>2</v>
      </c>
      <c r="J10" s="40">
        <f>IF(OR(H10="",'📊 Resultat &amp; Tabell'!M11=""),"",IF(H10='📊 Resultat &amp; Tabell'!M11,2,0))</f>
        <v>0</v>
      </c>
      <c r="K10" s="40">
        <f t="shared" si="1"/>
        <v>2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Iran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Egypten</v>
      </c>
      <c r="AA10" s="72" cm="1">
        <f t="array" ref="AA10">IF(COUNTIFS($C$4:$C$75,"G",$F$4:$F$75,"&lt;&gt;",$G$4:$G$75,"&lt;&gt;")=0,"",LARGE($T$48:$T$51+ROW($T$48:$T$51)/100000,3))</f>
        <v>198002.00049000001</v>
      </c>
      <c r="AB10" s="72">
        <f t="shared" si="2"/>
        <v>9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0</v>
      </c>
      <c r="G11" s="13">
        <v>2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0</v>
      </c>
      <c r="J11" s="40">
        <f>IF(OR(H11="",'📊 Resultat &amp; Tabell'!M12=""),"",IF(H11='📊 Resultat &amp; Tabell'!M12,2,0))</f>
        <v>0</v>
      </c>
      <c r="K11" s="40">
        <f t="shared" si="1"/>
        <v>0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96002.000570000004</v>
      </c>
      <c r="AB11" s="72">
        <f t="shared" si="2"/>
        <v>11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2</v>
      </c>
      <c r="G12" s="13">
        <v>1</v>
      </c>
      <c r="H12" s="40" t="str">
        <f t="shared" si="0"/>
        <v>1</v>
      </c>
      <c r="I12" s="40">
        <f>IF(OR(F12="",G12="",'📊 Resultat &amp; Tabell'!K13="",'📊 Resultat &amp; Tabell'!L13=""),"",IF(F12='📊 Resultat &amp; Tabell'!K13,2,0)+IF(G12='📊 Resultat &amp; Tabell'!L13,2,0))</f>
        <v>2</v>
      </c>
      <c r="J12" s="40">
        <f>IF(OR(H12="",'📊 Resultat &amp; Tabell'!M13=""),"",IF(H12='📊 Resultat &amp; Tabell'!M13,2,0))</f>
        <v>2</v>
      </c>
      <c r="K12" s="40">
        <f t="shared" si="1"/>
        <v>4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Norge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300004.00063000002</v>
      </c>
      <c r="AB12" s="72">
        <f t="shared" si="2"/>
        <v>5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0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2</v>
      </c>
      <c r="J13" s="40">
        <f>IF(OR(H13="",'📊 Resultat &amp; Tabell'!M14=""),"",IF(H13='📊 Resultat &amp; Tabell'!M14,2,0))</f>
        <v>2</v>
      </c>
      <c r="K13" s="40">
        <f t="shared" si="1"/>
        <v>4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2</v>
      </c>
      <c r="N13" s="59" cm="1">
        <f t="array" ref="N13">SUMPRODUCT(--($C$4:$C$75="B"),--(($D$4:$D$75=L13)+($E$4:$E$75=L13)&gt;0),--($F$4:$F$75=$G$4:$G$75),--($F$4:$F$75&lt;&gt;""),--($G$4:$G$75&lt;&gt;""))</f>
        <v>1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5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2</v>
      </c>
      <c r="R13" s="60">
        <f>P13-Q13</f>
        <v>3</v>
      </c>
      <c r="S13" s="60">
        <f>M13*3+N13</f>
        <v>7</v>
      </c>
      <c r="T13" s="71">
        <f>S13*100000+R13*1000+P13</f>
        <v>703005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96002.000700000004</v>
      </c>
      <c r="AB13" s="72">
        <f t="shared" si="2"/>
        <v>10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1</v>
      </c>
      <c r="H14" s="40" t="str">
        <f t="shared" si="0"/>
        <v>X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0</v>
      </c>
      <c r="K14" s="40">
        <f t="shared" si="1"/>
        <v>2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0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2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4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4</v>
      </c>
      <c r="R14" s="60">
        <f t="shared" ref="R14:R16" si="6">P14-Q14</f>
        <v>0</v>
      </c>
      <c r="S14" s="60">
        <f t="shared" ref="S14:S16" si="7">M14*3+N14</f>
        <v>3</v>
      </c>
      <c r="T14" s="71">
        <f t="shared" ref="T14:T16" si="8">S14*100000+R14*1000+P14</f>
        <v>300004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Uzbekistan</v>
      </c>
      <c r="AA14" s="72" cm="1">
        <f t="array" ref="AA14">IF(COUNTIFS($C$4:$C$75,"K",$F$4:$F$75,"&lt;&gt;",$G$4:$G$75,"&lt;&gt;")=0,"",LARGE($T$76:$T$79+ROW($T$76:$T$79)/100000,3))</f>
        <v>96001.000780000002</v>
      </c>
      <c r="AB14" s="72">
        <f t="shared" si="2"/>
        <v>12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0</v>
      </c>
      <c r="H15" s="40" t="str">
        <f t="shared" si="0"/>
        <v>1</v>
      </c>
      <c r="I15" s="40">
        <f>IF(OR(F15="",G15="",'📊 Resultat &amp; Tabell'!K16="",'📊 Resultat &amp; Tabell'!L16=""),"",IF(F15='📊 Resultat &amp; Tabell'!K16,2,0)+IF(G15='📊 Resultat &amp; Tabell'!L16,2,0))</f>
        <v>0</v>
      </c>
      <c r="J15" s="40">
        <f>IF(OR(H15="",'📊 Resultat &amp; Tabell'!M16=""),"",IF(H15='📊 Resultat &amp; Tabell'!M16,2,0))</f>
        <v>2</v>
      </c>
      <c r="K15" s="40">
        <f t="shared" si="1"/>
        <v>2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0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6</v>
      </c>
      <c r="R15" s="60">
        <f t="shared" si="6"/>
        <v>-6</v>
      </c>
      <c r="S15" s="60">
        <f t="shared" si="7"/>
        <v>0</v>
      </c>
      <c r="T15" s="71">
        <f t="shared" si="8"/>
        <v>-6000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Ghana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Kroatien</v>
      </c>
      <c r="AA15" s="72" cm="1">
        <f t="array" ref="AA15">IF(COUNTIFS($C$4:$C$75,"L",$F$4:$F$75,"&lt;&gt;",$G$4:$G$75,"&lt;&gt;")=0,"",LARGE($T$83:$T$86+ROW($T$83:$T$86)/100000,3))</f>
        <v>401004.00083999999</v>
      </c>
      <c r="AB15" s="72">
        <f t="shared" si="2"/>
        <v>1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2</v>
      </c>
      <c r="G16" s="13">
        <v>1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2</v>
      </c>
      <c r="J16" s="40">
        <f>IF(OR(H16="",'📊 Resultat &amp; Tabell'!M17=""),"",IF(H16='📊 Resultat &amp; Tabell'!M17,2,0))</f>
        <v>0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2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5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2</v>
      </c>
      <c r="R16" s="60">
        <f t="shared" si="6"/>
        <v>3</v>
      </c>
      <c r="S16" s="60">
        <f t="shared" si="7"/>
        <v>7</v>
      </c>
      <c r="T16" s="71">
        <f t="shared" si="8"/>
        <v>703005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1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1</v>
      </c>
      <c r="H18" s="40" t="str">
        <f t="shared" si="0"/>
        <v>X</v>
      </c>
      <c r="I18" s="40">
        <f>IF(OR(F18="",G18="",'📊 Resultat &amp; Tabell'!K19="",'📊 Resultat &amp; Tabell'!L19=""),"",IF(F18='📊 Resultat &amp; Tabell'!K19,2,0)+IF(G18='📊 Resultat &amp; Tabell'!L19,2,0))</f>
        <v>2</v>
      </c>
      <c r="J18" s="40">
        <f>IF(OR(H18="",'📊 Resultat &amp; Tabell'!M19=""),"",IF(H18='📊 Resultat &amp; Tabell'!M19,2,0))</f>
        <v>0</v>
      </c>
      <c r="K18" s="40">
        <f t="shared" si="1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4</v>
      </c>
      <c r="G19" s="13">
        <v>0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1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1</v>
      </c>
      <c r="G20" s="13">
        <v>2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2</v>
      </c>
      <c r="K20" s="40">
        <f t="shared" si="1"/>
        <v>2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8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2</v>
      </c>
      <c r="R20" s="60">
        <f t="shared" ref="R20:R23" si="9">P20-Q20</f>
        <v>6</v>
      </c>
      <c r="S20" s="60">
        <f t="shared" ref="S20:S23" si="10">M20*3+N20</f>
        <v>9</v>
      </c>
      <c r="T20" s="71">
        <f t="shared" ref="T20:T23" si="11">S20*100000+R20*1000+P20</f>
        <v>906008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0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1</v>
      </c>
      <c r="N21" s="59" cm="1">
        <f t="array" ref="N21">SUMPRODUCT(--($C$4:$C$75="C"),--(($D$4:$D$75=L21)+($E$4:$E$75=L21)&gt;0),--($F$4:$F$75=$G$4:$G$75),--($F$4:$F$75&lt;&gt;""),--($G$4:$G$75&lt;&gt;""))</f>
        <v>1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1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4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3</v>
      </c>
      <c r="R21" s="60">
        <f t="shared" si="9"/>
        <v>1</v>
      </c>
      <c r="S21" s="60">
        <f t="shared" si="10"/>
        <v>4</v>
      </c>
      <c r="T21" s="71">
        <f t="shared" si="11"/>
        <v>401004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8</v>
      </c>
      <c r="R22" s="60">
        <f t="shared" si="9"/>
        <v>-8</v>
      </c>
      <c r="S22" s="60">
        <f t="shared" si="10"/>
        <v>0</v>
      </c>
      <c r="T22" s="71">
        <f t="shared" si="11"/>
        <v>-8000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1</v>
      </c>
      <c r="H23" s="40" t="str">
        <f t="shared" si="0"/>
        <v>X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1</v>
      </c>
      <c r="N23" s="59" cm="1">
        <f t="array" ref="N23">SUMPRODUCT(--($C$4:$C$75="C"),--(($D$4:$D$75=L23)+($E$4:$E$75=L23)&gt;0),--($F$4:$F$75=$G$4:$G$75),--($F$4:$F$75&lt;&gt;""),--($G$4:$G$75&lt;&gt;""))</f>
        <v>1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1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3</v>
      </c>
      <c r="R23" s="60">
        <f t="shared" si="9"/>
        <v>1</v>
      </c>
      <c r="S23" s="60">
        <f t="shared" si="10"/>
        <v>4</v>
      </c>
      <c r="T23" s="71">
        <f t="shared" si="11"/>
        <v>401004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2</v>
      </c>
      <c r="G24" s="13">
        <v>0</v>
      </c>
      <c r="H24" s="40" t="str">
        <f t="shared" si="0"/>
        <v>1</v>
      </c>
      <c r="I24" s="40">
        <f>IF(OR(F24="",G24="",'📊 Resultat &amp; Tabell'!K25="",'📊 Resultat &amp; Tabell'!L25=""),"",IF(F24='📊 Resultat &amp; Tabell'!K25,2,0)+IF(G24='📊 Resultat &amp; Tabell'!L25,2,0))</f>
        <v>0</v>
      </c>
      <c r="J24" s="40">
        <f>IF(OR(H24="",'📊 Resultat &amp; Tabell'!M25=""),"",IF(H24='📊 Resultat &amp; Tabell'!M25,2,0))</f>
        <v>0</v>
      </c>
      <c r="K24" s="40">
        <f t="shared" si="1"/>
        <v>0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1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2</v>
      </c>
      <c r="J25" s="40">
        <f>IF(OR(H25="",'📊 Resultat &amp; Tabell'!M26=""),"",IF(H25='📊 Resultat &amp; Tabell'!M26,2,0))</f>
        <v>2</v>
      </c>
      <c r="K25" s="40">
        <f t="shared" si="1"/>
        <v>4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1</v>
      </c>
      <c r="H26" s="40" t="str">
        <f t="shared" si="0"/>
        <v>X</v>
      </c>
      <c r="I26" s="40">
        <f>IF(OR(F26="",G26="",'📊 Resultat &amp; Tabell'!K27="",'📊 Resultat &amp; Tabell'!L27=""),"",IF(F26='📊 Resultat &amp; Tabell'!K27,2,0)+IF(G26='📊 Resultat &amp; Tabell'!L27,2,0))</f>
        <v>0</v>
      </c>
      <c r="J26" s="40">
        <f>IF(OR(H26="",'📊 Resultat &amp; Tabell'!M27=""),"",IF(H26='📊 Resultat &amp; Tabell'!M27,2,0))</f>
        <v>0</v>
      </c>
      <c r="K26" s="40">
        <f t="shared" si="1"/>
        <v>0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1</v>
      </c>
      <c r="G27" s="13">
        <v>1</v>
      </c>
      <c r="H27" s="40" t="str">
        <f t="shared" si="0"/>
        <v>X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2</v>
      </c>
      <c r="K27" s="40">
        <f t="shared" si="1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2</v>
      </c>
      <c r="N27" s="59" cm="1">
        <f t="array" ref="N27">SUMPRODUCT(--($C$4:$C$75="D"),--(($D$4:$D$75=L27)+($E$4:$E$75=L27)&gt;0),--($F$4:$F$75=$G$4:$G$75),--($F$4:$F$75&lt;&gt;""),--($G$4:$G$75&lt;&gt;""))</f>
        <v>1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5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3</v>
      </c>
      <c r="R27" s="60">
        <f t="shared" ref="R27:R30" si="12">P27-Q27</f>
        <v>2</v>
      </c>
      <c r="S27" s="60">
        <f t="shared" ref="S27:S30" si="13">M27*3+N27</f>
        <v>7</v>
      </c>
      <c r="T27" s="71">
        <f t="shared" ref="T27:T30" si="14">S27*100000+R27*1000+P27</f>
        <v>702005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4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2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2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5</v>
      </c>
      <c r="R28" s="60">
        <f t="shared" si="12"/>
        <v>-3</v>
      </c>
      <c r="S28" s="60">
        <f t="shared" si="13"/>
        <v>1</v>
      </c>
      <c r="T28" s="71">
        <f t="shared" si="14"/>
        <v>97002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1</v>
      </c>
      <c r="H29" s="40" t="str">
        <f t="shared" si="0"/>
        <v>X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2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3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4</v>
      </c>
      <c r="R29" s="60">
        <f t="shared" si="12"/>
        <v>-1</v>
      </c>
      <c r="S29" s="60">
        <f t="shared" si="13"/>
        <v>2</v>
      </c>
      <c r="T29" s="71">
        <f t="shared" si="14"/>
        <v>199003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2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1</v>
      </c>
      <c r="N30" s="59" cm="1">
        <f t="array" ref="N30">SUMPRODUCT(--($C$4:$C$75="D"),--(($D$4:$D$75=L30)+($E$4:$E$75=L30)&gt;0),--($F$4:$F$75=$G$4:$G$75),--($F$4:$F$75&lt;&gt;""),--($G$4:$G$75&lt;&gt;""))</f>
        <v>2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4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2</v>
      </c>
      <c r="R30" s="60">
        <f t="shared" si="12"/>
        <v>2</v>
      </c>
      <c r="S30" s="60">
        <f t="shared" si="13"/>
        <v>5</v>
      </c>
      <c r="T30" s="71">
        <f t="shared" si="14"/>
        <v>502004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1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4</v>
      </c>
      <c r="J31" s="40">
        <f>IF(OR(H31="",'📊 Resultat &amp; Tabell'!M32=""),"",IF(H31='📊 Resultat &amp; Tabell'!M32,2,0))</f>
        <v>2</v>
      </c>
      <c r="K31" s="40">
        <f t="shared" si="1"/>
        <v>6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2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0</v>
      </c>
      <c r="G33" s="13">
        <v>2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4</v>
      </c>
      <c r="J33" s="40">
        <f>IF(OR(H33="",'📊 Resultat &amp; Tabell'!M34=""),"",IF(H33='📊 Resultat &amp; Tabell'!M34,2,0))</f>
        <v>2</v>
      </c>
      <c r="K33" s="40">
        <f t="shared" si="1"/>
        <v>6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2</v>
      </c>
      <c r="G34" s="13">
        <v>1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2</v>
      </c>
      <c r="J34" s="40">
        <f>IF(OR(H34="",'📊 Resultat &amp; Tabell'!M35=""),"",IF(H34='📊 Resultat &amp; Tabell'!M35,2,0))</f>
        <v>0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8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6</v>
      </c>
      <c r="S34" s="60">
        <f t="shared" ref="S34:S37" si="16">M34*3+N34</f>
        <v>9</v>
      </c>
      <c r="T34" s="71">
        <f t="shared" ref="T34:T37" si="17">S34*100000+R34*1000+P34</f>
        <v>906008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0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0</v>
      </c>
      <c r="J35" s="40">
        <f>IF(OR(H35="",'📊 Resultat &amp; Tabell'!M36=""),"",IF(H35='📊 Resultat &amp; Tabell'!M36,2,0))</f>
        <v>2</v>
      </c>
      <c r="K35" s="40">
        <f t="shared" si="1"/>
        <v>2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0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8</v>
      </c>
      <c r="R35" s="60">
        <f t="shared" si="15"/>
        <v>-8</v>
      </c>
      <c r="S35" s="60">
        <f t="shared" si="16"/>
        <v>0</v>
      </c>
      <c r="T35" s="71">
        <f t="shared" si="17"/>
        <v>-8000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1</v>
      </c>
      <c r="H36" s="40" t="str">
        <f t="shared" si="0"/>
        <v>X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0</v>
      </c>
      <c r="K36" s="40">
        <f t="shared" si="1"/>
        <v>0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4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3</v>
      </c>
      <c r="R36" s="60">
        <f t="shared" si="15"/>
        <v>1</v>
      </c>
      <c r="S36" s="60">
        <f t="shared" si="16"/>
        <v>4</v>
      </c>
      <c r="T36" s="71">
        <f t="shared" si="17"/>
        <v>401004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2</v>
      </c>
      <c r="G37" s="13">
        <v>1</v>
      </c>
      <c r="H37" s="40" t="str">
        <f t="shared" si="0"/>
        <v>1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2</v>
      </c>
      <c r="K37" s="40">
        <f t="shared" si="1"/>
        <v>4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4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1</v>
      </c>
      <c r="S37" s="60">
        <f t="shared" si="16"/>
        <v>4</v>
      </c>
      <c r="T37" s="71">
        <f t="shared" si="17"/>
        <v>401004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0</v>
      </c>
      <c r="G38" s="13">
        <v>2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0</v>
      </c>
      <c r="J38" s="40">
        <f>IF(OR(H38="",'📊 Resultat &amp; Tabell'!M39=""),"",IF(H38='📊 Resultat &amp; Tabell'!M39,2,0))</f>
        <v>2</v>
      </c>
      <c r="K38" s="40">
        <f t="shared" si="1"/>
        <v>2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1</v>
      </c>
      <c r="G39" s="13">
        <v>1</v>
      </c>
      <c r="H39" s="40" t="str">
        <f t="shared" si="0"/>
        <v>X</v>
      </c>
      <c r="I39" s="40">
        <f>IF(OR(F39="",G39="",'📊 Resultat &amp; Tabell'!K40="",'📊 Resultat &amp; Tabell'!L40=""),"",IF(F39='📊 Resultat &amp; Tabell'!K40,2,0)+IF(G39='📊 Resultat &amp; Tabell'!L40,2,0))</f>
        <v>4</v>
      </c>
      <c r="J39" s="40">
        <f>IF(OR(H39="",'📊 Resultat &amp; Tabell'!M40=""),"",IF(H39='📊 Resultat &amp; Tabell'!M40,2,0))</f>
        <v>2</v>
      </c>
      <c r="K39" s="40">
        <f t="shared" si="1"/>
        <v>6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2</v>
      </c>
      <c r="G40" s="13">
        <v>0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0</v>
      </c>
      <c r="J40" s="40">
        <f>IF(OR(H40="",'📊 Resultat &amp; Tabell'!M41=""),"",IF(H40='📊 Resultat &amp; Tabell'!M41,2,0))</f>
        <v>0</v>
      </c>
      <c r="K40" s="40">
        <f t="shared" si="1"/>
        <v>0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2</v>
      </c>
      <c r="G41" s="13">
        <v>1</v>
      </c>
      <c r="H41" s="40" t="str">
        <f t="shared" si="0"/>
        <v>1</v>
      </c>
      <c r="I41" s="40">
        <f>IF(OR(F41="",G41="",'📊 Resultat &amp; Tabell'!K42="",'📊 Resultat &amp; Tabell'!L42=""),"",IF(F41='📊 Resultat &amp; Tabell'!K42,2,0)+IF(G41='📊 Resultat &amp; Tabell'!L42,2,0))</f>
        <v>2</v>
      </c>
      <c r="J41" s="40">
        <f>IF(OR(H41="",'📊 Resultat &amp; Tabell'!M42=""),"",IF(H41='📊 Resultat &amp; Tabell'!M42,2,0))</f>
        <v>0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3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6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2</v>
      </c>
      <c r="R41" s="60">
        <f t="shared" ref="R41:R44" si="18">P41-Q41</f>
        <v>4</v>
      </c>
      <c r="S41" s="60">
        <f t="shared" ref="S41:S44" si="19">M41*3+N41</f>
        <v>9</v>
      </c>
      <c r="T41" s="71">
        <f t="shared" ref="T41:T44" si="20">S41*100000+R41*1000+P41</f>
        <v>904006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1</v>
      </c>
      <c r="G42" s="13">
        <v>1</v>
      </c>
      <c r="H42" s="40" t="str">
        <f t="shared" si="0"/>
        <v>X</v>
      </c>
      <c r="I42" s="40">
        <f>IF(OR(F42="",G42="",'📊 Resultat &amp; Tabell'!K43="",'📊 Resultat &amp; Tabell'!L43=""),"",IF(F42='📊 Resultat &amp; Tabell'!K43,2,0)+IF(G42='📊 Resultat &amp; Tabell'!L43,2,0))</f>
        <v>2</v>
      </c>
      <c r="J42" s="40">
        <f>IF(OR(H42="",'📊 Resultat &amp; Tabell'!M43=""),"",IF(H42='📊 Resultat &amp; Tabell'!M43,2,0))</f>
        <v>0</v>
      </c>
      <c r="K42" s="40">
        <f t="shared" si="1"/>
        <v>2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0</v>
      </c>
      <c r="N42" s="59" cm="1">
        <f t="array" ref="N42">SUMPRODUCT(--($C$4:$C$75="F"),--(($D$4:$D$75=L42)+($E$4:$E$75=L42)&gt;0),--($F$4:$F$75=$G$4:$G$75),--($F$4:$F$75&lt;&gt;""),--($G$4:$G$75&lt;&gt;""))</f>
        <v>2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3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4</v>
      </c>
      <c r="R42" s="60">
        <f t="shared" si="18"/>
        <v>-1</v>
      </c>
      <c r="S42" s="60">
        <f t="shared" si="19"/>
        <v>2</v>
      </c>
      <c r="T42" s="71">
        <f t="shared" si="20"/>
        <v>199003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1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0</v>
      </c>
      <c r="J43" s="40">
        <f>IF(OR(H43="",'📊 Resultat &amp; Tabell'!M44=""),"",IF(H43='📊 Resultat &amp; Tabell'!M44,2,0))</f>
        <v>0</v>
      </c>
      <c r="K43" s="40">
        <f t="shared" si="1"/>
        <v>0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4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3</v>
      </c>
      <c r="R43" s="60">
        <f t="shared" si="18"/>
        <v>1</v>
      </c>
      <c r="S43" s="60">
        <f t="shared" si="19"/>
        <v>4</v>
      </c>
      <c r="T43" s="71">
        <f t="shared" si="20"/>
        <v>401004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3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1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2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1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5</v>
      </c>
      <c r="R44" s="60">
        <f t="shared" si="18"/>
        <v>-4</v>
      </c>
      <c r="S44" s="60">
        <f t="shared" si="19"/>
        <v>1</v>
      </c>
      <c r="T44" s="71">
        <f t="shared" si="20"/>
        <v>96001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1</v>
      </c>
      <c r="H45" s="40" t="str">
        <f t="shared" si="0"/>
        <v>X</v>
      </c>
      <c r="I45" s="40">
        <f>IF(OR(F45="",G45="",'📊 Resultat &amp; Tabell'!K46="",'📊 Resultat &amp; Tabell'!L46=""),"",IF(F45='📊 Resultat &amp; Tabell'!K46,2,0)+IF(G45='📊 Resultat &amp; Tabell'!L46,2,0))</f>
        <v>4</v>
      </c>
      <c r="J45" s="40">
        <f>IF(OR(H45="",'📊 Resultat &amp; Tabell'!M46=""),"",IF(H45='📊 Resultat &amp; Tabell'!M46,2,0))</f>
        <v>2</v>
      </c>
      <c r="K45" s="40">
        <f t="shared" si="1"/>
        <v>6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3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0</v>
      </c>
      <c r="G47" s="13">
        <v>2</v>
      </c>
      <c r="H47" s="40" t="str">
        <f t="shared" si="0"/>
        <v>2</v>
      </c>
      <c r="I47" s="40">
        <f>IF(OR(F47="",G47="",'📊 Resultat &amp; Tabell'!K48="",'📊 Resultat &amp; Tabell'!L48=""),"",IF(F47='📊 Resultat &amp; Tabell'!K48,2,0)+IF(G47='📊 Resultat &amp; Tabell'!L48,2,0))</f>
        <v>0</v>
      </c>
      <c r="J47" s="40">
        <f>IF(OR(H47="",'📊 Resultat &amp; Tabell'!M48=""),"",IF(H47='📊 Resultat &amp; Tabell'!M48,2,0))</f>
        <v>0</v>
      </c>
      <c r="K47" s="40">
        <f t="shared" si="1"/>
        <v>0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2</v>
      </c>
      <c r="G48" s="13">
        <v>0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7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1</v>
      </c>
      <c r="R48" s="60">
        <f t="shared" ref="R48:R51" si="21">P48-Q48</f>
        <v>6</v>
      </c>
      <c r="S48" s="60">
        <f t="shared" ref="S48:S51" si="22">M48*3+N48</f>
        <v>9</v>
      </c>
      <c r="T48" s="71">
        <f t="shared" ref="T48:T51" si="23">S48*100000+R48*1000+P48</f>
        <v>906007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3</v>
      </c>
      <c r="G49" s="13">
        <v>1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0</v>
      </c>
      <c r="J49" s="40">
        <f>IF(OR(H49="",'📊 Resultat &amp; Tabell'!M50=""),"",IF(H49='📊 Resultat &amp; Tabell'!M50,2,0))</f>
        <v>2</v>
      </c>
      <c r="K49" s="40">
        <f t="shared" si="1"/>
        <v>2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0</v>
      </c>
      <c r="N49" s="59" cm="1">
        <f t="array" ref="N49">SUMPRODUCT(--($C$4:$C$75="G"),--(($D$4:$D$75=L49)+($E$4:$E$75=L49)&gt;0),--($F$4:$F$75=$G$4:$G$75),--($F$4:$F$75&lt;&gt;""),--($G$4:$G$75&lt;&gt;""))</f>
        <v>2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2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4</v>
      </c>
      <c r="R49" s="60">
        <f t="shared" si="21"/>
        <v>-2</v>
      </c>
      <c r="S49" s="60">
        <f t="shared" si="22"/>
        <v>2</v>
      </c>
      <c r="T49" s="71">
        <f t="shared" si="23"/>
        <v>198002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1</v>
      </c>
      <c r="N50" s="59" cm="1">
        <f t="array" ref="N50">SUMPRODUCT(--($C$4:$C$75="G"),--(($D$4:$D$75=L50)+($E$4:$E$75=L50)&gt;0),--($F$4:$F$75=$G$4:$G$75),--($F$4:$F$75&lt;&gt;""),--($G$4:$G$75&lt;&gt;""))</f>
        <v>1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1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4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4</v>
      </c>
      <c r="R50" s="60">
        <f t="shared" si="21"/>
        <v>0</v>
      </c>
      <c r="S50" s="60">
        <f t="shared" si="22"/>
        <v>4</v>
      </c>
      <c r="T50" s="71">
        <f t="shared" si="23"/>
        <v>400004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1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1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2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2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6</v>
      </c>
      <c r="R51" s="60">
        <f t="shared" si="21"/>
        <v>-4</v>
      </c>
      <c r="S51" s="60">
        <f t="shared" si="22"/>
        <v>1</v>
      </c>
      <c r="T51" s="71">
        <f t="shared" si="23"/>
        <v>96002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1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2</v>
      </c>
      <c r="J52" s="40">
        <f>IF(OR(H52="",'📊 Resultat &amp; Tabell'!M53=""),"",IF(H52='📊 Resultat &amp; Tabell'!M53,2,0))</f>
        <v>2</v>
      </c>
      <c r="K52" s="40">
        <f t="shared" si="1"/>
        <v>4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2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2</v>
      </c>
      <c r="G54" s="13">
        <v>1</v>
      </c>
      <c r="H54" s="40" t="str">
        <f t="shared" si="0"/>
        <v>1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2</v>
      </c>
      <c r="K54" s="40">
        <f t="shared" si="1"/>
        <v>2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3</v>
      </c>
      <c r="G55" s="13">
        <v>0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4</v>
      </c>
      <c r="J55" s="40">
        <f>IF(OR(H55="",'📊 Resultat &amp; Tabell'!M56=""),"",IF(H55='📊 Resultat &amp; Tabell'!M56,2,0))</f>
        <v>2</v>
      </c>
      <c r="K55" s="40">
        <f t="shared" si="1"/>
        <v>6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8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2</v>
      </c>
      <c r="R55" s="60">
        <f t="shared" ref="R55:R58" si="24">P55-Q55</f>
        <v>6</v>
      </c>
      <c r="S55" s="60">
        <f t="shared" ref="S55:S58" si="25">M55*3+N55</f>
        <v>9</v>
      </c>
      <c r="T55" s="71">
        <f t="shared" ref="T55:T58" si="26">S55*100000+R55*1000+P55</f>
        <v>906008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2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2</v>
      </c>
      <c r="K56" s="40">
        <f t="shared" si="1"/>
        <v>4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6</v>
      </c>
      <c r="R56" s="60">
        <f t="shared" si="24"/>
        <v>-5</v>
      </c>
      <c r="S56" s="60">
        <f t="shared" si="25"/>
        <v>1</v>
      </c>
      <c r="T56" s="71">
        <f t="shared" si="26"/>
        <v>95001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2</v>
      </c>
      <c r="G57" s="13">
        <v>0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2</v>
      </c>
      <c r="J57" s="40">
        <f>IF(OR(H57="",'📊 Resultat &amp; Tabell'!M58=""),"",IF(H57='📊 Resultat &amp; Tabell'!M58,2,0))</f>
        <v>2</v>
      </c>
      <c r="K57" s="40">
        <f t="shared" si="1"/>
        <v>4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2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6</v>
      </c>
      <c r="R57" s="60">
        <f t="shared" si="24"/>
        <v>-4</v>
      </c>
      <c r="S57" s="60">
        <f t="shared" si="25"/>
        <v>1</v>
      </c>
      <c r="T57" s="71">
        <f t="shared" si="26"/>
        <v>96002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0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4</v>
      </c>
      <c r="J58" s="40">
        <f>IF(OR(H58="",'📊 Resultat &amp; Tabell'!M59=""),"",IF(H58='📊 Resultat &amp; Tabell'!M59,2,0))</f>
        <v>2</v>
      </c>
      <c r="K58" s="40">
        <f t="shared" si="1"/>
        <v>6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5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2</v>
      </c>
      <c r="R58" s="60">
        <f t="shared" si="24"/>
        <v>3</v>
      </c>
      <c r="S58" s="60">
        <f t="shared" si="25"/>
        <v>6</v>
      </c>
      <c r="T58" s="71">
        <f t="shared" si="26"/>
        <v>603005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1</v>
      </c>
      <c r="H60" s="40" t="str">
        <f t="shared" si="0"/>
        <v>X</v>
      </c>
      <c r="I60" s="40">
        <f>IF(OR(F60="",G60="",'📊 Resultat &amp; Tabell'!K61="",'📊 Resultat &amp; Tabell'!L61=""),"",IF(F60='📊 Resultat &amp; Tabell'!K61,2,0)+IF(G60='📊 Resultat &amp; Tabell'!L61,2,0))</f>
        <v>2</v>
      </c>
      <c r="J60" s="40">
        <f>IF(OR(H60="",'📊 Resultat &amp; Tabell'!M61=""),"",IF(H60='📊 Resultat &amp; Tabell'!M61,2,0))</f>
        <v>0</v>
      </c>
      <c r="K60" s="40">
        <f t="shared" si="1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1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7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2</v>
      </c>
      <c r="R62" s="60">
        <f t="shared" ref="R62:R65" si="27">P62-Q62</f>
        <v>5</v>
      </c>
      <c r="S62" s="60">
        <f t="shared" ref="S62:S65" si="28">M62*3+N62</f>
        <v>9</v>
      </c>
      <c r="T62" s="71">
        <f t="shared" ref="T62:T65" si="29">S62*100000+R62*1000+P62</f>
        <v>905007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2</v>
      </c>
      <c r="H63" s="40" t="str">
        <f t="shared" si="0"/>
        <v>2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0</v>
      </c>
      <c r="K63" s="40">
        <f t="shared" si="1"/>
        <v>0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0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2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4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4</v>
      </c>
      <c r="R63" s="60">
        <f t="shared" si="27"/>
        <v>0</v>
      </c>
      <c r="S63" s="60">
        <f t="shared" si="28"/>
        <v>3</v>
      </c>
      <c r="T63" s="71">
        <f t="shared" si="29"/>
        <v>300004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3</v>
      </c>
      <c r="G64" s="13">
        <v>0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1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0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7</v>
      </c>
      <c r="R64" s="60">
        <f t="shared" si="27"/>
        <v>-7</v>
      </c>
      <c r="S64" s="60">
        <f t="shared" si="28"/>
        <v>0</v>
      </c>
      <c r="T64" s="71">
        <f t="shared" si="29"/>
        <v>-7000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0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0</v>
      </c>
      <c r="J65" s="40">
        <f>IF(OR(H65="",'📊 Resultat &amp; Tabell'!M66=""),"",IF(H65='📊 Resultat &amp; Tabell'!M66,2,0))</f>
        <v>2</v>
      </c>
      <c r="K65" s="40">
        <f t="shared" si="1"/>
        <v>2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2</v>
      </c>
      <c r="N65" s="59" cm="1">
        <f t="array" ref="N65">SUMPRODUCT(--($C$4:$C$75="I"),--(($D$4:$D$75=L65)+($E$4:$E$75=L65)&gt;0),--($F$4:$F$75=$G$4:$G$75),--($F$4:$F$75&lt;&gt;""),--($G$4:$G$75&lt;&gt;""))</f>
        <v>0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5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3</v>
      </c>
      <c r="R65" s="60">
        <f t="shared" si="27"/>
        <v>2</v>
      </c>
      <c r="S65" s="60">
        <f t="shared" si="28"/>
        <v>6</v>
      </c>
      <c r="T65" s="71">
        <f t="shared" si="29"/>
        <v>602005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0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2</v>
      </c>
      <c r="J66" s="40">
        <f>IF(OR(H66="",'📊 Resultat &amp; Tabell'!M67=""),"",IF(H66='📊 Resultat &amp; Tabell'!M67,2,0))</f>
        <v>2</v>
      </c>
      <c r="K66" s="40">
        <f t="shared" si="1"/>
        <v>4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2</v>
      </c>
      <c r="G67" s="13">
        <v>0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1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1</v>
      </c>
      <c r="H68" s="40" t="str">
        <f t="shared" ref="H68:H107" si="30">IF(OR(F68="",G68=""),"",IF(F68&gt;G68,"1",IF(F68&lt;G68,"2","X")))</f>
        <v>X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2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1</v>
      </c>
      <c r="H69" s="40" t="str">
        <f t="shared" si="30"/>
        <v>X</v>
      </c>
      <c r="I69" s="40">
        <f>IF(OR(F69="",G69="",'📊 Resultat &amp; Tabell'!K70="",'📊 Resultat &amp; Tabell'!L70=""),"",IF(F69='📊 Resultat &amp; Tabell'!K70,2,0)+IF(G69='📊 Resultat &amp; Tabell'!L70,2,0))</f>
        <v>2</v>
      </c>
      <c r="J69" s="40">
        <f>IF(OR(H69="",'📊 Resultat &amp; Tabell'!M70=""),"",IF(H69='📊 Resultat &amp; Tabell'!M70,2,0))</f>
        <v>0</v>
      </c>
      <c r="K69" s="40">
        <f t="shared" si="31"/>
        <v>2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7</v>
      </c>
      <c r="S69" s="60">
        <f t="shared" ref="S69:S72" si="33">M69*3+N69</f>
        <v>9</v>
      </c>
      <c r="T69" s="71">
        <f t="shared" ref="T69:T72" si="34">S69*100000+R69*1000+P69</f>
        <v>907008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1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2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2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6</v>
      </c>
      <c r="R70" s="60">
        <f t="shared" si="32"/>
        <v>-4</v>
      </c>
      <c r="S70" s="60">
        <f t="shared" si="33"/>
        <v>1</v>
      </c>
      <c r="T70" s="71">
        <f t="shared" si="34"/>
        <v>96002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2</v>
      </c>
      <c r="G71" s="13">
        <v>0</v>
      </c>
      <c r="H71" s="40" t="str">
        <f t="shared" si="30"/>
        <v>1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2</v>
      </c>
      <c r="K71" s="40">
        <f t="shared" si="31"/>
        <v>4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2</v>
      </c>
      <c r="N71" s="59" cm="1">
        <f t="array" ref="N71">SUMPRODUCT(--($C$4:$C$75="J"),--(($D$4:$D$75=L71)+($E$4:$E$75=L71)&gt;0),--($F$4:$F$75=$G$4:$G$75),--($F$4:$F$75&lt;&gt;""),--($G$4:$G$75&lt;&gt;""))</f>
        <v>0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5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2</v>
      </c>
      <c r="S71" s="60">
        <f t="shared" si="33"/>
        <v>6</v>
      </c>
      <c r="T71" s="71">
        <f t="shared" si="34"/>
        <v>602005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1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6</v>
      </c>
      <c r="R72" s="60">
        <f t="shared" si="32"/>
        <v>-5</v>
      </c>
      <c r="S72" s="60">
        <f t="shared" si="33"/>
        <v>1</v>
      </c>
      <c r="T72" s="71">
        <f t="shared" si="34"/>
        <v>95001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2</v>
      </c>
      <c r="G73" s="13">
        <v>1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0</v>
      </c>
      <c r="J73" s="40">
        <f>IF(OR(H73="",'📊 Resultat &amp; Tabell'!M74=""),"",IF(H73='📊 Resultat &amp; Tabell'!M74,2,0))</f>
        <v>0</v>
      </c>
      <c r="K73" s="40">
        <f t="shared" si="31"/>
        <v>0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3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1</v>
      </c>
      <c r="G75" s="13">
        <v>1</v>
      </c>
      <c r="H75" s="40" t="str">
        <f t="shared" si="30"/>
        <v>X</v>
      </c>
      <c r="I75" s="40">
        <f>IF(OR(F75="",G75="",'📊 Resultat &amp; Tabell'!K76="",'📊 Resultat &amp; Tabell'!L76=""),"",IF(F75='📊 Resultat &amp; Tabell'!K76,2,0)+IF(G75='📊 Resultat &amp; Tabell'!L76,2,0))</f>
        <v>2</v>
      </c>
      <c r="J75" s="40">
        <f>IF(OR(H75="",'📊 Resultat &amp; Tabell'!M76=""),"",IF(H75='📊 Resultat &amp; Tabell'!M76,2,0))</f>
        <v>0</v>
      </c>
      <c r="K75" s="40">
        <f t="shared" si="31"/>
        <v>2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1</v>
      </c>
      <c r="G76" s="13">
        <v>2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0</v>
      </c>
      <c r="J76" s="40">
        <f>IF(OR(H76="",'📊 Resultat &amp; Tabell'!M77=""),"",IF(H76='📊 Resultat &amp; Tabell'!M77,2,0))</f>
        <v>2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2</v>
      </c>
      <c r="N76" s="59" cm="1">
        <f t="array" ref="N76">SUMPRODUCT(--($C$4:$C$75="K"),--(($D$4:$D$75=L76)+($E$4:$E$75=L76)&gt;0),--($F$4:$F$75=$G$4:$G$75),--($F$4:$F$75&lt;&gt;""),--($G$4:$G$75&lt;&gt;""))</f>
        <v>1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6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1</v>
      </c>
      <c r="R76" s="60">
        <f t="shared" ref="R76:R79" si="35">P76-Q76</f>
        <v>5</v>
      </c>
      <c r="S76" s="60">
        <f t="shared" ref="S76:S79" si="36">M76*3+N76</f>
        <v>7</v>
      </c>
      <c r="T76" s="71">
        <f t="shared" ref="T76:T79" si="37">S76*100000+R76*1000+P76</f>
        <v>705006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0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2</v>
      </c>
      <c r="J77" s="40">
        <f>IF(OR(H77="",'📊 Resultat &amp; Tabell'!M78=""),"",IF(H77='📊 Resultat &amp; Tabell'!M78,2,0))</f>
        <v>2</v>
      </c>
      <c r="K77" s="40">
        <f t="shared" si="31"/>
        <v>4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1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1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6</v>
      </c>
      <c r="R77" s="60">
        <f t="shared" si="35"/>
        <v>-5</v>
      </c>
      <c r="S77" s="60">
        <f t="shared" si="36"/>
        <v>1</v>
      </c>
      <c r="T77" s="71">
        <f t="shared" si="37"/>
        <v>95001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3</v>
      </c>
      <c r="G78" s="13">
        <v>1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2</v>
      </c>
      <c r="J78" s="40">
        <f>IF(OR(H78="",'📊 Resultat &amp; Tabell'!M79=""),"",IF(H78='📊 Resultat &amp; Tabell'!M79,2,0))</f>
        <v>0</v>
      </c>
      <c r="K78" s="40">
        <f t="shared" si="31"/>
        <v>2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1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1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5</v>
      </c>
      <c r="R78" s="60">
        <f t="shared" si="35"/>
        <v>-4</v>
      </c>
      <c r="S78" s="60">
        <f t="shared" si="36"/>
        <v>1</v>
      </c>
      <c r="T78" s="71">
        <f t="shared" si="37"/>
        <v>96001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3</v>
      </c>
      <c r="G79" s="13">
        <v>0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0</v>
      </c>
      <c r="J79" s="40">
        <f>IF(OR(H79="",'📊 Resultat &amp; Tabell'!M80=""),"",IF(H79='📊 Resultat &amp; Tabell'!M80,2,0))</f>
        <v>0</v>
      </c>
      <c r="K79" s="40">
        <f t="shared" si="31"/>
        <v>0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1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0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5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1</v>
      </c>
      <c r="R79" s="60">
        <f t="shared" si="35"/>
        <v>4</v>
      </c>
      <c r="S79" s="60">
        <f t="shared" si="36"/>
        <v>7</v>
      </c>
      <c r="T79" s="71">
        <f t="shared" si="37"/>
        <v>704005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1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4</v>
      </c>
      <c r="J80" s="40">
        <f>IF(OR(H80="",'📊 Resultat &amp; Tabell'!M81=""),"",IF(H80='📊 Resultat &amp; Tabell'!M81,2,0))</f>
        <v>2</v>
      </c>
      <c r="K80" s="40">
        <f t="shared" si="31"/>
        <v>6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2</v>
      </c>
      <c r="G81" s="13">
        <v>1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0</v>
      </c>
      <c r="J81" s="40">
        <f>IF(OR(H81="",'📊 Resultat &amp; Tabell'!M82=""),"",IF(H81='📊 Resultat &amp; Tabell'!M82,2,0))</f>
        <v>2</v>
      </c>
      <c r="K81" s="40">
        <f t="shared" si="31"/>
        <v>2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2</v>
      </c>
      <c r="G82" s="13">
        <v>1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3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7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2</v>
      </c>
      <c r="R83" s="60">
        <f t="shared" ref="R83:R86" si="38">P83-Q83</f>
        <v>5</v>
      </c>
      <c r="S83" s="60">
        <f t="shared" ref="S83:S86" si="39">M83*3+N83</f>
        <v>9</v>
      </c>
      <c r="T83" s="71">
        <f t="shared" ref="T83:T86" si="40">S83*100000+R83*1000+P83</f>
        <v>905007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2</v>
      </c>
      <c r="G84" s="13">
        <v>1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2</v>
      </c>
      <c r="J84" s="40">
        <f>IF(OR(H84="",'📊 Resultat &amp; Tabell'!M85=""),"",IF(H84='📊 Resultat &amp; Tabell'!M85,2,0))</f>
        <v>0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1</v>
      </c>
      <c r="N84" s="59" cm="1">
        <f t="array" ref="N84">SUMPRODUCT(--($C$4:$C$75="L"),--(($D$4:$D$75=L84)+($E$4:$E$75=L84)&gt;0),--($F$4:$F$75=$G$4:$G$75),--($F$4:$F$75&lt;&gt;""),--($G$4:$G$75&lt;&gt;""))</f>
        <v>1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4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3</v>
      </c>
      <c r="R84" s="60">
        <f t="shared" si="38"/>
        <v>1</v>
      </c>
      <c r="S84" s="60">
        <f t="shared" si="39"/>
        <v>4</v>
      </c>
      <c r="T84" s="71">
        <f t="shared" si="40"/>
        <v>401004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1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2</v>
      </c>
      <c r="J85" s="40">
        <f>IF(OR(H85="",'📊 Resultat &amp; Tabell'!M86=""),"",IF(H85='📊 Resultat &amp; Tabell'!M86,2,0))</f>
        <v>2</v>
      </c>
      <c r="K85" s="40">
        <f t="shared" si="31"/>
        <v>4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1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1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4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3</v>
      </c>
      <c r="R85" s="60">
        <f t="shared" si="38"/>
        <v>1</v>
      </c>
      <c r="S85" s="60">
        <f t="shared" si="39"/>
        <v>4</v>
      </c>
      <c r="T85" s="71">
        <f t="shared" si="40"/>
        <v>401004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2</v>
      </c>
      <c r="G86" s="13">
        <v>0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2</v>
      </c>
      <c r="J86" s="40">
        <f>IF(OR(H86="",'📊 Resultat &amp; Tabell'!M87=""),"",IF(H86='📊 Resultat &amp; Tabell'!M87,2,0))</f>
        <v>2</v>
      </c>
      <c r="K86" s="40">
        <f t="shared" si="31"/>
        <v>4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0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3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0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7</v>
      </c>
      <c r="R86" s="60">
        <f t="shared" si="38"/>
        <v>-7</v>
      </c>
      <c r="S86" s="60">
        <f t="shared" si="39"/>
        <v>0</v>
      </c>
      <c r="T86" s="71">
        <f t="shared" si="40"/>
        <v>-7000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1</v>
      </c>
      <c r="G87" s="13">
        <v>1</v>
      </c>
      <c r="H87" s="40" t="str">
        <f t="shared" si="30"/>
        <v>X</v>
      </c>
      <c r="I87" s="40">
        <f>IF(OR(F87="",G87="",'📊 Resultat &amp; Tabell'!K88="",'📊 Resultat &amp; Tabell'!L88=""),"",IF(F87='📊 Resultat &amp; Tabell'!K88,2,0)+IF(G87='📊 Resultat &amp; Tabell'!L88,2,0))</f>
        <v>2</v>
      </c>
      <c r="J87" s="40">
        <f>IF(OR(H87="",'📊 Resultat &amp; Tabell'!M88=""),"",IF(H87='📊 Resultat &amp; Tabell'!M88,2,0))</f>
        <v>0</v>
      </c>
      <c r="K87" s="40">
        <f t="shared" si="31"/>
        <v>2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1</v>
      </c>
      <c r="G88" s="13">
        <v>0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2</v>
      </c>
      <c r="J88" s="40">
        <f>IF(OR(H88="",'📊 Resultat &amp; Tabell'!M89=""),"",IF(H88='📊 Resultat &amp; Tabell'!M89,2,0))</f>
        <v>2</v>
      </c>
      <c r="K88" s="40">
        <f t="shared" si="31"/>
        <v>4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1</v>
      </c>
      <c r="G89" s="13">
        <v>2</v>
      </c>
      <c r="H89" s="40" t="str">
        <f t="shared" si="30"/>
        <v>2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3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/>
      <c r="H91" s="40" t="str">
        <f t="shared" si="30"/>
        <v/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81" t="str">
        <f>IF(OR(F92="",G92=""),"",IF(F92&gt;G92,D92,IF(F92&lt;G92,E92,"")))</f>
        <v/>
      </c>
      <c r="E100" s="81" t="str">
        <f>IF(OR(F93="",G93=""),"",IF(F93&gt;G93,D93,IF(F93&lt;G93,E93,"")))</f>
        <v/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8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81" t="str">
        <f>IF(OR(F94="",G94=""),"",IF(F94&gt;G94,D94,IF(F94&lt;G94,E94,"")))</f>
        <v/>
      </c>
      <c r="E102" s="81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8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81" t="str">
        <f>IF(OR(F100="",G100=""),"",IF(F100&gt;G100,D100,IF(F100&lt;G100,E100,"")))</f>
        <v/>
      </c>
      <c r="E104" s="81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8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81" t="str">
        <f>IF(OR(F104="",G104=""),"",IF(F104&lt;G104,D104,IF(F104&gt;G104,E104,"")))</f>
        <v/>
      </c>
      <c r="E106" s="81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8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214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161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301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214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0B124E5D-8C4E-4192-B45D-990846E292FB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CA05E40A-12F2-4224-9B55-632A95B9200D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F9AC1F4E-E154-4D01-A0F2-517383429C08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94CC7B01-9A31-489D-A782-AD48C07BBC92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ED4626D2-1C6D-43DE-BCA0-D7B3155CAE7F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17824B4F-1827-4262-AC42-A38807E812F9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DC366004-D509-4B86-A95B-96FE84648300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86BDCEEE-C9CB-44C4-AB86-B1AA13C3A921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64C1130E-E60D-4253-B347-D313667E9D72}"/>
  </hyperlinks>
  <pageMargins left="0.7" right="0.7" top="0.75" bottom="0.75" header="0.3" footer="0.3"/>
  <tableParts count="1">
    <tablePart r:id="rId9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4968-F7B7-47BE-8EF5-4A724F56901A}">
  <dimension ref="A1:AN116"/>
  <sheetViews>
    <sheetView topLeftCell="A76" workbookViewId="0">
      <selection activeCell="D99" sqref="D99:E100"/>
    </sheetView>
  </sheetViews>
  <sheetFormatPr defaultRowHeight="15"/>
  <cols>
    <col min="1" max="1" width="16" bestFit="1" customWidth="1"/>
    <col min="2" max="2" width="13.28515625" bestFit="1" customWidth="1"/>
    <col min="3" max="3" width="8.85546875" bestFit="1" customWidth="1"/>
    <col min="4" max="5" width="21.28515625" bestFit="1" customWidth="1"/>
    <col min="6" max="6" width="8.85546875" bestFit="1" customWidth="1"/>
    <col min="7" max="7" width="8.5703125" bestFit="1" customWidth="1"/>
    <col min="8" max="8" width="9.7109375" bestFit="1" customWidth="1"/>
    <col min="9" max="9" width="13.28515625" bestFit="1" customWidth="1"/>
    <col min="10" max="10" width="16.140625" bestFit="1" customWidth="1"/>
    <col min="11" max="11" width="14.85546875" bestFit="1" customWidth="1"/>
    <col min="12" max="12" width="22.85546875" bestFit="1" customWidth="1"/>
    <col min="20" max="20" width="10" customWidth="1"/>
  </cols>
  <sheetData>
    <row r="1" spans="1:40" ht="24.75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0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4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6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Tjeckien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Sydkorea</v>
      </c>
      <c r="AA4" s="72">
        <f>IF(COUNTIFS($C$4:$C$75,"A",$F$4:$F$75,"&lt;&gt;",$G$4:$G$75,"&lt;&gt;")=0,"",IFERROR(LARGE($T$6:$T$9,3),""))</f>
        <v>401004</v>
      </c>
      <c r="AB4" s="72">
        <f>IF(AA4="","",_xlfn.RANK.EQ(AA4,$AA$4:$AA$15,0))</f>
        <v>1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1</v>
      </c>
      <c r="H5" s="40" t="str">
        <f t="shared" si="0"/>
        <v>X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1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Schweiz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400003.00014000002</v>
      </c>
      <c r="AB5" s="72">
        <f t="shared" ref="AB5:AB15" si="2">IF(AA5="","",_xlfn.RANK.EQ(AA5,$AA$4:$AA$15,0))</f>
        <v>6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2</v>
      </c>
      <c r="G6" s="13">
        <v>0</v>
      </c>
      <c r="H6" s="40" t="str">
        <f t="shared" si="0"/>
        <v>1</v>
      </c>
      <c r="I6" s="40">
        <f>IF(OR(F6="",G6="",'📊 Resultat &amp; Tabell'!K7="",'📊 Resultat &amp; Tabell'!L7=""),"",IF(F6='📊 Resultat &amp; Tabell'!K7,2,0)+IF(G6='📊 Resultat &amp; Tabell'!L7,2,0))</f>
        <v>0</v>
      </c>
      <c r="J6" s="40">
        <f>IF(OR(H6="",'📊 Resultat &amp; Tabell'!M7=""),"",IF(H6='📊 Resultat &amp; Tabell'!M7,2,0))</f>
        <v>0</v>
      </c>
      <c r="K6" s="40">
        <f t="shared" si="1"/>
        <v>0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1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5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3</v>
      </c>
      <c r="S6" s="60">
        <f>M6*3+N6</f>
        <v>7</v>
      </c>
      <c r="T6" s="71">
        <f>S6*100000+R6*1000+P6</f>
        <v>703005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Marocko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Skottland</v>
      </c>
      <c r="AA6" s="72" cm="1">
        <f t="array" ref="AA6">IF(COUNTIFS($C$4:$C$75,"C",$F$4:$F$75,"&lt;&gt;",$G$4:$G$75,"&lt;&gt;")=0,"",LARGE($T$20:$T$23+ROW($T$20:$T$23)/100000,3))</f>
        <v>299003.00023000001</v>
      </c>
      <c r="AB6" s="72">
        <f t="shared" si="2"/>
        <v>9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1</v>
      </c>
      <c r="H7" s="40" t="str">
        <f t="shared" si="0"/>
        <v>1</v>
      </c>
      <c r="I7" s="40">
        <f>IF(OR(F7="",G7="",'📊 Resultat &amp; Tabell'!K8="",'📊 Resultat &amp; Tabell'!L8=""),"",IF(F7='📊 Resultat &amp; Tabell'!K8,2,0)+IF(G7='📊 Resultat &amp; Tabell'!L8,2,0))</f>
        <v>0</v>
      </c>
      <c r="J7" s="40">
        <f>IF(OR(H7="",'📊 Resultat &amp; Tabell'!M8=""),"",IF(H7='📊 Resultat &amp; Tabell'!M8,2,0))</f>
        <v>2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3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0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6</v>
      </c>
      <c r="R7" s="60">
        <f t="shared" ref="R7:R9" si="3">P7-Q7</f>
        <v>-6</v>
      </c>
      <c r="S7" s="60">
        <f t="shared" ref="S7:S9" si="4">M7*3+N7</f>
        <v>0</v>
      </c>
      <c r="T7" s="71">
        <f t="shared" ref="T7:T9" si="5">S7*100000+R7*1000+P7</f>
        <v>-6000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Turkiet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Paraguay</v>
      </c>
      <c r="AA7" s="72" cm="1">
        <f t="array" ref="AA7">IF(COUNTIFS($C$4:$C$75,"D",$F$4:$F$75,"&lt;&gt;",$G$4:$G$75,"&lt;&gt;")=0,"",LARGE($T$27:$T$30+ROW($T$27:$T$30)/100000,3))</f>
        <v>299004.00027999998</v>
      </c>
      <c r="AB7" s="72">
        <f t="shared" si="2"/>
        <v>8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1</v>
      </c>
      <c r="H8" s="40" t="str">
        <f t="shared" si="0"/>
        <v>X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0</v>
      </c>
      <c r="K8" s="40">
        <f t="shared" si="1"/>
        <v>0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1</v>
      </c>
      <c r="N8" s="59" cm="1">
        <f t="array" ref="N8">SUMPRODUCT(--($C$4:$C$75="A"),--(($D$4:$D$75=L8)+($E$4:$E$75=L8)&gt;0),--($F$4:$F$75=$G$4:$G$75),--($F$4:$F$75&lt;&gt;""),--($G$4:$G$75&lt;&gt;""))</f>
        <v>1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1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4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3</v>
      </c>
      <c r="R8" s="60">
        <f t="shared" si="3"/>
        <v>1</v>
      </c>
      <c r="S8" s="60">
        <f t="shared" si="4"/>
        <v>4</v>
      </c>
      <c r="T8" s="71">
        <f t="shared" si="5"/>
        <v>401004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400003.00036000001</v>
      </c>
      <c r="AB8" s="72">
        <f t="shared" si="2"/>
        <v>5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0</v>
      </c>
      <c r="G9" s="13">
        <v>2</v>
      </c>
      <c r="H9" s="40" t="str">
        <f t="shared" si="0"/>
        <v>2</v>
      </c>
      <c r="I9" s="40">
        <f>IF(OR(F9="",G9="",'📊 Resultat &amp; Tabell'!K10="",'📊 Resultat &amp; Tabell'!L10=""),"",IF(F9='📊 Resultat &amp; Tabell'!K10,2,0)+IF(G9='📊 Resultat &amp; Tabell'!L10,2,0))</f>
        <v>0</v>
      </c>
      <c r="J9" s="40">
        <f>IF(OR(H9="",'📊 Resultat &amp; Tabell'!M10=""),"",IF(H9='📊 Resultat &amp; Tabell'!M10,2,0))</f>
        <v>0</v>
      </c>
      <c r="K9" s="40">
        <f t="shared" si="1"/>
        <v>0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1</v>
      </c>
      <c r="N9" s="59" cm="1">
        <f t="array" ref="N9">SUMPRODUCT(--($C$4:$C$75="A"),--(($D$4:$D$75=L9)+($E$4:$E$75=L9)&gt;0),--($F$4:$F$75=$G$4:$G$75),--($F$4:$F$75&lt;&gt;""),--($G$4:$G$75&lt;&gt;""))</f>
        <v>2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0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4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2</v>
      </c>
      <c r="R9" s="60">
        <f t="shared" si="3"/>
        <v>2</v>
      </c>
      <c r="S9" s="60">
        <f t="shared" si="4"/>
        <v>5</v>
      </c>
      <c r="T9" s="71">
        <f t="shared" si="5"/>
        <v>502004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Japan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Sverige</v>
      </c>
      <c r="AA9" s="72" cm="1">
        <f t="array" ref="AA9">IF(COUNTIFS($C$4:$C$75,"F",$F$4:$F$75,"&lt;&gt;",$G$4:$G$75,"&lt;&gt;")=0,"",LARGE($T$41:$T$44+ROW($T$41:$T$44)/100000,3))</f>
        <v>400003.00043000001</v>
      </c>
      <c r="AB9" s="72">
        <f t="shared" si="2"/>
        <v>4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1</v>
      </c>
      <c r="G10" s="13">
        <v>1</v>
      </c>
      <c r="H10" s="40" t="str">
        <f t="shared" si="0"/>
        <v>X</v>
      </c>
      <c r="I10" s="40">
        <f>IF(OR(F10="",G10="",'📊 Resultat &amp; Tabell'!K11="",'📊 Resultat &amp; Tabell'!L11=""),"",IF(F10='📊 Resultat &amp; Tabell'!K11,2,0)+IF(G10='📊 Resultat &amp; Tabell'!L11,2,0))</f>
        <v>4</v>
      </c>
      <c r="J10" s="40">
        <f>IF(OR(H10="",'📊 Resultat &amp; Tabell'!M11=""),"",IF(H10='📊 Resultat &amp; Tabell'!M11,2,0))</f>
        <v>2</v>
      </c>
      <c r="K10" s="40">
        <f t="shared" si="1"/>
        <v>6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299002.00050000002</v>
      </c>
      <c r="AB10" s="72">
        <f t="shared" si="2"/>
        <v>10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0</v>
      </c>
      <c r="G11" s="13">
        <v>2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0</v>
      </c>
      <c r="J11" s="40">
        <f>IF(OR(H11="",'📊 Resultat &amp; Tabell'!M12=""),"",IF(H11='📊 Resultat &amp; Tabell'!M12,2,0))</f>
        <v>0</v>
      </c>
      <c r="K11" s="40">
        <f t="shared" si="1"/>
        <v>0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95001.000570000004</v>
      </c>
      <c r="AB11" s="72">
        <f t="shared" si="2"/>
        <v>12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2</v>
      </c>
      <c r="G12" s="13">
        <v>0</v>
      </c>
      <c r="H12" s="40" t="str">
        <f t="shared" si="0"/>
        <v>1</v>
      </c>
      <c r="I12" s="40">
        <f>IF(OR(F12="",G12="",'📊 Resultat &amp; Tabell'!K13="",'📊 Resultat &amp; Tabell'!L13=""),"",IF(F12='📊 Resultat &amp; Tabell'!K13,2,0)+IF(G12='📊 Resultat &amp; Tabell'!L13,2,0))</f>
        <v>0</v>
      </c>
      <c r="J12" s="40">
        <f>IF(OR(H12="",'📊 Resultat &amp; Tabell'!M13=""),"",IF(H12='📊 Resultat &amp; Tabell'!M13,2,0))</f>
        <v>2</v>
      </c>
      <c r="K12" s="40">
        <f t="shared" si="1"/>
        <v>2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Norge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400003.00063000002</v>
      </c>
      <c r="AB12" s="72">
        <f t="shared" si="2"/>
        <v>3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0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2</v>
      </c>
      <c r="J13" s="40">
        <f>IF(OR(H13="",'📊 Resultat &amp; Tabell'!M14=""),"",IF(H13='📊 Resultat &amp; Tabell'!M14,2,0))</f>
        <v>2</v>
      </c>
      <c r="K13" s="40">
        <f t="shared" si="1"/>
        <v>4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1</v>
      </c>
      <c r="N13" s="59" cm="1">
        <f t="array" ref="N13">SUMPRODUCT(--($C$4:$C$75="B"),--(($D$4:$D$75=L13)+($E$4:$E$75=L13)&gt;0),--($F$4:$F$75=$G$4:$G$75),--($F$4:$F$75&lt;&gt;""),--($G$4:$G$75&lt;&gt;""))</f>
        <v>2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4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2</v>
      </c>
      <c r="R13" s="60">
        <f>P13-Q13</f>
        <v>2</v>
      </c>
      <c r="S13" s="60">
        <f>M13*3+N13</f>
        <v>5</v>
      </c>
      <c r="T13" s="71">
        <f>S13*100000+R13*1000+P13</f>
        <v>502004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399002.00069999998</v>
      </c>
      <c r="AB13" s="72">
        <f t="shared" si="2"/>
        <v>7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1</v>
      </c>
      <c r="H14" s="40" t="str">
        <f t="shared" si="0"/>
        <v>X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0</v>
      </c>
      <c r="K14" s="40">
        <f t="shared" si="1"/>
        <v>2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1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3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3</v>
      </c>
      <c r="R14" s="60">
        <f t="shared" ref="R14:R16" si="6">P14-Q14</f>
        <v>0</v>
      </c>
      <c r="S14" s="60">
        <f t="shared" ref="S14:S16" si="7">M14*3+N14</f>
        <v>4</v>
      </c>
      <c r="T14" s="71">
        <f t="shared" ref="T14:T16" si="8">S14*100000+R14*1000+P14</f>
        <v>400003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Uzbekistan</v>
      </c>
      <c r="AA14" s="72" cm="1">
        <f t="array" ref="AA14">IF(COUNTIFS($C$4:$C$75,"K",$F$4:$F$75,"&lt;&gt;",$G$4:$G$75,"&lt;&gt;")=0,"",LARGE($T$76:$T$79+ROW($T$76:$T$79)/100000,3))</f>
        <v>298002.00078</v>
      </c>
      <c r="AB14" s="72">
        <f t="shared" si="2"/>
        <v>11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0</v>
      </c>
      <c r="H15" s="40" t="str">
        <f t="shared" si="0"/>
        <v>1</v>
      </c>
      <c r="I15" s="40">
        <f>IF(OR(F15="",G15="",'📊 Resultat &amp; Tabell'!K16="",'📊 Resultat &amp; Tabell'!L16=""),"",IF(F15='📊 Resultat &amp; Tabell'!K16,2,0)+IF(G15='📊 Resultat &amp; Tabell'!L16,2,0))</f>
        <v>0</v>
      </c>
      <c r="J15" s="40">
        <f>IF(OR(H15="",'📊 Resultat &amp; Tabell'!M16=""),"",IF(H15='📊 Resultat &amp; Tabell'!M16,2,0))</f>
        <v>2</v>
      </c>
      <c r="K15" s="40">
        <f t="shared" si="1"/>
        <v>2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0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6</v>
      </c>
      <c r="R15" s="60">
        <f t="shared" si="6"/>
        <v>-6</v>
      </c>
      <c r="S15" s="60">
        <f t="shared" si="7"/>
        <v>0</v>
      </c>
      <c r="T15" s="71">
        <f t="shared" si="8"/>
        <v>-6000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400003.00085000001</v>
      </c>
      <c r="AB15" s="72">
        <f t="shared" si="2"/>
        <v>2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2</v>
      </c>
      <c r="G16" s="13">
        <v>1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2</v>
      </c>
      <c r="J16" s="40">
        <f>IF(OR(H16="",'📊 Resultat &amp; Tabell'!M17=""),"",IF(H16='📊 Resultat &amp; Tabell'!M17,2,0))</f>
        <v>0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2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5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1</v>
      </c>
      <c r="R16" s="60">
        <f t="shared" si="6"/>
        <v>4</v>
      </c>
      <c r="S16" s="60">
        <f t="shared" si="7"/>
        <v>7</v>
      </c>
      <c r="T16" s="71">
        <f t="shared" si="8"/>
        <v>704005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1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2</v>
      </c>
      <c r="H18" s="40" t="str">
        <f t="shared" si="0"/>
        <v>2</v>
      </c>
      <c r="I18" s="40">
        <f>IF(OR(F18="",G18="",'📊 Resultat &amp; Tabell'!K19="",'📊 Resultat &amp; Tabell'!L19=""),"",IF(F18='📊 Resultat &amp; Tabell'!K19,2,0)+IF(G18='📊 Resultat &amp; Tabell'!L19,2,0))</f>
        <v>0</v>
      </c>
      <c r="J18" s="40">
        <f>IF(OR(H18="",'📊 Resultat &amp; Tabell'!M19=""),"",IF(H18='📊 Resultat &amp; Tabell'!M19,2,0))</f>
        <v>2</v>
      </c>
      <c r="K18" s="40">
        <f t="shared" si="1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3</v>
      </c>
      <c r="G19" s="13">
        <v>0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4</v>
      </c>
      <c r="J19" s="40">
        <f>IF(OR(H19="",'📊 Resultat &amp; Tabell'!M20=""),"",IF(H19='📊 Resultat &amp; Tabell'!M20,2,0))</f>
        <v>2</v>
      </c>
      <c r="K19" s="40">
        <f t="shared" si="1"/>
        <v>6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0</v>
      </c>
      <c r="G20" s="13">
        <v>2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2</v>
      </c>
      <c r="J20" s="40">
        <f>IF(OR(H20="",'📊 Resultat &amp; Tabell'!M21=""),"",IF(H20='📊 Resultat &amp; Tabell'!M21,2,0))</f>
        <v>2</v>
      </c>
      <c r="K20" s="40">
        <f t="shared" si="1"/>
        <v>4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7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1</v>
      </c>
      <c r="R20" s="60">
        <f t="shared" ref="R20:R23" si="9">P20-Q20</f>
        <v>6</v>
      </c>
      <c r="S20" s="60">
        <f t="shared" ref="S20:S23" si="10">M20*3+N20</f>
        <v>9</v>
      </c>
      <c r="T20" s="71">
        <f t="shared" ref="T20:T23" si="11">S20*100000+R20*1000+P20</f>
        <v>906007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0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2</v>
      </c>
      <c r="N21" s="59" cm="1">
        <f t="array" ref="N21">SUMPRODUCT(--($C$4:$C$75="C"),--(($D$4:$D$75=L21)+($E$4:$E$75=L21)&gt;0),--($F$4:$F$75=$G$4:$G$75),--($F$4:$F$75&lt;&gt;""),--($G$4:$G$75&lt;&gt;""))</f>
        <v>0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1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5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3</v>
      </c>
      <c r="R21" s="60">
        <f t="shared" si="9"/>
        <v>2</v>
      </c>
      <c r="S21" s="60">
        <f t="shared" si="10"/>
        <v>6</v>
      </c>
      <c r="T21" s="71">
        <f t="shared" si="11"/>
        <v>602005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7</v>
      </c>
      <c r="R22" s="60">
        <f t="shared" si="9"/>
        <v>-7</v>
      </c>
      <c r="S22" s="60">
        <f t="shared" si="10"/>
        <v>0</v>
      </c>
      <c r="T22" s="71">
        <f t="shared" si="11"/>
        <v>-7000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1</v>
      </c>
      <c r="H23" s="40" t="str">
        <f t="shared" si="0"/>
        <v>X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1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2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3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4</v>
      </c>
      <c r="R23" s="60">
        <f t="shared" si="9"/>
        <v>-1</v>
      </c>
      <c r="S23" s="60">
        <f t="shared" si="10"/>
        <v>3</v>
      </c>
      <c r="T23" s="71">
        <f t="shared" si="11"/>
        <v>299003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2</v>
      </c>
      <c r="G24" s="13">
        <v>1</v>
      </c>
      <c r="H24" s="40" t="str">
        <f t="shared" si="0"/>
        <v>1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0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4</v>
      </c>
      <c r="J25" s="40">
        <f>IF(OR(H25="",'📊 Resultat &amp; Tabell'!M26=""),"",IF(H25='📊 Resultat &amp; Tabell'!M26,2,0))</f>
        <v>2</v>
      </c>
      <c r="K25" s="40">
        <f t="shared" si="1"/>
        <v>6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0</v>
      </c>
      <c r="G26" s="13">
        <v>1</v>
      </c>
      <c r="H26" s="40" t="str">
        <f t="shared" si="0"/>
        <v>2</v>
      </c>
      <c r="I26" s="40">
        <f>IF(OR(F26="",G26="",'📊 Resultat &amp; Tabell'!K27="",'📊 Resultat &amp; Tabell'!L27=""),"",IF(F26='📊 Resultat &amp; Tabell'!K27,2,0)+IF(G26='📊 Resultat &amp; Tabell'!L27,2,0))</f>
        <v>0</v>
      </c>
      <c r="J26" s="40">
        <f>IF(OR(H26="",'📊 Resultat &amp; Tabell'!M27=""),"",IF(H26='📊 Resultat &amp; Tabell'!M27,2,0))</f>
        <v>0</v>
      </c>
      <c r="K26" s="40">
        <f t="shared" si="1"/>
        <v>0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2</v>
      </c>
      <c r="G27" s="13">
        <v>1</v>
      </c>
      <c r="H27" s="40" t="str">
        <f t="shared" si="0"/>
        <v>1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0</v>
      </c>
      <c r="K27" s="40">
        <f t="shared" si="1"/>
        <v>0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3</v>
      </c>
      <c r="N27" s="59" cm="1">
        <f t="array" ref="N27">SUMPRODUCT(--($C$4:$C$75="D"),--(($D$4:$D$75=L27)+($E$4:$E$75=L27)&gt;0),--($F$4:$F$75=$G$4:$G$75),--($F$4:$F$75&lt;&gt;""),--($G$4:$G$75&lt;&gt;""))</f>
        <v>0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5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1</v>
      </c>
      <c r="R27" s="60">
        <f t="shared" ref="R27:R30" si="12">P27-Q27</f>
        <v>4</v>
      </c>
      <c r="S27" s="60">
        <f t="shared" ref="S27:S30" si="13">M27*3+N27</f>
        <v>9</v>
      </c>
      <c r="T27" s="71">
        <f t="shared" ref="T27:T30" si="14">S27*100000+R27*1000+P27</f>
        <v>904005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3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1</v>
      </c>
      <c r="N28" s="59" cm="1">
        <f t="array" ref="N28">SUMPRODUCT(--($C$4:$C$75="D"),--(($D$4:$D$75=L28)+($E$4:$E$75=L28)&gt;0),--($F$4:$F$75=$G$4:$G$75),--($F$4:$F$75&lt;&gt;""),--($G$4:$G$75&lt;&gt;""))</f>
        <v>0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2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4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5</v>
      </c>
      <c r="R28" s="60">
        <f t="shared" si="12"/>
        <v>-1</v>
      </c>
      <c r="S28" s="60">
        <f t="shared" si="13"/>
        <v>3</v>
      </c>
      <c r="T28" s="71">
        <f t="shared" si="14"/>
        <v>299004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1</v>
      </c>
      <c r="H29" s="40" t="str">
        <f t="shared" si="0"/>
        <v>X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1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2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2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5</v>
      </c>
      <c r="R29" s="60">
        <f t="shared" si="12"/>
        <v>-3</v>
      </c>
      <c r="S29" s="60">
        <f t="shared" si="13"/>
        <v>1</v>
      </c>
      <c r="T29" s="71">
        <f t="shared" si="14"/>
        <v>97002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2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1</v>
      </c>
      <c r="N30" s="59" cm="1">
        <f t="array" ref="N30">SUMPRODUCT(--($C$4:$C$75="D"),--(($D$4:$D$75=L30)+($E$4:$E$75=L30)&gt;0),--($F$4:$F$75=$G$4:$G$75),--($F$4:$F$75&lt;&gt;""),--($G$4:$G$75&lt;&gt;""))</f>
        <v>1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1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3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3</v>
      </c>
      <c r="R30" s="60">
        <f t="shared" si="12"/>
        <v>0</v>
      </c>
      <c r="S30" s="60">
        <f t="shared" si="13"/>
        <v>4</v>
      </c>
      <c r="T30" s="71">
        <f t="shared" si="14"/>
        <v>400003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0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2</v>
      </c>
      <c r="J31" s="40">
        <f>IF(OR(H31="",'📊 Resultat &amp; Tabell'!M32=""),"",IF(H31='📊 Resultat &amp; Tabell'!M32,2,0))</f>
        <v>2</v>
      </c>
      <c r="K31" s="40">
        <f t="shared" si="1"/>
        <v>4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0</v>
      </c>
      <c r="G32" s="13">
        <v>2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0</v>
      </c>
      <c r="G33" s="13">
        <v>2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4</v>
      </c>
      <c r="J33" s="40">
        <f>IF(OR(H33="",'📊 Resultat &amp; Tabell'!M34=""),"",IF(H33='📊 Resultat &amp; Tabell'!M34,2,0))</f>
        <v>2</v>
      </c>
      <c r="K33" s="40">
        <f t="shared" si="1"/>
        <v>6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2</v>
      </c>
      <c r="G34" s="13">
        <v>1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2</v>
      </c>
      <c r="J34" s="40">
        <f>IF(OR(H34="",'📊 Resultat &amp; Tabell'!M35=""),"",IF(H34='📊 Resultat &amp; Tabell'!M35,2,0))</f>
        <v>0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7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0</v>
      </c>
      <c r="R34" s="60">
        <f t="shared" ref="R34:R37" si="15">P34-Q34</f>
        <v>7</v>
      </c>
      <c r="S34" s="60">
        <f t="shared" ref="S34:S37" si="16">M34*3+N34</f>
        <v>9</v>
      </c>
      <c r="T34" s="71">
        <f t="shared" ref="T34:T37" si="17">S34*100000+R34*1000+P34</f>
        <v>907007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1</v>
      </c>
      <c r="G35" s="13">
        <v>0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0</v>
      </c>
      <c r="J35" s="40">
        <f>IF(OR(H35="",'📊 Resultat &amp; Tabell'!M36=""),"",IF(H35='📊 Resultat &amp; Tabell'!M36,2,0))</f>
        <v>2</v>
      </c>
      <c r="K35" s="40">
        <f t="shared" si="1"/>
        <v>2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0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7</v>
      </c>
      <c r="R35" s="60">
        <f t="shared" si="15"/>
        <v>-7</v>
      </c>
      <c r="S35" s="60">
        <f t="shared" si="16"/>
        <v>0</v>
      </c>
      <c r="T35" s="71">
        <f t="shared" si="17"/>
        <v>-7000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0</v>
      </c>
      <c r="G36" s="13">
        <v>2</v>
      </c>
      <c r="H36" s="40" t="str">
        <f t="shared" si="0"/>
        <v>2</v>
      </c>
      <c r="I36" s="40">
        <f>IF(OR(F36="",G36="",'📊 Resultat &amp; Tabell'!K37="",'📊 Resultat &amp; Tabell'!L37=""),"",IF(F36='📊 Resultat &amp; Tabell'!K37,2,0)+IF(G36='📊 Resultat &amp; Tabell'!L37,2,0))</f>
        <v>2</v>
      </c>
      <c r="J36" s="40">
        <f>IF(OR(H36="",'📊 Resultat &amp; Tabell'!M37=""),"",IF(H36='📊 Resultat &amp; Tabell'!M37,2,0))</f>
        <v>2</v>
      </c>
      <c r="K36" s="40">
        <f t="shared" si="1"/>
        <v>4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3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3</v>
      </c>
      <c r="R36" s="60">
        <f t="shared" si="15"/>
        <v>0</v>
      </c>
      <c r="S36" s="60">
        <f t="shared" si="16"/>
        <v>4</v>
      </c>
      <c r="T36" s="71">
        <f t="shared" si="17"/>
        <v>400003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1</v>
      </c>
      <c r="G37" s="13">
        <v>1</v>
      </c>
      <c r="H37" s="40" t="str">
        <f t="shared" si="0"/>
        <v>X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0</v>
      </c>
      <c r="K37" s="40">
        <f t="shared" si="1"/>
        <v>2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3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0</v>
      </c>
      <c r="S37" s="60">
        <f t="shared" si="16"/>
        <v>4</v>
      </c>
      <c r="T37" s="71">
        <f t="shared" si="17"/>
        <v>400003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0</v>
      </c>
      <c r="G38" s="13">
        <v>2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0</v>
      </c>
      <c r="J38" s="40">
        <f>IF(OR(H38="",'📊 Resultat &amp; Tabell'!M39=""),"",IF(H38='📊 Resultat &amp; Tabell'!M39,2,0))</f>
        <v>2</v>
      </c>
      <c r="K38" s="40">
        <f t="shared" si="1"/>
        <v>2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2</v>
      </c>
      <c r="G39" s="13">
        <v>1</v>
      </c>
      <c r="H39" s="40" t="str">
        <f t="shared" si="0"/>
        <v>1</v>
      </c>
      <c r="I39" s="40">
        <f>IF(OR(F39="",G39="",'📊 Resultat &amp; Tabell'!K40="",'📊 Resultat &amp; Tabell'!L40=""),"",IF(F39='📊 Resultat &amp; Tabell'!K40,2,0)+IF(G39='📊 Resultat &amp; Tabell'!L40,2,0))</f>
        <v>2</v>
      </c>
      <c r="J39" s="40">
        <f>IF(OR(H39="",'📊 Resultat &amp; Tabell'!M40=""),"",IF(H39='📊 Resultat &amp; Tabell'!M40,2,0))</f>
        <v>0</v>
      </c>
      <c r="K39" s="40">
        <f t="shared" si="1"/>
        <v>2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2</v>
      </c>
      <c r="G40" s="13">
        <v>1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2</v>
      </c>
      <c r="J40" s="40">
        <f>IF(OR(H40="",'📊 Resultat &amp; Tabell'!M41=""),"",IF(H40='📊 Resultat &amp; Tabell'!M41,2,0))</f>
        <v>0</v>
      </c>
      <c r="K40" s="40">
        <f t="shared" si="1"/>
        <v>2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2</v>
      </c>
      <c r="G41" s="13">
        <v>0</v>
      </c>
      <c r="H41" s="40" t="str">
        <f t="shared" si="0"/>
        <v>1</v>
      </c>
      <c r="I41" s="40">
        <f>IF(OR(F41="",G41="",'📊 Resultat &amp; Tabell'!K42="",'📊 Resultat &amp; Tabell'!L42=""),"",IF(F41='📊 Resultat &amp; Tabell'!K42,2,0)+IF(G41='📊 Resultat &amp; Tabell'!L42,2,0))</f>
        <v>2</v>
      </c>
      <c r="J41" s="40">
        <f>IF(OR(H41="",'📊 Resultat &amp; Tabell'!M42=""),"",IF(H41='📊 Resultat &amp; Tabell'!M42,2,0))</f>
        <v>0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2</v>
      </c>
      <c r="N41" s="59" cm="1">
        <f t="array" ref="N41">SUMPRODUCT(--($C$4:$C$75="F"),--(($D$4:$D$75=L41)+($E$4:$E$75=L41)&gt;0),--($F$4:$F$75=$G$4:$G$75),--($F$4:$F$75&lt;&gt;""),--($G$4:$G$75&lt;&gt;""))</f>
        <v>1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5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2</v>
      </c>
      <c r="R41" s="60">
        <f t="shared" ref="R41:R44" si="18">P41-Q41</f>
        <v>3</v>
      </c>
      <c r="S41" s="60">
        <f t="shared" ref="S41:S44" si="19">M41*3+N41</f>
        <v>7</v>
      </c>
      <c r="T41" s="71">
        <f t="shared" ref="T41:T44" si="20">S41*100000+R41*1000+P41</f>
        <v>703005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0</v>
      </c>
      <c r="G42" s="13">
        <v>2</v>
      </c>
      <c r="H42" s="40" t="str">
        <f t="shared" si="0"/>
        <v>2</v>
      </c>
      <c r="I42" s="40">
        <f>IF(OR(F42="",G42="",'📊 Resultat &amp; Tabell'!K43="",'📊 Resultat &amp; Tabell'!L43=""),"",IF(F42='📊 Resultat &amp; Tabell'!K43,2,0)+IF(G42='📊 Resultat &amp; Tabell'!L43,2,0))</f>
        <v>0</v>
      </c>
      <c r="J42" s="40">
        <f>IF(OR(H42="",'📊 Resultat &amp; Tabell'!M43=""),"",IF(H42='📊 Resultat &amp; Tabell'!M43,2,0))</f>
        <v>2</v>
      </c>
      <c r="K42" s="40">
        <f t="shared" si="1"/>
        <v>2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2</v>
      </c>
      <c r="N42" s="59" cm="1">
        <f t="array" ref="N42">SUMPRODUCT(--($C$4:$C$75="F"),--(($D$4:$D$75=L42)+($E$4:$E$75=L42)&gt;0),--($F$4:$F$75=$G$4:$G$75),--($F$4:$F$75&lt;&gt;""),--($G$4:$G$75&lt;&gt;""))</f>
        <v>0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5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3</v>
      </c>
      <c r="R42" s="60">
        <f t="shared" si="18"/>
        <v>2</v>
      </c>
      <c r="S42" s="60">
        <f t="shared" si="19"/>
        <v>6</v>
      </c>
      <c r="T42" s="71">
        <f t="shared" si="20"/>
        <v>602005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0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2</v>
      </c>
      <c r="J43" s="40">
        <f>IF(OR(H43="",'📊 Resultat &amp; Tabell'!M44=""),"",IF(H43='📊 Resultat &amp; Tabell'!M44,2,0))</f>
        <v>0</v>
      </c>
      <c r="K43" s="40">
        <f t="shared" si="1"/>
        <v>2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3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3</v>
      </c>
      <c r="R43" s="60">
        <f t="shared" si="18"/>
        <v>0</v>
      </c>
      <c r="S43" s="60">
        <f t="shared" si="19"/>
        <v>4</v>
      </c>
      <c r="T43" s="71">
        <f t="shared" si="20"/>
        <v>400003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3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3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0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5</v>
      </c>
      <c r="R44" s="60">
        <f t="shared" si="18"/>
        <v>-5</v>
      </c>
      <c r="S44" s="60">
        <f t="shared" si="19"/>
        <v>0</v>
      </c>
      <c r="T44" s="71">
        <f t="shared" si="20"/>
        <v>-5000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0</v>
      </c>
      <c r="H45" s="40" t="str">
        <f t="shared" si="0"/>
        <v>1</v>
      </c>
      <c r="I45" s="40">
        <f>IF(OR(F45="",G45="",'📊 Resultat &amp; Tabell'!K46="",'📊 Resultat &amp; Tabell'!L46=""),"",IF(F45='📊 Resultat &amp; Tabell'!K46,2,0)+IF(G45='📊 Resultat &amp; Tabell'!L46,2,0))</f>
        <v>2</v>
      </c>
      <c r="J45" s="40">
        <f>IF(OR(H45="",'📊 Resultat &amp; Tabell'!M46=""),"",IF(H45='📊 Resultat &amp; Tabell'!M46,2,0))</f>
        <v>0</v>
      </c>
      <c r="K45" s="40">
        <f t="shared" si="1"/>
        <v>2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3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0</v>
      </c>
      <c r="G47" s="13">
        <v>2</v>
      </c>
      <c r="H47" s="40" t="str">
        <f t="shared" si="0"/>
        <v>2</v>
      </c>
      <c r="I47" s="40">
        <f>IF(OR(F47="",G47="",'📊 Resultat &amp; Tabell'!K48="",'📊 Resultat &amp; Tabell'!L48=""),"",IF(F47='📊 Resultat &amp; Tabell'!K48,2,0)+IF(G47='📊 Resultat &amp; Tabell'!L48,2,0))</f>
        <v>0</v>
      </c>
      <c r="J47" s="40">
        <f>IF(OR(H47="",'📊 Resultat &amp; Tabell'!M48=""),"",IF(H47='📊 Resultat &amp; Tabell'!M48,2,0))</f>
        <v>0</v>
      </c>
      <c r="K47" s="40">
        <f t="shared" si="1"/>
        <v>0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2</v>
      </c>
      <c r="G48" s="13">
        <v>0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7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1</v>
      </c>
      <c r="R48" s="60">
        <f t="shared" ref="R48:R51" si="21">P48-Q48</f>
        <v>6</v>
      </c>
      <c r="S48" s="60">
        <f t="shared" ref="S48:S51" si="22">M48*3+N48</f>
        <v>9</v>
      </c>
      <c r="T48" s="71">
        <f t="shared" ref="T48:T51" si="23">S48*100000+R48*1000+P48</f>
        <v>906007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3</v>
      </c>
      <c r="G49" s="13">
        <v>0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2</v>
      </c>
      <c r="J49" s="40">
        <f>IF(OR(H49="",'📊 Resultat &amp; Tabell'!M50=""),"",IF(H49='📊 Resultat &amp; Tabell'!M50,2,0))</f>
        <v>2</v>
      </c>
      <c r="K49" s="40">
        <f t="shared" si="1"/>
        <v>4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2</v>
      </c>
      <c r="N49" s="59" cm="1">
        <f t="array" ref="N49">SUMPRODUCT(--($C$4:$C$75="G"),--(($D$4:$D$75=L49)+($E$4:$E$75=L49)&gt;0),--($F$4:$F$75=$G$4:$G$75),--($F$4:$F$75&lt;&gt;""),--($G$4:$G$75&lt;&gt;""))</f>
        <v>0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4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2</v>
      </c>
      <c r="R49" s="60">
        <f t="shared" si="21"/>
        <v>2</v>
      </c>
      <c r="S49" s="60">
        <f t="shared" si="22"/>
        <v>6</v>
      </c>
      <c r="T49" s="71">
        <f t="shared" si="23"/>
        <v>602004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1</v>
      </c>
      <c r="N50" s="59" cm="1">
        <f t="array" ref="N50">SUMPRODUCT(--($C$4:$C$75="G"),--(($D$4:$D$75=L50)+($E$4:$E$75=L50)&gt;0),--($F$4:$F$75=$G$4:$G$75),--($F$4:$F$75&lt;&gt;""),--($G$4:$G$75&lt;&gt;""))</f>
        <v>0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2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2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3</v>
      </c>
      <c r="R50" s="60">
        <f t="shared" si="21"/>
        <v>-1</v>
      </c>
      <c r="S50" s="60">
        <f t="shared" si="22"/>
        <v>3</v>
      </c>
      <c r="T50" s="71">
        <f t="shared" si="23"/>
        <v>299002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1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0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3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0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7</v>
      </c>
      <c r="R51" s="60">
        <f t="shared" si="21"/>
        <v>-7</v>
      </c>
      <c r="S51" s="60">
        <f t="shared" si="22"/>
        <v>0</v>
      </c>
      <c r="T51" s="71">
        <f t="shared" si="23"/>
        <v>-7000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0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0</v>
      </c>
      <c r="J52" s="40">
        <f>IF(OR(H52="",'📊 Resultat &amp; Tabell'!M53=""),"",IF(H52='📊 Resultat &amp; Tabell'!M53,2,0))</f>
        <v>2</v>
      </c>
      <c r="K52" s="40">
        <f t="shared" si="1"/>
        <v>2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2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1</v>
      </c>
      <c r="G54" s="13">
        <v>1</v>
      </c>
      <c r="H54" s="40" t="str">
        <f t="shared" si="0"/>
        <v>X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0</v>
      </c>
      <c r="K54" s="40">
        <f t="shared" si="1"/>
        <v>0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3</v>
      </c>
      <c r="G55" s="13">
        <v>0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4</v>
      </c>
      <c r="J55" s="40">
        <f>IF(OR(H55="",'📊 Resultat &amp; Tabell'!M56=""),"",IF(H55='📊 Resultat &amp; Tabell'!M56,2,0))</f>
        <v>2</v>
      </c>
      <c r="K55" s="40">
        <f t="shared" si="1"/>
        <v>6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8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1</v>
      </c>
      <c r="R55" s="60">
        <f t="shared" ref="R55:R58" si="24">P55-Q55</f>
        <v>7</v>
      </c>
      <c r="S55" s="60">
        <f t="shared" ref="S55:S58" si="25">M55*3+N55</f>
        <v>9</v>
      </c>
      <c r="T55" s="71">
        <f t="shared" ref="T55:T58" si="26">S55*100000+R55*1000+P55</f>
        <v>907008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2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2</v>
      </c>
      <c r="K56" s="40">
        <f t="shared" si="1"/>
        <v>4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6</v>
      </c>
      <c r="R56" s="60">
        <f t="shared" si="24"/>
        <v>-5</v>
      </c>
      <c r="S56" s="60">
        <f t="shared" si="25"/>
        <v>1</v>
      </c>
      <c r="T56" s="71">
        <f t="shared" si="26"/>
        <v>95001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2</v>
      </c>
      <c r="G57" s="13">
        <v>0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2</v>
      </c>
      <c r="J57" s="40">
        <f>IF(OR(H57="",'📊 Resultat &amp; Tabell'!M58=""),"",IF(H57='📊 Resultat &amp; Tabell'!M58,2,0))</f>
        <v>2</v>
      </c>
      <c r="K57" s="40">
        <f t="shared" si="1"/>
        <v>4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1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6</v>
      </c>
      <c r="R57" s="60">
        <f t="shared" si="24"/>
        <v>-5</v>
      </c>
      <c r="S57" s="60">
        <f t="shared" si="25"/>
        <v>1</v>
      </c>
      <c r="T57" s="71">
        <f t="shared" si="26"/>
        <v>95001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2</v>
      </c>
      <c r="G58" s="13">
        <v>0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2</v>
      </c>
      <c r="J58" s="40">
        <f>IF(OR(H58="",'📊 Resultat &amp; Tabell'!M59=""),"",IF(H58='📊 Resultat &amp; Tabell'!M59,2,0))</f>
        <v>2</v>
      </c>
      <c r="K58" s="40">
        <f t="shared" si="1"/>
        <v>4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5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2</v>
      </c>
      <c r="R58" s="60">
        <f t="shared" si="24"/>
        <v>3</v>
      </c>
      <c r="S58" s="60">
        <f t="shared" si="25"/>
        <v>6</v>
      </c>
      <c r="T58" s="71">
        <f t="shared" si="26"/>
        <v>603005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0</v>
      </c>
      <c r="G60" s="13">
        <v>1</v>
      </c>
      <c r="H60" s="40" t="str">
        <f t="shared" si="0"/>
        <v>2</v>
      </c>
      <c r="I60" s="40">
        <f>IF(OR(F60="",G60="",'📊 Resultat &amp; Tabell'!K61="",'📊 Resultat &amp; Tabell'!L61=""),"",IF(F60='📊 Resultat &amp; Tabell'!K61,2,0)+IF(G60='📊 Resultat &amp; Tabell'!L61,2,0))</f>
        <v>0</v>
      </c>
      <c r="J60" s="40">
        <f>IF(OR(H60="",'📊 Resultat &amp; Tabell'!M61=""),"",IF(H60='📊 Resultat &amp; Tabell'!M61,2,0))</f>
        <v>2</v>
      </c>
      <c r="K60" s="40">
        <f t="shared" si="1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1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7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1</v>
      </c>
      <c r="R62" s="60">
        <f t="shared" ref="R62:R65" si="27">P62-Q62</f>
        <v>6</v>
      </c>
      <c r="S62" s="60">
        <f t="shared" ref="S62:S65" si="28">M62*3+N62</f>
        <v>9</v>
      </c>
      <c r="T62" s="71">
        <f t="shared" ref="T62:T65" si="29">S62*100000+R62*1000+P62</f>
        <v>906007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1</v>
      </c>
      <c r="H63" s="40" t="str">
        <f t="shared" si="0"/>
        <v>X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2</v>
      </c>
      <c r="K63" s="40">
        <f t="shared" si="1"/>
        <v>2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1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3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3</v>
      </c>
      <c r="R63" s="60">
        <f t="shared" si="27"/>
        <v>0</v>
      </c>
      <c r="S63" s="60">
        <f t="shared" si="28"/>
        <v>4</v>
      </c>
      <c r="T63" s="71">
        <f t="shared" si="29"/>
        <v>400003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3</v>
      </c>
      <c r="G64" s="13">
        <v>0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1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0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7</v>
      </c>
      <c r="R64" s="60">
        <f t="shared" si="27"/>
        <v>-7</v>
      </c>
      <c r="S64" s="60">
        <f t="shared" si="28"/>
        <v>0</v>
      </c>
      <c r="T64" s="71">
        <f t="shared" si="29"/>
        <v>-7000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0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0</v>
      </c>
      <c r="J65" s="40">
        <f>IF(OR(H65="",'📊 Resultat &amp; Tabell'!M66=""),"",IF(H65='📊 Resultat &amp; Tabell'!M66,2,0))</f>
        <v>2</v>
      </c>
      <c r="K65" s="40">
        <f t="shared" si="1"/>
        <v>2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1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4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3</v>
      </c>
      <c r="R65" s="60">
        <f t="shared" si="27"/>
        <v>1</v>
      </c>
      <c r="S65" s="60">
        <f t="shared" si="28"/>
        <v>4</v>
      </c>
      <c r="T65" s="71">
        <f t="shared" si="29"/>
        <v>401004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0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2</v>
      </c>
      <c r="J66" s="40">
        <f>IF(OR(H66="",'📊 Resultat &amp; Tabell'!M67=""),"",IF(H66='📊 Resultat &amp; Tabell'!M67,2,0))</f>
        <v>2</v>
      </c>
      <c r="K66" s="40">
        <f t="shared" si="1"/>
        <v>4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2</v>
      </c>
      <c r="G67" s="13">
        <v>0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1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2</v>
      </c>
      <c r="H68" s="40" t="str">
        <f t="shared" ref="H68:H107" si="30">IF(OR(F68="",G68=""),"",IF(F68&gt;G68,"1",IF(F68&lt;G68,"2","X")))</f>
        <v>2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0</v>
      </c>
      <c r="K68" s="40">
        <f t="shared" ref="K68:K107" si="31">IF(AND(I68="",J68=""),"",N(I68)+N(J68))</f>
        <v>0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0</v>
      </c>
      <c r="G69" s="13">
        <v>2</v>
      </c>
      <c r="H69" s="40" t="str">
        <f t="shared" si="30"/>
        <v>2</v>
      </c>
      <c r="I69" s="40">
        <f>IF(OR(F69="",G69="",'📊 Resultat &amp; Tabell'!K70="",'📊 Resultat &amp; Tabell'!L70=""),"",IF(F69='📊 Resultat &amp; Tabell'!K70,2,0)+IF(G69='📊 Resultat &amp; Tabell'!L70,2,0))</f>
        <v>0</v>
      </c>
      <c r="J69" s="40">
        <f>IF(OR(H69="",'📊 Resultat &amp; Tabell'!M70=""),"",IF(H69='📊 Resultat &amp; Tabell'!M70,2,0))</f>
        <v>0</v>
      </c>
      <c r="K69" s="40">
        <f t="shared" si="31"/>
        <v>0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7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6</v>
      </c>
      <c r="S69" s="60">
        <f t="shared" ref="S69:S72" si="33">M69*3+N69</f>
        <v>9</v>
      </c>
      <c r="T69" s="71">
        <f t="shared" ref="T69:T72" si="34">S69*100000+R69*1000+P69</f>
        <v>906007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1</v>
      </c>
      <c r="N70" s="59" cm="1">
        <f t="array" ref="N70">SUMPRODUCT(--($C$4:$C$75="J"),--(($D$4:$D$75=L70)+($E$4:$E$75=L70)&gt;0),--($F$4:$F$75=$G$4:$G$75),--($F$4:$F$75&lt;&gt;""),--($G$4:$G$75&lt;&gt;""))</f>
        <v>1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1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2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3</v>
      </c>
      <c r="R70" s="60">
        <f t="shared" si="32"/>
        <v>-1</v>
      </c>
      <c r="S70" s="60">
        <f t="shared" si="33"/>
        <v>4</v>
      </c>
      <c r="T70" s="71">
        <f t="shared" si="34"/>
        <v>399002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2</v>
      </c>
      <c r="G71" s="13">
        <v>0</v>
      </c>
      <c r="H71" s="40" t="str">
        <f t="shared" si="30"/>
        <v>1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2</v>
      </c>
      <c r="K71" s="40">
        <f t="shared" si="31"/>
        <v>4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1</v>
      </c>
      <c r="N71" s="59" cm="1">
        <f t="array" ref="N71">SUMPRODUCT(--($C$4:$C$75="J"),--(($D$4:$D$75=L71)+($E$4:$E$75=L71)&gt;0),--($F$4:$F$75=$G$4:$G$75),--($F$4:$F$75&lt;&gt;""),--($G$4:$G$75&lt;&gt;""))</f>
        <v>1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4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1</v>
      </c>
      <c r="S71" s="60">
        <f t="shared" si="33"/>
        <v>4</v>
      </c>
      <c r="T71" s="71">
        <f t="shared" si="34"/>
        <v>401004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0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3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0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6</v>
      </c>
      <c r="R72" s="60">
        <f t="shared" si="32"/>
        <v>-6</v>
      </c>
      <c r="S72" s="60">
        <f t="shared" si="33"/>
        <v>0</v>
      </c>
      <c r="T72" s="71">
        <f t="shared" si="34"/>
        <v>-6000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2</v>
      </c>
      <c r="G73" s="13">
        <v>0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2</v>
      </c>
      <c r="J73" s="40">
        <f>IF(OR(H73="",'📊 Resultat &amp; Tabell'!M74=""),"",IF(H73='📊 Resultat &amp; Tabell'!M74,2,0))</f>
        <v>0</v>
      </c>
      <c r="K73" s="40">
        <f t="shared" si="31"/>
        <v>2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3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1</v>
      </c>
      <c r="G75" s="13">
        <v>1</v>
      </c>
      <c r="H75" s="40" t="str">
        <f t="shared" si="30"/>
        <v>X</v>
      </c>
      <c r="I75" s="40">
        <f>IF(OR(F75="",G75="",'📊 Resultat &amp; Tabell'!K76="",'📊 Resultat &amp; Tabell'!L76=""),"",IF(F75='📊 Resultat &amp; Tabell'!K76,2,0)+IF(G75='📊 Resultat &amp; Tabell'!L76,2,0))</f>
        <v>2</v>
      </c>
      <c r="J75" s="40">
        <f>IF(OR(H75="",'📊 Resultat &amp; Tabell'!M76=""),"",IF(H75='📊 Resultat &amp; Tabell'!M76,2,0))</f>
        <v>0</v>
      </c>
      <c r="K75" s="40">
        <f t="shared" si="31"/>
        <v>2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0</v>
      </c>
      <c r="G76" s="13">
        <v>2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2</v>
      </c>
      <c r="J76" s="40">
        <f>IF(OR(H76="",'📊 Resultat &amp; Tabell'!M77=""),"",IF(H76='📊 Resultat &amp; Tabell'!M77,2,0))</f>
        <v>2</v>
      </c>
      <c r="K76" s="40">
        <f t="shared" si="31"/>
        <v>4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3</v>
      </c>
      <c r="N76" s="59" cm="1">
        <f t="array" ref="N76">SUMPRODUCT(--($C$4:$C$75="K"),--(($D$4:$D$75=L76)+($E$4:$E$75=L76)&gt;0),--($F$4:$F$75=$G$4:$G$75),--($F$4:$F$75&lt;&gt;""),--($G$4:$G$75&lt;&gt;""))</f>
        <v>0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7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1</v>
      </c>
      <c r="R76" s="60">
        <f t="shared" ref="R76:R79" si="35">P76-Q76</f>
        <v>6</v>
      </c>
      <c r="S76" s="60">
        <f t="shared" ref="S76:S79" si="36">M76*3+N76</f>
        <v>9</v>
      </c>
      <c r="T76" s="71">
        <f t="shared" ref="T76:T79" si="37">S76*100000+R76*1000+P76</f>
        <v>906007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4</v>
      </c>
      <c r="J77" s="40">
        <f>IF(OR(H77="",'📊 Resultat &amp; Tabell'!M78=""),"",IF(H77='📊 Resultat &amp; Tabell'!M78,2,0))</f>
        <v>2</v>
      </c>
      <c r="K77" s="40">
        <f t="shared" si="31"/>
        <v>6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0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3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0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7</v>
      </c>
      <c r="R77" s="60">
        <f t="shared" si="35"/>
        <v>-7</v>
      </c>
      <c r="S77" s="60">
        <f t="shared" si="36"/>
        <v>0</v>
      </c>
      <c r="T77" s="71">
        <f t="shared" si="37"/>
        <v>-7000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2</v>
      </c>
      <c r="G78" s="13">
        <v>0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1</v>
      </c>
      <c r="N78" s="59" cm="1">
        <f t="array" ref="N78">SUMPRODUCT(--($C$4:$C$75="K"),--(($D$4:$D$75=L78)+($E$4:$E$75=L78)&gt;0),--($F$4:$F$75=$G$4:$G$75),--($F$4:$F$75&lt;&gt;""),--($G$4:$G$75&lt;&gt;""))</f>
        <v>0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2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4</v>
      </c>
      <c r="R78" s="60">
        <f t="shared" si="35"/>
        <v>-2</v>
      </c>
      <c r="S78" s="60">
        <f t="shared" si="36"/>
        <v>3</v>
      </c>
      <c r="T78" s="71">
        <f t="shared" si="37"/>
        <v>298002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1</v>
      </c>
      <c r="G79" s="13">
        <v>2</v>
      </c>
      <c r="H79" s="40" t="str">
        <f t="shared" si="30"/>
        <v>2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0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1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5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2</v>
      </c>
      <c r="R79" s="60">
        <f t="shared" si="35"/>
        <v>3</v>
      </c>
      <c r="S79" s="60">
        <f t="shared" si="36"/>
        <v>6</v>
      </c>
      <c r="T79" s="71">
        <f t="shared" si="37"/>
        <v>603005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1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4</v>
      </c>
      <c r="J80" s="40">
        <f>IF(OR(H80="",'📊 Resultat &amp; Tabell'!M81=""),"",IF(H80='📊 Resultat &amp; Tabell'!M81,2,0))</f>
        <v>2</v>
      </c>
      <c r="K80" s="40">
        <f t="shared" si="31"/>
        <v>6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3</v>
      </c>
      <c r="G81" s="13">
        <v>2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2</v>
      </c>
      <c r="J81" s="40">
        <f>IF(OR(H81="",'📊 Resultat &amp; Tabell'!M82=""),"",IF(H81='📊 Resultat &amp; Tabell'!M82,2,0))</f>
        <v>2</v>
      </c>
      <c r="K81" s="40">
        <f t="shared" si="31"/>
        <v>4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21" customHeight="1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2</v>
      </c>
      <c r="G82" s="13">
        <v>1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3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7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1</v>
      </c>
      <c r="R83" s="60">
        <f t="shared" ref="R83:R86" si="38">P83-Q83</f>
        <v>6</v>
      </c>
      <c r="S83" s="60">
        <f t="shared" ref="S83:S86" si="39">M83*3+N83</f>
        <v>9</v>
      </c>
      <c r="T83" s="71">
        <f t="shared" ref="T83:T86" si="40">S83*100000+R83*1000+P83</f>
        <v>906007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2</v>
      </c>
      <c r="G84" s="13">
        <v>1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2</v>
      </c>
      <c r="J84" s="40">
        <f>IF(OR(H84="",'📊 Resultat &amp; Tabell'!M85=""),"",IF(H84='📊 Resultat &amp; Tabell'!M85,2,0))</f>
        <v>0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1</v>
      </c>
      <c r="N84" s="59" cm="1">
        <f t="array" ref="N84">SUMPRODUCT(--($C$4:$C$75="L"),--(($D$4:$D$75=L84)+($E$4:$E$75=L84)&gt;0),--($F$4:$F$75=$G$4:$G$75),--($F$4:$F$75&lt;&gt;""),--($G$4:$G$75&lt;&gt;""))</f>
        <v>1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4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3</v>
      </c>
      <c r="R84" s="60">
        <f t="shared" si="38"/>
        <v>1</v>
      </c>
      <c r="S84" s="60">
        <f t="shared" si="39"/>
        <v>4</v>
      </c>
      <c r="T84" s="71">
        <f t="shared" si="40"/>
        <v>401004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0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4</v>
      </c>
      <c r="J85" s="40">
        <f>IF(OR(H85="",'📊 Resultat &amp; Tabell'!M86=""),"",IF(H85='📊 Resultat &amp; Tabell'!M86,2,0))</f>
        <v>2</v>
      </c>
      <c r="K85" s="40">
        <f t="shared" si="31"/>
        <v>6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1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1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3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3</v>
      </c>
      <c r="R85" s="60">
        <f t="shared" si="38"/>
        <v>0</v>
      </c>
      <c r="S85" s="60">
        <f t="shared" si="39"/>
        <v>4</v>
      </c>
      <c r="T85" s="71">
        <f t="shared" si="40"/>
        <v>400003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3</v>
      </c>
      <c r="G86" s="13">
        <v>0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4</v>
      </c>
      <c r="J86" s="40">
        <f>IF(OR(H86="",'📊 Resultat &amp; Tabell'!M87=""),"",IF(H86='📊 Resultat &amp; Tabell'!M87,2,0))</f>
        <v>2</v>
      </c>
      <c r="K86" s="40">
        <f t="shared" si="31"/>
        <v>6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0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3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0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7</v>
      </c>
      <c r="R86" s="60">
        <f t="shared" si="38"/>
        <v>-7</v>
      </c>
      <c r="S86" s="60">
        <f t="shared" si="39"/>
        <v>0</v>
      </c>
      <c r="T86" s="71">
        <f t="shared" si="40"/>
        <v>-7000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1</v>
      </c>
      <c r="G87" s="13">
        <v>0</v>
      </c>
      <c r="H87" s="40" t="str">
        <f t="shared" si="30"/>
        <v>1</v>
      </c>
      <c r="I87" s="40">
        <f>IF(OR(F87="",G87="",'📊 Resultat &amp; Tabell'!K88="",'📊 Resultat &amp; Tabell'!L88=""),"",IF(F87='📊 Resultat &amp; Tabell'!K88,2,0)+IF(G87='📊 Resultat &amp; Tabell'!L88,2,0))</f>
        <v>0</v>
      </c>
      <c r="J87" s="40">
        <f>IF(OR(H87="",'📊 Resultat &amp; Tabell'!M88=""),"",IF(H87='📊 Resultat &amp; Tabell'!M88,2,0))</f>
        <v>2</v>
      </c>
      <c r="K87" s="40">
        <f t="shared" si="31"/>
        <v>2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3</v>
      </c>
      <c r="G88" s="13">
        <v>1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0</v>
      </c>
      <c r="J88" s="40">
        <f>IF(OR(H88="",'📊 Resultat &amp; Tabell'!M89=""),"",IF(H88='📊 Resultat &amp; Tabell'!M89,2,0))</f>
        <v>2</v>
      </c>
      <c r="K88" s="40">
        <f t="shared" si="31"/>
        <v>2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1</v>
      </c>
      <c r="G89" s="13">
        <v>2</v>
      </c>
      <c r="H89" s="40" t="str">
        <f t="shared" si="30"/>
        <v>2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3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0</v>
      </c>
      <c r="H91" s="40" t="str">
        <f t="shared" si="30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81"/>
      <c r="E100" s="81"/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8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81" t="str">
        <f>IF(OR(F94="",G94=""),"",IF(F94&gt;G94,D94,IF(F94&lt;G94,E94,"")))</f>
        <v/>
      </c>
      <c r="E102" s="81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8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81" t="str">
        <f>IF(OR(F100="",G100=""),"",IF(F100&gt;G100,D100,IF(F100&lt;G100,E100,"")))</f>
        <v/>
      </c>
      <c r="E104" s="81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8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81" t="str">
        <f>IF(OR(F104="",G104=""),"",IF(F104&lt;G104,D104,IF(F104&gt;G104,E104,"")))</f>
        <v/>
      </c>
      <c r="E106" s="81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8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222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141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301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222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1CAB502E-70CE-4F49-A074-94ACDE3C821E}">
      <formula1>0</formula1>
      <formula2>20</formula2>
    </dataValidation>
  </dataValidations>
  <hyperlinks>
    <hyperlink ref="E90" r:id="rId1" display="=OMFEL(INDEX($Z$4:$Z$15;PASSA(MAX(OM(ÄRTAL(PASSA(@$W$4:$W$15;{&quot;D&quot;\&quot;E&quot;\&quot;I&quot;\&quot;J&quot;\&quot;L&quot;};0))*(@$AC$4:$AC$15&lt;=8)*(ANTAL.OM($D$76:E89;@$Z$4:$Z$15)=0);$AA$4:$AA$15));$AA$4:$AA$15;0));&quot;&quot;)" xr:uid="{F671E244-3D69-4F72-9C93-891EC6D5BF26}"/>
    <hyperlink ref="E88" r:id="rId2" display="=OMFEL(INDEX($Z$4:$Z$15;PASSA(MAX(OM(ÄRTAL(PASSA(@$W$4:$W$15;{&quot;E&quot;\&quot;F&quot;\&quot;G&quot;\&quot;I&quot;\&quot;J&quot;};0))*(@$AC$4:$AC$15&lt;=8)*(ANTAL.OM($D$76:E87;@$Z$4:$Z$15)=0);$AA$4:$AA$15));$AA$4:$AA$15;0));&quot;&quot;)" xr:uid="{46F48834-E492-4A0A-AC50-51B862C422E2}"/>
    <hyperlink ref="E85" r:id="rId3" display="=OMFEL(INDEX($Z$4:$Z$15;PASSA(MAX(OM(ÄRTAL(PASSA(@$W$4:$W$15;{&quot;A&quot;\&quot;E&quot;\&quot;H&quot;\&quot;I&quot;\&quot;J&quot;};0))*(@$AC$4:$AC$15&lt;=8)*(ANTAL.OM($D$76:E84;@$Z$4:$Z$15)=0);$AA$4:$AA$15));$AA$4:$AA$15;0));&quot;&quot;)" xr:uid="{576646DA-4155-4DE4-AE04-9B7BCAC15CA3}"/>
    <hyperlink ref="E84" r:id="rId4" display="=OMFEL(INDEX($Z$4:$Z$15;PASSA(MAX(OM(ÄRTAL(PASSA(@$W$4:$W$15;{&quot;B&quot;\&quot;E&quot;\&quot;F&quot;\&quot;I&quot;\&quot;J&quot;};0))*(@$AC$4:$AC$15&lt;=8)*(ANTAL.OM($D$76:E83;@$Z$4:$Z$15)=0);$AA$4:$AA$15));$AA$4:$AA$15;0));&quot;&quot;)" xr:uid="{A0A393D1-18DE-4230-A27B-510D00E7FC70}"/>
    <hyperlink ref="E83" r:id="rId5" display="=OMFEL(INDEX($Z$4:$Z$15;PASSA(MAX(OM(ÄRTAL(PASSA(@$W$4:$W$15;{&quot;E&quot;\&quot;H&quot;\&quot;I&quot;\&quot;J&quot;\&quot;K&quot;};0))*(@$AC$4:$AC$15&lt;=8)*(ANTAL.OM($D$76:E82;@$Z$4:$Z$15)=0);$AA$4:$AA$15));$AA$4:$AA$15;0));&quot;&quot;)" xr:uid="{889FA813-C04E-4A2D-A816-D0F63410D87E}"/>
    <hyperlink ref="E82" r:id="rId6" display="=OMFEL(INDEX($Z$4:$Z$15;PASSA(MAX(OM(ÄRTAL(PASSA(@$W$4:$W$15;{&quot;C&quot;\&quot;E&quot;\&quot;F&quot;\&quot;H&quot;\&quot;I&quot;};0))*(@$AC$4:$AC$15&lt;=8)*(ANTAL.OM($D$76:E81;@$Z$4:$Z$15)=0);$AA$4:$AA$15));$AA$4:$AA$15;0));&quot;&quot;)" xr:uid="{3EFDE509-E9BE-445A-91F4-EA09BF978D12}"/>
    <hyperlink ref="E80" r:id="rId7" display="=OMFEL(INDEX($Z$4:$Z$15;PASSA(MAX(OM(ÄRTAL(PASSA(@$W$4:$W$15;{&quot;C&quot;\&quot;D&quot;\&quot;F&quot;\&quot;G&quot;\&quot;H&quot;};0))*(@$AC$4:$AC$15&lt;=8)*(ANTAL.OM($D$76:E79;@$Z$4:$Z$15)=0);$AA$4:$AA$15));$AA$4:$AA$15;0));&quot;&quot;)" xr:uid="{3755796F-2A1C-45CF-A269-CCEF879A4CA2}"/>
    <hyperlink ref="E77" r:id="rId8" display="=OMFEL(INDEX($Z$4:$Z$15;PASSA(MAX(OM(ÄRTAL(PASSA(@$W$4:$W$15;{&quot;A&quot;\&quot;B&quot;\&quot;C&quot;\&quot;D&quot;\&quot;F&quot;};0))*(@$AC$4:$AC$15&lt;=8)*(ANTAL.OM($D$76:E76;@$Z$4:$Z$15)=0);$AA$4:$AA$15));$AA$4:$AA$15;0));&quot;&quot;)" xr:uid="{2AE0555F-E79C-47F9-B348-47DCFBDA0FBB}"/>
  </hyperlinks>
  <pageMargins left="0.7" right="0.7" top="0.75" bottom="0.75" header="0.3" footer="0.3"/>
  <tableParts count="1">
    <tablePart r:id="rId9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DDB32-5492-405E-A241-04261A627B7B}">
  <dimension ref="A1:AN116"/>
  <sheetViews>
    <sheetView topLeftCell="A76" workbookViewId="0">
      <selection activeCell="D99" sqref="D99:E99"/>
    </sheetView>
  </sheetViews>
  <sheetFormatPr defaultRowHeight="15"/>
  <cols>
    <col min="1" max="1" width="16" bestFit="1" customWidth="1"/>
    <col min="2" max="2" width="13.28515625" bestFit="1" customWidth="1"/>
    <col min="4" max="5" width="21.28515625" style="83" bestFit="1" customWidth="1"/>
    <col min="12" max="12" width="22.85546875" bestFit="1" customWidth="1"/>
    <col min="13" max="13" width="4" bestFit="1" customWidth="1"/>
    <col min="14" max="19" width="5.140625" bestFit="1" customWidth="1"/>
    <col min="20" max="20" width="14.7109375" customWidth="1"/>
  </cols>
  <sheetData>
    <row r="1" spans="1:40" ht="24.75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62"/>
      <c r="E2" s="6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0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4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6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South Africa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Tjeckien</v>
      </c>
      <c r="AA4" s="72">
        <f>IF(COUNTIFS($C$4:$C$75,"A",$F$4:$F$75,"&lt;&gt;",$G$4:$G$75,"&lt;&gt;")=0,"",IFERROR(LARGE($T$6:$T$9,3),""))</f>
        <v>300003</v>
      </c>
      <c r="AB4" s="72">
        <f>IF(AA4="","",_xlfn.RANK.EQ(AA4,$AA$4:$AA$15,0))</f>
        <v>6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1</v>
      </c>
      <c r="H5" s="40" t="str">
        <f t="shared" si="0"/>
        <v>X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1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Kanada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Bosnien och Hercegovina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Schweiz</v>
      </c>
      <c r="AA5" s="72" cm="1">
        <f t="array" ref="AA5">IF(COUNTIFS($C$4:$C$75,"B",$F$4:$F$75,"&lt;&gt;",$G$4:$G$75,"&lt;&gt;")=0,"",LARGE($T$13:$T$16+ROW($T$13:$T$16)/100000,3))</f>
        <v>401004.00016</v>
      </c>
      <c r="AB5" s="72">
        <f t="shared" ref="AB5:AB15" si="2">IF(AA5="","",_xlfn.RANK.EQ(AA5,$AA$4:$AA$15,0))</f>
        <v>2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1</v>
      </c>
      <c r="G6" s="13">
        <v>1</v>
      </c>
      <c r="H6" s="40" t="str">
        <f t="shared" si="0"/>
        <v>X</v>
      </c>
      <c r="I6" s="40">
        <f>IF(OR(F6="",G6="",'📊 Resultat &amp; Tabell'!K7="",'📊 Resultat &amp; Tabell'!L7=""),"",IF(F6='📊 Resultat &amp; Tabell'!K7,2,0)+IF(G6='📊 Resultat &amp; Tabell'!L7,2,0))</f>
        <v>4</v>
      </c>
      <c r="J6" s="40">
        <f>IF(OR(H6="",'📊 Resultat &amp; Tabell'!M7=""),"",IF(H6='📊 Resultat &amp; Tabell'!M7,2,0))</f>
        <v>2</v>
      </c>
      <c r="K6" s="40">
        <f t="shared" si="1"/>
        <v>6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1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5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3</v>
      </c>
      <c r="S6" s="60">
        <f>M6*3+N6</f>
        <v>7</v>
      </c>
      <c r="T6" s="71">
        <f>S6*100000+R6*1000+P6</f>
        <v>703005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Skottland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Marocko</v>
      </c>
      <c r="AA6" s="72" cm="1">
        <f t="array" ref="AA6">IF(COUNTIFS($C$4:$C$75,"C",$F$4:$F$75,"&lt;&gt;",$G$4:$G$75,"&lt;&gt;")=0,"",LARGE($T$20:$T$23+ROW($T$20:$T$23)/100000,3))</f>
        <v>401004.00021000003</v>
      </c>
      <c r="AB6" s="72">
        <f t="shared" si="2"/>
        <v>1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1</v>
      </c>
      <c r="H7" s="40" t="str">
        <f t="shared" si="0"/>
        <v>1</v>
      </c>
      <c r="I7" s="40">
        <f>IF(OR(F7="",G7="",'📊 Resultat &amp; Tabell'!K8="",'📊 Resultat &amp; Tabell'!L8=""),"",IF(F7='📊 Resultat &amp; Tabell'!K8,2,0)+IF(G7='📊 Resultat &amp; Tabell'!L8,2,0))</f>
        <v>0</v>
      </c>
      <c r="J7" s="40">
        <f>IF(OR(H7="",'📊 Resultat &amp; Tabell'!M8=""),"",IF(H7='📊 Resultat &amp; Tabell'!M8,2,0))</f>
        <v>2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1</v>
      </c>
      <c r="N7" s="59" cm="1">
        <f t="array" ref="N7">SUMPRODUCT(--($C$4:$C$75="A"),--(($D$4:$D$75=L7)+($E$4:$E$75=L7)&gt;0),--($F$4:$F$75=$G$4:$G$75),--($F$4:$F$75&lt;&gt;""),--($G$4:$G$75&lt;&gt;""))</f>
        <v>1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1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3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4</v>
      </c>
      <c r="R7" s="60">
        <f t="shared" ref="R7:R9" si="3">P7-Q7</f>
        <v>-1</v>
      </c>
      <c r="S7" s="60">
        <f t="shared" ref="S7:S9" si="4">M7*3+N7</f>
        <v>4</v>
      </c>
      <c r="T7" s="71">
        <f t="shared" ref="T7:T9" si="5">S7*100000+R7*1000+P7</f>
        <v>399003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Turkiet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Australien</v>
      </c>
      <c r="AA7" s="72" cm="1">
        <f t="array" ref="AA7">IF(COUNTIFS($C$4:$C$75,"D",$F$4:$F$75,"&lt;&gt;",$G$4:$G$75,"&lt;&gt;")=0,"",LARGE($T$27:$T$30+ROW($T$27:$T$30)/100000,3))</f>
        <v>198002.00029</v>
      </c>
      <c r="AB7" s="72">
        <f t="shared" si="2"/>
        <v>8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1</v>
      </c>
      <c r="H8" s="40" t="str">
        <f t="shared" si="0"/>
        <v>X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0</v>
      </c>
      <c r="K8" s="40">
        <f t="shared" si="1"/>
        <v>0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0</v>
      </c>
      <c r="N8" s="59" cm="1">
        <f t="array" ref="N8">SUMPRODUCT(--($C$4:$C$75="A"),--(($D$4:$D$75=L8)+($E$4:$E$75=L8)&gt;0),--($F$4:$F$75=$G$4:$G$75),--($F$4:$F$75&lt;&gt;""),--($G$4:$G$75&lt;&gt;""))</f>
        <v>1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2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3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5</v>
      </c>
      <c r="R8" s="60">
        <f t="shared" si="3"/>
        <v>-2</v>
      </c>
      <c r="S8" s="60">
        <f t="shared" si="4"/>
        <v>1</v>
      </c>
      <c r="T8" s="71">
        <f t="shared" si="5"/>
        <v>98003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400004.00036000001</v>
      </c>
      <c r="AB8" s="72">
        <f t="shared" si="2"/>
        <v>4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2</v>
      </c>
      <c r="G9" s="13">
        <v>1</v>
      </c>
      <c r="H9" s="40" t="str">
        <f t="shared" si="0"/>
        <v>1</v>
      </c>
      <c r="I9" s="40">
        <f>IF(OR(F9="",G9="",'📊 Resultat &amp; Tabell'!K10="",'📊 Resultat &amp; Tabell'!L10=""),"",IF(F9='📊 Resultat &amp; Tabell'!K10,2,0)+IF(G9='📊 Resultat &amp; Tabell'!L10,2,0))</f>
        <v>0</v>
      </c>
      <c r="J9" s="40">
        <f>IF(OR(H9="",'📊 Resultat &amp; Tabell'!M10=""),"",IF(H9='📊 Resultat &amp; Tabell'!M10,2,0))</f>
        <v>2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0</v>
      </c>
      <c r="N9" s="59" cm="1">
        <f t="array" ref="N9">SUMPRODUCT(--($C$4:$C$75="A"),--(($D$4:$D$75=L9)+($E$4:$E$75=L9)&gt;0),--($F$4:$F$75=$G$4:$G$75),--($F$4:$F$75&lt;&gt;""),--($G$4:$G$75&lt;&gt;""))</f>
        <v>3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0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3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3</v>
      </c>
      <c r="R9" s="60">
        <f t="shared" si="3"/>
        <v>0</v>
      </c>
      <c r="S9" s="60">
        <f t="shared" si="4"/>
        <v>3</v>
      </c>
      <c r="T9" s="71">
        <f t="shared" si="5"/>
        <v>300003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Japan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Sverige</v>
      </c>
      <c r="AA9" s="72" cm="1">
        <f t="array" ref="AA9">IF(COUNTIFS($C$4:$C$75,"F",$F$4:$F$75,"&lt;&gt;",$G$4:$G$75,"&lt;&gt;")=0,"",LARGE($T$41:$T$44+ROW($T$41:$T$44)/100000,3))</f>
        <v>400004.00043000001</v>
      </c>
      <c r="AB9" s="72">
        <f t="shared" si="2"/>
        <v>3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2</v>
      </c>
      <c r="G10" s="13">
        <v>1</v>
      </c>
      <c r="H10" s="40" t="str">
        <f t="shared" si="0"/>
        <v>1</v>
      </c>
      <c r="I10" s="40">
        <f>IF(OR(F10="",G10="",'📊 Resultat &amp; Tabell'!K11="",'📊 Resultat &amp; Tabell'!L11=""),"",IF(F10='📊 Resultat &amp; Tabell'!K11,2,0)+IF(G10='📊 Resultat &amp; Tabell'!L11,2,0))</f>
        <v>2</v>
      </c>
      <c r="J10" s="40">
        <f>IF(OR(H10="",'📊 Resultat &amp; Tabell'!M11=""),"",IF(H10='📊 Resultat &amp; Tabell'!M11,2,0))</f>
        <v>0</v>
      </c>
      <c r="K10" s="40">
        <f t="shared" si="1"/>
        <v>2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198002.00049999999</v>
      </c>
      <c r="AB10" s="72">
        <f t="shared" si="2"/>
        <v>7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0</v>
      </c>
      <c r="G11" s="13">
        <v>2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0</v>
      </c>
      <c r="J11" s="40">
        <f>IF(OR(H11="",'📊 Resultat &amp; Tabell'!M12=""),"",IF(H11='📊 Resultat &amp; Tabell'!M12,2,0))</f>
        <v>0</v>
      </c>
      <c r="K11" s="40">
        <f t="shared" si="1"/>
        <v>0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97003.000570000004</v>
      </c>
      <c r="AB11" s="72">
        <f t="shared" si="2"/>
        <v>10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1</v>
      </c>
      <c r="G12" s="13">
        <v>1</v>
      </c>
      <c r="H12" s="40" t="str">
        <f t="shared" si="0"/>
        <v>X</v>
      </c>
      <c r="I12" s="40">
        <f>IF(OR(F12="",G12="",'📊 Resultat &amp; Tabell'!K13="",'📊 Resultat &amp; Tabell'!L13=""),"",IF(F12='📊 Resultat &amp; Tabell'!K13,2,0)+IF(G12='📊 Resultat &amp; Tabell'!L13,2,0))</f>
        <v>2</v>
      </c>
      <c r="J12" s="40">
        <f>IF(OR(H12="",'📊 Resultat &amp; Tabell'!M13=""),"",IF(H12='📊 Resultat &amp; Tabell'!M13,2,0))</f>
        <v>0</v>
      </c>
      <c r="K12" s="40">
        <f t="shared" si="1"/>
        <v>2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Norge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399003.00063000002</v>
      </c>
      <c r="AB12" s="72">
        <f t="shared" si="2"/>
        <v>5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1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0</v>
      </c>
      <c r="J13" s="40">
        <f>IF(OR(H13="",'📊 Resultat &amp; Tabell'!M14=""),"",IF(H13='📊 Resultat &amp; Tabell'!M14,2,0))</f>
        <v>2</v>
      </c>
      <c r="K13" s="40">
        <f t="shared" si="1"/>
        <v>2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3</v>
      </c>
      <c r="N13" s="59" cm="1">
        <f t="array" ref="N13">SUMPRODUCT(--($C$4:$C$75="B"),--(($D$4:$D$75=L13)+($E$4:$E$75=L13)&gt;0),--($F$4:$F$75=$G$4:$G$75),--($F$4:$F$75&lt;&gt;""),--($G$4:$G$75&lt;&gt;""))</f>
        <v>0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6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3</v>
      </c>
      <c r="R13" s="60">
        <f>P13-Q13</f>
        <v>3</v>
      </c>
      <c r="S13" s="60">
        <f>M13*3+N13</f>
        <v>9</v>
      </c>
      <c r="T13" s="71">
        <f>S13*100000+R13*1000+P13</f>
        <v>903006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96002.000700000004</v>
      </c>
      <c r="AB13" s="72">
        <f t="shared" si="2"/>
        <v>12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2</v>
      </c>
      <c r="H14" s="40" t="str">
        <f t="shared" si="0"/>
        <v>2</v>
      </c>
      <c r="I14" s="40">
        <f>IF(OR(F14="",G14="",'📊 Resultat &amp; Tabell'!K15="",'📊 Resultat &amp; Tabell'!L15=""),"",IF(F14='📊 Resultat &amp; Tabell'!K15,2,0)+IF(G14='📊 Resultat &amp; Tabell'!L15,2,0))</f>
        <v>0</v>
      </c>
      <c r="J14" s="40">
        <f>IF(OR(H14="",'📊 Resultat &amp; Tabell'!M15=""),"",IF(H14='📊 Resultat &amp; Tabell'!M15,2,0))</f>
        <v>0</v>
      </c>
      <c r="K14" s="40">
        <f t="shared" si="1"/>
        <v>0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1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5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3</v>
      </c>
      <c r="R14" s="60">
        <f t="shared" ref="R14:R16" si="6">P14-Q14</f>
        <v>2</v>
      </c>
      <c r="S14" s="60">
        <f t="shared" ref="S14:S16" si="7">M14*3+N14</f>
        <v>4</v>
      </c>
      <c r="T14" s="71">
        <f t="shared" ref="T14:T16" si="8">S14*100000+R14*1000+P14</f>
        <v>402005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Kongo-Kinshasa</v>
      </c>
      <c r="AA14" s="72" cm="1">
        <f t="array" ref="AA14">IF(COUNTIFS($C$4:$C$75,"K",$F$4:$F$75,"&lt;&gt;",$G$4:$G$75,"&lt;&gt;")=0,"",LARGE($T$76:$T$79+ROW($T$76:$T$79)/100000,3))</f>
        <v>97002.000769999999</v>
      </c>
      <c r="AB14" s="72">
        <f t="shared" si="2"/>
        <v>11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3</v>
      </c>
      <c r="G15" s="13">
        <v>0</v>
      </c>
      <c r="H15" s="40" t="str">
        <f t="shared" si="0"/>
        <v>1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2</v>
      </c>
      <c r="K15" s="40">
        <f t="shared" si="1"/>
        <v>4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1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7</v>
      </c>
      <c r="R15" s="60">
        <f t="shared" si="6"/>
        <v>-6</v>
      </c>
      <c r="S15" s="60">
        <f t="shared" si="7"/>
        <v>0</v>
      </c>
      <c r="T15" s="71">
        <f t="shared" si="8"/>
        <v>-5999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97003.000849999997</v>
      </c>
      <c r="AB15" s="72">
        <f t="shared" si="2"/>
        <v>9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2</v>
      </c>
      <c r="G16" s="13">
        <v>1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2</v>
      </c>
      <c r="J16" s="40">
        <f>IF(OR(H16="",'📊 Resultat &amp; Tabell'!M17=""),"",IF(H16='📊 Resultat &amp; Tabell'!M17,2,0))</f>
        <v>0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1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1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4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3</v>
      </c>
      <c r="R16" s="60">
        <f t="shared" si="6"/>
        <v>1</v>
      </c>
      <c r="S16" s="60">
        <f t="shared" si="7"/>
        <v>4</v>
      </c>
      <c r="T16" s="71">
        <f t="shared" si="8"/>
        <v>401004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1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1</v>
      </c>
      <c r="H18" s="40" t="str">
        <f t="shared" si="0"/>
        <v>X</v>
      </c>
      <c r="I18" s="40">
        <f>IF(OR(F18="",G18="",'📊 Resultat &amp; Tabell'!K19="",'📊 Resultat &amp; Tabell'!L19=""),"",IF(F18='📊 Resultat &amp; Tabell'!K19,2,0)+IF(G18='📊 Resultat &amp; Tabell'!L19,2,0))</f>
        <v>2</v>
      </c>
      <c r="J18" s="40">
        <f>IF(OR(H18="",'📊 Resultat &amp; Tabell'!M19=""),"",IF(H18='📊 Resultat &amp; Tabell'!M19,2,0))</f>
        <v>0</v>
      </c>
      <c r="K18" s="40">
        <f t="shared" si="1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4</v>
      </c>
      <c r="G19" s="13">
        <v>0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1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1</v>
      </c>
      <c r="G20" s="13">
        <v>2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2</v>
      </c>
      <c r="K20" s="40">
        <f t="shared" si="1"/>
        <v>2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8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2</v>
      </c>
      <c r="R20" s="60">
        <f t="shared" ref="R20:R23" si="9">P20-Q20</f>
        <v>6</v>
      </c>
      <c r="S20" s="60">
        <f t="shared" ref="S20:S23" si="10">M20*3+N20</f>
        <v>9</v>
      </c>
      <c r="T20" s="71">
        <f t="shared" ref="T20:T23" si="11">S20*100000+R20*1000+P20</f>
        <v>906008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0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1</v>
      </c>
      <c r="N21" s="59" cm="1">
        <f t="array" ref="N21">SUMPRODUCT(--($C$4:$C$75="C"),--(($D$4:$D$75=L21)+($E$4:$E$75=L21)&gt;0),--($F$4:$F$75=$G$4:$G$75),--($F$4:$F$75&lt;&gt;""),--($G$4:$G$75&lt;&gt;""))</f>
        <v>1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1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4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3</v>
      </c>
      <c r="R21" s="60">
        <f t="shared" si="9"/>
        <v>1</v>
      </c>
      <c r="S21" s="60">
        <f t="shared" si="10"/>
        <v>4</v>
      </c>
      <c r="T21" s="71">
        <f t="shared" si="11"/>
        <v>401004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8</v>
      </c>
      <c r="R22" s="60">
        <f t="shared" si="9"/>
        <v>-8</v>
      </c>
      <c r="S22" s="60">
        <f t="shared" si="10"/>
        <v>0</v>
      </c>
      <c r="T22" s="71">
        <f t="shared" si="11"/>
        <v>-8000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1</v>
      </c>
      <c r="H23" s="40" t="str">
        <f t="shared" si="0"/>
        <v>X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1</v>
      </c>
      <c r="N23" s="59" cm="1">
        <f t="array" ref="N23">SUMPRODUCT(--($C$4:$C$75="C"),--(($D$4:$D$75=L23)+($E$4:$E$75=L23)&gt;0),--($F$4:$F$75=$G$4:$G$75),--($F$4:$F$75&lt;&gt;""),--($G$4:$G$75&lt;&gt;""))</f>
        <v>1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1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3</v>
      </c>
      <c r="R23" s="60">
        <f t="shared" si="9"/>
        <v>1</v>
      </c>
      <c r="S23" s="60">
        <f t="shared" si="10"/>
        <v>4</v>
      </c>
      <c r="T23" s="71">
        <f t="shared" si="11"/>
        <v>401004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2</v>
      </c>
      <c r="G24" s="13">
        <v>1</v>
      </c>
      <c r="H24" s="40" t="str">
        <f t="shared" si="0"/>
        <v>1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0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4</v>
      </c>
      <c r="J25" s="40">
        <f>IF(OR(H25="",'📊 Resultat &amp; Tabell'!M26=""),"",IF(H25='📊 Resultat &amp; Tabell'!M26,2,0))</f>
        <v>2</v>
      </c>
      <c r="K25" s="40">
        <f t="shared" si="1"/>
        <v>6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1</v>
      </c>
      <c r="H26" s="40" t="str">
        <f t="shared" si="0"/>
        <v>X</v>
      </c>
      <c r="I26" s="40">
        <f>IF(OR(F26="",G26="",'📊 Resultat &amp; Tabell'!K27="",'📊 Resultat &amp; Tabell'!L27=""),"",IF(F26='📊 Resultat &amp; Tabell'!K27,2,0)+IF(G26='📊 Resultat &amp; Tabell'!L27,2,0))</f>
        <v>0</v>
      </c>
      <c r="J26" s="40">
        <f>IF(OR(H26="",'📊 Resultat &amp; Tabell'!M27=""),"",IF(H26='📊 Resultat &amp; Tabell'!M27,2,0))</f>
        <v>0</v>
      </c>
      <c r="K26" s="40">
        <f t="shared" si="1"/>
        <v>0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1</v>
      </c>
      <c r="G27" s="13">
        <v>1</v>
      </c>
      <c r="H27" s="40" t="str">
        <f t="shared" si="0"/>
        <v>X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2</v>
      </c>
      <c r="K27" s="40">
        <f t="shared" si="1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2</v>
      </c>
      <c r="N27" s="59" cm="1">
        <f t="array" ref="N27">SUMPRODUCT(--($C$4:$C$75="D"),--(($D$4:$D$75=L27)+($E$4:$E$75=L27)&gt;0),--($F$4:$F$75=$G$4:$G$75),--($F$4:$F$75&lt;&gt;""),--($G$4:$G$75&lt;&gt;""))</f>
        <v>1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5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2</v>
      </c>
      <c r="R27" s="60">
        <f t="shared" ref="R27:R30" si="12">P27-Q27</f>
        <v>3</v>
      </c>
      <c r="S27" s="60">
        <f t="shared" ref="S27:S30" si="13">M27*3+N27</f>
        <v>7</v>
      </c>
      <c r="T27" s="71">
        <f t="shared" ref="T27:T30" si="14">S27*100000+R27*1000+P27</f>
        <v>703005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3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2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3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5</v>
      </c>
      <c r="R28" s="60">
        <f t="shared" si="12"/>
        <v>-2</v>
      </c>
      <c r="S28" s="60">
        <f t="shared" si="13"/>
        <v>1</v>
      </c>
      <c r="T28" s="71">
        <f t="shared" si="14"/>
        <v>98003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1</v>
      </c>
      <c r="H29" s="40" t="str">
        <f t="shared" si="0"/>
        <v>X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2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2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4</v>
      </c>
      <c r="R29" s="60">
        <f t="shared" si="12"/>
        <v>-2</v>
      </c>
      <c r="S29" s="60">
        <f t="shared" si="13"/>
        <v>2</v>
      </c>
      <c r="T29" s="71">
        <f t="shared" si="14"/>
        <v>198002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2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1</v>
      </c>
      <c r="N30" s="59" cm="1">
        <f t="array" ref="N30">SUMPRODUCT(--($C$4:$C$75="D"),--(($D$4:$D$75=L30)+($E$4:$E$75=L30)&gt;0),--($F$4:$F$75=$G$4:$G$75),--($F$4:$F$75&lt;&gt;""),--($G$4:$G$75&lt;&gt;""))</f>
        <v>2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4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3</v>
      </c>
      <c r="R30" s="60">
        <f t="shared" si="12"/>
        <v>1</v>
      </c>
      <c r="S30" s="60">
        <f t="shared" si="13"/>
        <v>5</v>
      </c>
      <c r="T30" s="71">
        <f t="shared" si="14"/>
        <v>501004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1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4</v>
      </c>
      <c r="J31" s="40">
        <f>IF(OR(H31="",'📊 Resultat &amp; Tabell'!M32=""),"",IF(H31='📊 Resultat &amp; Tabell'!M32,2,0))</f>
        <v>2</v>
      </c>
      <c r="K31" s="40">
        <f t="shared" si="1"/>
        <v>6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2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1</v>
      </c>
      <c r="G33" s="13">
        <v>2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2</v>
      </c>
      <c r="J33" s="40">
        <f>IF(OR(H33="",'📊 Resultat &amp; Tabell'!M34=""),"",IF(H33='📊 Resultat &amp; Tabell'!M34,2,0))</f>
        <v>2</v>
      </c>
      <c r="K33" s="40">
        <f t="shared" si="1"/>
        <v>4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2</v>
      </c>
      <c r="G34" s="13">
        <v>1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2</v>
      </c>
      <c r="J34" s="40">
        <f>IF(OR(H34="",'📊 Resultat &amp; Tabell'!M35=""),"",IF(H34='📊 Resultat &amp; Tabell'!M35,2,0))</f>
        <v>0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7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5</v>
      </c>
      <c r="S34" s="60">
        <f t="shared" ref="S34:S37" si="16">M34*3+N34</f>
        <v>9</v>
      </c>
      <c r="T34" s="71">
        <f t="shared" ref="T34:T37" si="17">S34*100000+R34*1000+P34</f>
        <v>905007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1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2</v>
      </c>
      <c r="J35" s="40">
        <f>IF(OR(H35="",'📊 Resultat &amp; Tabell'!M36=""),"",IF(H35='📊 Resultat &amp; Tabell'!M36,2,0))</f>
        <v>2</v>
      </c>
      <c r="K35" s="40">
        <f t="shared" si="1"/>
        <v>4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1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7</v>
      </c>
      <c r="R35" s="60">
        <f t="shared" si="15"/>
        <v>-6</v>
      </c>
      <c r="S35" s="60">
        <f t="shared" si="16"/>
        <v>0</v>
      </c>
      <c r="T35" s="71">
        <f t="shared" si="17"/>
        <v>-5999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0</v>
      </c>
      <c r="G36" s="13">
        <v>2</v>
      </c>
      <c r="H36" s="40" t="str">
        <f t="shared" si="0"/>
        <v>2</v>
      </c>
      <c r="I36" s="40">
        <f>IF(OR(F36="",G36="",'📊 Resultat &amp; Tabell'!K37="",'📊 Resultat &amp; Tabell'!L37=""),"",IF(F36='📊 Resultat &amp; Tabell'!K37,2,0)+IF(G36='📊 Resultat &amp; Tabell'!L37,2,0))</f>
        <v>2</v>
      </c>
      <c r="J36" s="40">
        <f>IF(OR(H36="",'📊 Resultat &amp; Tabell'!M37=""),"",IF(H36='📊 Resultat &amp; Tabell'!M37,2,0))</f>
        <v>2</v>
      </c>
      <c r="K36" s="40">
        <f t="shared" si="1"/>
        <v>4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4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4</v>
      </c>
      <c r="R36" s="60">
        <f t="shared" si="15"/>
        <v>0</v>
      </c>
      <c r="S36" s="60">
        <f t="shared" si="16"/>
        <v>4</v>
      </c>
      <c r="T36" s="71">
        <f t="shared" si="17"/>
        <v>400004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2</v>
      </c>
      <c r="G37" s="13">
        <v>1</v>
      </c>
      <c r="H37" s="40" t="str">
        <f t="shared" si="0"/>
        <v>1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2</v>
      </c>
      <c r="K37" s="40">
        <f t="shared" si="1"/>
        <v>4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4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1</v>
      </c>
      <c r="S37" s="60">
        <f t="shared" si="16"/>
        <v>4</v>
      </c>
      <c r="T37" s="71">
        <f t="shared" si="17"/>
        <v>401004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0</v>
      </c>
      <c r="G38" s="13">
        <v>3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2</v>
      </c>
      <c r="J38" s="40">
        <f>IF(OR(H38="",'📊 Resultat &amp; Tabell'!M39=""),"",IF(H38='📊 Resultat &amp; Tabell'!M39,2,0))</f>
        <v>2</v>
      </c>
      <c r="K38" s="40">
        <f t="shared" si="1"/>
        <v>4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1</v>
      </c>
      <c r="G39" s="13">
        <v>1</v>
      </c>
      <c r="H39" s="40" t="str">
        <f t="shared" si="0"/>
        <v>X</v>
      </c>
      <c r="I39" s="40">
        <f>IF(OR(F39="",G39="",'📊 Resultat &amp; Tabell'!K40="",'📊 Resultat &amp; Tabell'!L40=""),"",IF(F39='📊 Resultat &amp; Tabell'!K40,2,0)+IF(G39='📊 Resultat &amp; Tabell'!L40,2,0))</f>
        <v>4</v>
      </c>
      <c r="J39" s="40">
        <f>IF(OR(H39="",'📊 Resultat &amp; Tabell'!M40=""),"",IF(H39='📊 Resultat &amp; Tabell'!M40,2,0))</f>
        <v>2</v>
      </c>
      <c r="K39" s="40">
        <f t="shared" si="1"/>
        <v>6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3</v>
      </c>
      <c r="G40" s="13">
        <v>1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2</v>
      </c>
      <c r="J40" s="40">
        <f>IF(OR(H40="",'📊 Resultat &amp; Tabell'!M41=""),"",IF(H40='📊 Resultat &amp; Tabell'!M41,2,0))</f>
        <v>0</v>
      </c>
      <c r="K40" s="40">
        <f t="shared" si="1"/>
        <v>2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1</v>
      </c>
      <c r="G41" s="13">
        <v>1</v>
      </c>
      <c r="H41" s="40" t="str">
        <f t="shared" si="0"/>
        <v>X</v>
      </c>
      <c r="I41" s="40">
        <f>IF(OR(F41="",G41="",'📊 Resultat &amp; Tabell'!K42="",'📊 Resultat &amp; Tabell'!L42=""),"",IF(F41='📊 Resultat &amp; Tabell'!K42,2,0)+IF(G41='📊 Resultat &amp; Tabell'!L42,2,0))</f>
        <v>0</v>
      </c>
      <c r="J41" s="40">
        <f>IF(OR(H41="",'📊 Resultat &amp; Tabell'!M42=""),"",IF(H41='📊 Resultat &amp; Tabell'!M42,2,0))</f>
        <v>2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3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7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2</v>
      </c>
      <c r="R41" s="60">
        <f t="shared" ref="R41:R44" si="18">P41-Q41</f>
        <v>5</v>
      </c>
      <c r="S41" s="60">
        <f t="shared" ref="S41:S44" si="19">M41*3+N41</f>
        <v>9</v>
      </c>
      <c r="T41" s="71">
        <f t="shared" ref="T41:T44" si="20">S41*100000+R41*1000+P41</f>
        <v>905007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0</v>
      </c>
      <c r="G42" s="13">
        <v>2</v>
      </c>
      <c r="H42" s="40" t="str">
        <f t="shared" si="0"/>
        <v>2</v>
      </c>
      <c r="I42" s="40">
        <f>IF(OR(F42="",G42="",'📊 Resultat &amp; Tabell'!K43="",'📊 Resultat &amp; Tabell'!L43=""),"",IF(F42='📊 Resultat &amp; Tabell'!K43,2,0)+IF(G42='📊 Resultat &amp; Tabell'!L43,2,0))</f>
        <v>0</v>
      </c>
      <c r="J42" s="40">
        <f>IF(OR(H42="",'📊 Resultat &amp; Tabell'!M43=""),"",IF(H42='📊 Resultat &amp; Tabell'!M43,2,0))</f>
        <v>2</v>
      </c>
      <c r="K42" s="40">
        <f t="shared" si="1"/>
        <v>2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1</v>
      </c>
      <c r="N42" s="59" cm="1">
        <f t="array" ref="N42">SUMPRODUCT(--($C$4:$C$75="F"),--(($D$4:$D$75=L42)+($E$4:$E$75=L42)&gt;0),--($F$4:$F$75=$G$4:$G$75),--($F$4:$F$75&lt;&gt;""),--($G$4:$G$75&lt;&gt;""))</f>
        <v>1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4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3</v>
      </c>
      <c r="R42" s="60">
        <f t="shared" si="18"/>
        <v>1</v>
      </c>
      <c r="S42" s="60">
        <f t="shared" si="19"/>
        <v>4</v>
      </c>
      <c r="T42" s="71">
        <f t="shared" si="20"/>
        <v>401004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0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2</v>
      </c>
      <c r="J43" s="40">
        <f>IF(OR(H43="",'📊 Resultat &amp; Tabell'!M44=""),"",IF(H43='📊 Resultat &amp; Tabell'!M44,2,0))</f>
        <v>0</v>
      </c>
      <c r="K43" s="40">
        <f t="shared" si="1"/>
        <v>2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4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4</v>
      </c>
      <c r="R43" s="60">
        <f t="shared" si="18"/>
        <v>0</v>
      </c>
      <c r="S43" s="60">
        <f t="shared" si="19"/>
        <v>4</v>
      </c>
      <c r="T43" s="71">
        <f t="shared" si="20"/>
        <v>400004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3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3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1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7</v>
      </c>
      <c r="R44" s="60">
        <f t="shared" si="18"/>
        <v>-6</v>
      </c>
      <c r="S44" s="60">
        <f t="shared" si="19"/>
        <v>0</v>
      </c>
      <c r="T44" s="71">
        <f t="shared" si="20"/>
        <v>-5999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1</v>
      </c>
      <c r="H45" s="40" t="str">
        <f t="shared" si="0"/>
        <v>X</v>
      </c>
      <c r="I45" s="40">
        <f>IF(OR(F45="",G45="",'📊 Resultat &amp; Tabell'!K46="",'📊 Resultat &amp; Tabell'!L46=""),"",IF(F45='📊 Resultat &amp; Tabell'!K46,2,0)+IF(G45='📊 Resultat &amp; Tabell'!L46,2,0))</f>
        <v>4</v>
      </c>
      <c r="J45" s="40">
        <f>IF(OR(H45="",'📊 Resultat &amp; Tabell'!M46=""),"",IF(H45='📊 Resultat &amp; Tabell'!M46,2,0))</f>
        <v>2</v>
      </c>
      <c r="K45" s="40">
        <f t="shared" si="1"/>
        <v>6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3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1</v>
      </c>
      <c r="G47" s="13">
        <v>2</v>
      </c>
      <c r="H47" s="40" t="str">
        <f t="shared" si="0"/>
        <v>2</v>
      </c>
      <c r="I47" s="40">
        <f>IF(OR(F47="",G47="",'📊 Resultat &amp; Tabell'!K48="",'📊 Resultat &amp; Tabell'!L48=""),"",IF(F47='📊 Resultat &amp; Tabell'!K48,2,0)+IF(G47='📊 Resultat &amp; Tabell'!L48,2,0))</f>
        <v>2</v>
      </c>
      <c r="J47" s="40">
        <f>IF(OR(H47="",'📊 Resultat &amp; Tabell'!M48=""),"",IF(H47='📊 Resultat &amp; Tabell'!M48,2,0))</f>
        <v>0</v>
      </c>
      <c r="K47" s="40">
        <f t="shared" si="1"/>
        <v>2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3</v>
      </c>
      <c r="G48" s="13">
        <v>0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0</v>
      </c>
      <c r="J48" s="40">
        <f>IF(OR(H48="",'📊 Resultat &amp; Tabell'!M49=""),"",IF(H48='📊 Resultat &amp; Tabell'!M49,2,0))</f>
        <v>0</v>
      </c>
      <c r="K48" s="40">
        <f t="shared" si="1"/>
        <v>0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8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1</v>
      </c>
      <c r="R48" s="60">
        <f t="shared" ref="R48:R51" si="21">P48-Q48</f>
        <v>7</v>
      </c>
      <c r="S48" s="60">
        <f t="shared" ref="S48:S51" si="22">M48*3+N48</f>
        <v>9</v>
      </c>
      <c r="T48" s="71">
        <f t="shared" ref="T48:T51" si="23">S48*100000+R48*1000+P48</f>
        <v>907008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3</v>
      </c>
      <c r="G49" s="13">
        <v>1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0</v>
      </c>
      <c r="J49" s="40">
        <f>IF(OR(H49="",'📊 Resultat &amp; Tabell'!M50=""),"",IF(H49='📊 Resultat &amp; Tabell'!M50,2,0))</f>
        <v>2</v>
      </c>
      <c r="K49" s="40">
        <f t="shared" si="1"/>
        <v>2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1</v>
      </c>
      <c r="N49" s="59" cm="1">
        <f t="array" ref="N49">SUMPRODUCT(--($C$4:$C$75="G"),--(($D$4:$D$75=L49)+($E$4:$E$75=L49)&gt;0),--($F$4:$F$75=$G$4:$G$75),--($F$4:$F$75&lt;&gt;""),--($G$4:$G$75&lt;&gt;""))</f>
        <v>1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4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4</v>
      </c>
      <c r="R49" s="60">
        <f t="shared" si="21"/>
        <v>0</v>
      </c>
      <c r="S49" s="60">
        <f t="shared" si="22"/>
        <v>4</v>
      </c>
      <c r="T49" s="71">
        <f t="shared" si="23"/>
        <v>400004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0</v>
      </c>
      <c r="N50" s="59" cm="1">
        <f t="array" ref="N50">SUMPRODUCT(--($C$4:$C$75="G"),--(($D$4:$D$75=L50)+($E$4:$E$75=L50)&gt;0),--($F$4:$F$75=$G$4:$G$75),--($F$4:$F$75&lt;&gt;""),--($G$4:$G$75&lt;&gt;""))</f>
        <v>2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1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2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4</v>
      </c>
      <c r="R50" s="60">
        <f t="shared" si="21"/>
        <v>-2</v>
      </c>
      <c r="S50" s="60">
        <f t="shared" si="22"/>
        <v>2</v>
      </c>
      <c r="T50" s="71">
        <f t="shared" si="23"/>
        <v>198002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1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1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2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1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6</v>
      </c>
      <c r="R51" s="60">
        <f t="shared" si="21"/>
        <v>-5</v>
      </c>
      <c r="S51" s="60">
        <f t="shared" si="22"/>
        <v>1</v>
      </c>
      <c r="T51" s="71">
        <f t="shared" si="23"/>
        <v>95001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0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0</v>
      </c>
      <c r="J52" s="40">
        <f>IF(OR(H52="",'📊 Resultat &amp; Tabell'!M53=""),"",IF(H52='📊 Resultat &amp; Tabell'!M53,2,0))</f>
        <v>2</v>
      </c>
      <c r="K52" s="40">
        <f t="shared" si="1"/>
        <v>2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2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1</v>
      </c>
      <c r="G54" s="13">
        <v>1</v>
      </c>
      <c r="H54" s="40" t="str">
        <f t="shared" si="0"/>
        <v>X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0</v>
      </c>
      <c r="K54" s="40">
        <f t="shared" si="1"/>
        <v>0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3</v>
      </c>
      <c r="G55" s="13">
        <v>0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4</v>
      </c>
      <c r="J55" s="40">
        <f>IF(OR(H55="",'📊 Resultat &amp; Tabell'!M56=""),"",IF(H55='📊 Resultat &amp; Tabell'!M56,2,0))</f>
        <v>2</v>
      </c>
      <c r="K55" s="40">
        <f t="shared" si="1"/>
        <v>6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8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2</v>
      </c>
      <c r="R55" s="60">
        <f t="shared" ref="R55:R58" si="24">P55-Q55</f>
        <v>6</v>
      </c>
      <c r="S55" s="60">
        <f t="shared" ref="S55:S58" si="25">M55*3+N55</f>
        <v>9</v>
      </c>
      <c r="T55" s="71">
        <f t="shared" ref="T55:T58" si="26">S55*100000+R55*1000+P55</f>
        <v>906008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2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2</v>
      </c>
      <c r="K56" s="40">
        <f t="shared" si="1"/>
        <v>4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7</v>
      </c>
      <c r="R56" s="60">
        <f t="shared" si="24"/>
        <v>-6</v>
      </c>
      <c r="S56" s="60">
        <f t="shared" si="25"/>
        <v>1</v>
      </c>
      <c r="T56" s="71">
        <f t="shared" si="26"/>
        <v>94001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2</v>
      </c>
      <c r="G57" s="13">
        <v>1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0</v>
      </c>
      <c r="J57" s="40">
        <f>IF(OR(H57="",'📊 Resultat &amp; Tabell'!M58=""),"",IF(H57='📊 Resultat &amp; Tabell'!M58,2,0))</f>
        <v>2</v>
      </c>
      <c r="K57" s="40">
        <f t="shared" si="1"/>
        <v>2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3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6</v>
      </c>
      <c r="R57" s="60">
        <f t="shared" si="24"/>
        <v>-3</v>
      </c>
      <c r="S57" s="60">
        <f t="shared" si="25"/>
        <v>1</v>
      </c>
      <c r="T57" s="71">
        <f t="shared" si="26"/>
        <v>97003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0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4</v>
      </c>
      <c r="J58" s="40">
        <f>IF(OR(H58="",'📊 Resultat &amp; Tabell'!M59=""),"",IF(H58='📊 Resultat &amp; Tabell'!M59,2,0))</f>
        <v>2</v>
      </c>
      <c r="K58" s="40">
        <f t="shared" si="1"/>
        <v>6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6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3</v>
      </c>
      <c r="R58" s="60">
        <f t="shared" si="24"/>
        <v>3</v>
      </c>
      <c r="S58" s="60">
        <f t="shared" si="25"/>
        <v>6</v>
      </c>
      <c r="T58" s="71">
        <f t="shared" si="26"/>
        <v>603006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1</v>
      </c>
      <c r="H60" s="40" t="str">
        <f t="shared" si="0"/>
        <v>X</v>
      </c>
      <c r="I60" s="40">
        <f>IF(OR(F60="",G60="",'📊 Resultat &amp; Tabell'!K61="",'📊 Resultat &amp; Tabell'!L61=""),"",IF(F60='📊 Resultat &amp; Tabell'!K61,2,0)+IF(G60='📊 Resultat &amp; Tabell'!L61,2,0))</f>
        <v>2</v>
      </c>
      <c r="J60" s="40">
        <f>IF(OR(H60="",'📊 Resultat &amp; Tabell'!M61=""),"",IF(H60='📊 Resultat &amp; Tabell'!M61,2,0))</f>
        <v>0</v>
      </c>
      <c r="K60" s="40">
        <f t="shared" si="1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1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7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1</v>
      </c>
      <c r="R62" s="60">
        <f t="shared" ref="R62:R65" si="27">P62-Q62</f>
        <v>6</v>
      </c>
      <c r="S62" s="60">
        <f t="shared" ref="S62:S65" si="28">M62*3+N62</f>
        <v>9</v>
      </c>
      <c r="T62" s="71">
        <f t="shared" ref="T62:T65" si="29">S62*100000+R62*1000+P62</f>
        <v>906007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2</v>
      </c>
      <c r="H63" s="40" t="str">
        <f t="shared" si="0"/>
        <v>2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0</v>
      </c>
      <c r="K63" s="40">
        <f t="shared" si="1"/>
        <v>0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1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3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4</v>
      </c>
      <c r="R63" s="60">
        <f t="shared" si="27"/>
        <v>-1</v>
      </c>
      <c r="S63" s="60">
        <f t="shared" si="28"/>
        <v>4</v>
      </c>
      <c r="T63" s="71">
        <f t="shared" si="29"/>
        <v>399003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2</v>
      </c>
      <c r="G64" s="13">
        <v>0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1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1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7</v>
      </c>
      <c r="R64" s="60">
        <f t="shared" si="27"/>
        <v>-6</v>
      </c>
      <c r="S64" s="60">
        <f t="shared" si="28"/>
        <v>0</v>
      </c>
      <c r="T64" s="71">
        <f t="shared" si="29"/>
        <v>-5999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1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2</v>
      </c>
      <c r="J65" s="40">
        <f>IF(OR(H65="",'📊 Resultat &amp; Tabell'!M66=""),"",IF(H65='📊 Resultat &amp; Tabell'!M66,2,0))</f>
        <v>2</v>
      </c>
      <c r="K65" s="40">
        <f t="shared" si="1"/>
        <v>4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1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4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3</v>
      </c>
      <c r="R65" s="60">
        <f t="shared" si="27"/>
        <v>1</v>
      </c>
      <c r="S65" s="60">
        <f t="shared" si="28"/>
        <v>4</v>
      </c>
      <c r="T65" s="71">
        <f t="shared" si="29"/>
        <v>401004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1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0</v>
      </c>
      <c r="J66" s="40">
        <f>IF(OR(H66="",'📊 Resultat &amp; Tabell'!M67=""),"",IF(H66='📊 Resultat &amp; Tabell'!M67,2,0))</f>
        <v>2</v>
      </c>
      <c r="K66" s="40">
        <f t="shared" si="1"/>
        <v>2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3</v>
      </c>
      <c r="G67" s="13">
        <v>0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1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1</v>
      </c>
      <c r="H68" s="40" t="str">
        <f t="shared" ref="H68:H75" si="30">IF(OR(F68="",G68=""),"",IF(F68&gt;G68,"1",IF(F68&lt;G68,"2","X")))</f>
        <v>X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2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1</v>
      </c>
      <c r="H69" s="40" t="str">
        <f t="shared" si="30"/>
        <v>X</v>
      </c>
      <c r="I69" s="40">
        <f>IF(OR(F69="",G69="",'📊 Resultat &amp; Tabell'!K70="",'📊 Resultat &amp; Tabell'!L70=""),"",IF(F69='📊 Resultat &amp; Tabell'!K70,2,0)+IF(G69='📊 Resultat &amp; Tabell'!L70,2,0))</f>
        <v>2</v>
      </c>
      <c r="J69" s="40">
        <f>IF(OR(H69="",'📊 Resultat &amp; Tabell'!M70=""),"",IF(H69='📊 Resultat &amp; Tabell'!M70,2,0))</f>
        <v>0</v>
      </c>
      <c r="K69" s="40">
        <f t="shared" si="31"/>
        <v>2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7</v>
      </c>
      <c r="S69" s="60">
        <f t="shared" ref="S69:S72" si="33">M69*3+N69</f>
        <v>9</v>
      </c>
      <c r="T69" s="71">
        <f t="shared" ref="T69:T72" si="34">S69*100000+R69*1000+P69</f>
        <v>907008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1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2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2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6</v>
      </c>
      <c r="R70" s="60">
        <f t="shared" si="32"/>
        <v>-4</v>
      </c>
      <c r="S70" s="60">
        <f t="shared" si="33"/>
        <v>1</v>
      </c>
      <c r="T70" s="71">
        <f t="shared" si="34"/>
        <v>96002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1</v>
      </c>
      <c r="G71" s="13">
        <v>1</v>
      </c>
      <c r="H71" s="40" t="str">
        <f t="shared" si="30"/>
        <v>X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0</v>
      </c>
      <c r="K71" s="40">
        <f t="shared" si="31"/>
        <v>2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2</v>
      </c>
      <c r="N71" s="59" cm="1">
        <f t="array" ref="N71">SUMPRODUCT(--($C$4:$C$75="J"),--(($D$4:$D$75=L71)+($E$4:$E$75=L71)&gt;0),--($F$4:$F$75=$G$4:$G$75),--($F$4:$F$75&lt;&gt;""),--($G$4:$G$75&lt;&gt;""))</f>
        <v>0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5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2</v>
      </c>
      <c r="S71" s="60">
        <f t="shared" si="33"/>
        <v>6</v>
      </c>
      <c r="T71" s="71">
        <f t="shared" si="34"/>
        <v>602005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1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6</v>
      </c>
      <c r="R72" s="60">
        <f t="shared" si="32"/>
        <v>-5</v>
      </c>
      <c r="S72" s="60">
        <f t="shared" si="33"/>
        <v>1</v>
      </c>
      <c r="T72" s="71">
        <f t="shared" si="34"/>
        <v>95001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3</v>
      </c>
      <c r="G73" s="13">
        <v>1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0</v>
      </c>
      <c r="J73" s="40">
        <f>IF(OR(H73="",'📊 Resultat &amp; Tabell'!M74=""),"",IF(H73='📊 Resultat &amp; Tabell'!M74,2,0))</f>
        <v>0</v>
      </c>
      <c r="K73" s="40">
        <f t="shared" si="31"/>
        <v>0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3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1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4</v>
      </c>
      <c r="J75" s="40">
        <f>IF(OR(H75="",'📊 Resultat &amp; Tabell'!M76=""),"",IF(H75='📊 Resultat &amp; Tabell'!M76,2,0))</f>
        <v>2</v>
      </c>
      <c r="K75" s="40">
        <f t="shared" si="31"/>
        <v>6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0</v>
      </c>
      <c r="G76" s="13">
        <v>2</v>
      </c>
      <c r="H76" s="40" t="str">
        <f t="shared" ref="H68:H107" si="35">IF(OR(F76="",G76=""),"",IF(F76&gt;G76,"1",IF(F76&lt;G76,"2","X")))</f>
        <v>2</v>
      </c>
      <c r="I76" s="40">
        <f>IF(OR(F76="",G76="",'📊 Resultat &amp; Tabell'!K77="",'📊 Resultat &amp; Tabell'!L77=""),"",IF(F76='📊 Resultat &amp; Tabell'!K77,2,0)+IF(G76='📊 Resultat &amp; Tabell'!L77,2,0))</f>
        <v>2</v>
      </c>
      <c r="J76" s="40">
        <f>IF(OR(H76="",'📊 Resultat &amp; Tabell'!M77=""),"",IF(H76='📊 Resultat &amp; Tabell'!M77,2,0))</f>
        <v>2</v>
      </c>
      <c r="K76" s="40">
        <f t="shared" si="31"/>
        <v>4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2</v>
      </c>
      <c r="N76" s="59" cm="1">
        <f t="array" ref="N76">SUMPRODUCT(--($C$4:$C$75="K"),--(($D$4:$D$75=L76)+($E$4:$E$75=L76)&gt;0),--($F$4:$F$75=$G$4:$G$75),--($F$4:$F$75&lt;&gt;""),--($G$4:$G$75&lt;&gt;""))</f>
        <v>1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6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1</v>
      </c>
      <c r="R76" s="60">
        <f t="shared" ref="R76:R79" si="36">P76-Q76</f>
        <v>5</v>
      </c>
      <c r="S76" s="60">
        <f t="shared" ref="S76:S79" si="37">M76*3+N76</f>
        <v>7</v>
      </c>
      <c r="T76" s="71">
        <f t="shared" ref="T76:T79" si="38">S76*100000+R76*1000+P76</f>
        <v>705006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3</v>
      </c>
      <c r="G77" s="13">
        <v>1</v>
      </c>
      <c r="H77" s="40" t="str">
        <f t="shared" si="35"/>
        <v>1</v>
      </c>
      <c r="I77" s="40">
        <f>IF(OR(F77="",G77="",'📊 Resultat &amp; Tabell'!K78="",'📊 Resultat &amp; Tabell'!L78=""),"",IF(F77='📊 Resultat &amp; Tabell'!K78,2,0)+IF(G77='📊 Resultat &amp; Tabell'!L78,2,0))</f>
        <v>2</v>
      </c>
      <c r="J77" s="40">
        <f>IF(OR(H77="",'📊 Resultat &amp; Tabell'!M78=""),"",IF(H77='📊 Resultat &amp; Tabell'!M78,2,0))</f>
        <v>2</v>
      </c>
      <c r="K77" s="40">
        <f t="shared" si="31"/>
        <v>4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1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2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5</v>
      </c>
      <c r="R77" s="60">
        <f t="shared" si="36"/>
        <v>-3</v>
      </c>
      <c r="S77" s="60">
        <f t="shared" si="37"/>
        <v>1</v>
      </c>
      <c r="T77" s="71">
        <f t="shared" si="38"/>
        <v>97002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2</v>
      </c>
      <c r="G78" s="13">
        <v>0</v>
      </c>
      <c r="H78" s="40" t="str">
        <f t="shared" si="35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1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2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6</v>
      </c>
      <c r="R78" s="60">
        <f t="shared" si="36"/>
        <v>-4</v>
      </c>
      <c r="S78" s="60">
        <f t="shared" si="37"/>
        <v>1</v>
      </c>
      <c r="T78" s="71">
        <f t="shared" si="38"/>
        <v>96002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2</v>
      </c>
      <c r="G79" s="13">
        <v>1</v>
      </c>
      <c r="H79" s="40" t="str">
        <f t="shared" si="35"/>
        <v>1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1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0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5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3</v>
      </c>
      <c r="R79" s="60">
        <f t="shared" si="36"/>
        <v>2</v>
      </c>
      <c r="S79" s="60">
        <f t="shared" si="37"/>
        <v>7</v>
      </c>
      <c r="T79" s="71">
        <f t="shared" si="38"/>
        <v>702005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1</v>
      </c>
      <c r="G80" s="13">
        <v>3</v>
      </c>
      <c r="H80" s="40" t="str">
        <f t="shared" si="35"/>
        <v>2</v>
      </c>
      <c r="I80" s="40">
        <f>IF(OR(F80="",G80="",'📊 Resultat &amp; Tabell'!K81="",'📊 Resultat &amp; Tabell'!L81=""),"",IF(F80='📊 Resultat &amp; Tabell'!K81,2,0)+IF(G80='📊 Resultat &amp; Tabell'!L81,2,0))</f>
        <v>2</v>
      </c>
      <c r="J80" s="40">
        <f>IF(OR(H80="",'📊 Resultat &amp; Tabell'!M81=""),"",IF(H80='📊 Resultat &amp; Tabell'!M81,2,0))</f>
        <v>2</v>
      </c>
      <c r="K80" s="40">
        <f t="shared" si="31"/>
        <v>4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2</v>
      </c>
      <c r="G81" s="13">
        <v>2</v>
      </c>
      <c r="H81" s="40" t="str">
        <f t="shared" si="35"/>
        <v>X</v>
      </c>
      <c r="I81" s="40">
        <f>IF(OR(F81="",G81="",'📊 Resultat &amp; Tabell'!K82="",'📊 Resultat &amp; Tabell'!L82=""),"",IF(F81='📊 Resultat &amp; Tabell'!K82,2,0)+IF(G81='📊 Resultat &amp; Tabell'!L82,2,0))</f>
        <v>0</v>
      </c>
      <c r="J81" s="40">
        <f>IF(OR(H81="",'📊 Resultat &amp; Tabell'!M82=""),"",IF(H81='📊 Resultat &amp; Tabell'!M82,2,0))</f>
        <v>0</v>
      </c>
      <c r="K81" s="40">
        <f t="shared" si="31"/>
        <v>0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2</v>
      </c>
      <c r="G82" s="13">
        <v>1</v>
      </c>
      <c r="H82" s="40" t="str">
        <f t="shared" si="35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2</v>
      </c>
      <c r="G83" s="13">
        <v>0</v>
      </c>
      <c r="H83" s="40" t="str">
        <f t="shared" si="35"/>
        <v>1</v>
      </c>
      <c r="I83" s="40">
        <f>IF(OR(F83="",G83="",'📊 Resultat &amp; Tabell'!K84="",'📊 Resultat &amp; Tabell'!L84=""),"",IF(F83='📊 Resultat &amp; Tabell'!K84,2,0)+IF(G83='📊 Resultat &amp; Tabell'!L84,2,0))</f>
        <v>2</v>
      </c>
      <c r="J83" s="40">
        <f>IF(OR(H83="",'📊 Resultat &amp; Tabell'!M84=""),"",IF(H83='📊 Resultat &amp; Tabell'!M84,2,0))</f>
        <v>2</v>
      </c>
      <c r="K83" s="40">
        <f t="shared" si="31"/>
        <v>4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8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2</v>
      </c>
      <c r="R83" s="60">
        <f t="shared" ref="R83:R86" si="39">P83-Q83</f>
        <v>6</v>
      </c>
      <c r="S83" s="60">
        <f t="shared" ref="S83:S86" si="40">M83*3+N83</f>
        <v>9</v>
      </c>
      <c r="T83" s="71">
        <f t="shared" ref="T83:T86" si="41">S83*100000+R83*1000+P83</f>
        <v>906008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1</v>
      </c>
      <c r="G84" s="13">
        <v>1</v>
      </c>
      <c r="H84" s="40" t="str">
        <f t="shared" si="35"/>
        <v>X</v>
      </c>
      <c r="I84" s="40">
        <f>IF(OR(F84="",G84="",'📊 Resultat &amp; Tabell'!K85="",'📊 Resultat &amp; Tabell'!L85=""),"",IF(F84='📊 Resultat &amp; Tabell'!K85,2,0)+IF(G84='📊 Resultat &amp; Tabell'!L85,2,0))</f>
        <v>0</v>
      </c>
      <c r="J84" s="40">
        <f>IF(OR(H84="",'📊 Resultat &amp; Tabell'!M85=""),"",IF(H84='📊 Resultat &amp; Tabell'!M85,2,0))</f>
        <v>2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2</v>
      </c>
      <c r="N84" s="59" cm="1">
        <f t="array" ref="N84">SUMPRODUCT(--($C$4:$C$75="L"),--(($D$4:$D$75=L84)+($E$4:$E$75=L84)&gt;0),--($F$4:$F$75=$G$4:$G$75),--($F$4:$F$75&lt;&gt;""),--($G$4:$G$75&lt;&gt;""))</f>
        <v>0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5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3</v>
      </c>
      <c r="R84" s="60">
        <f t="shared" si="39"/>
        <v>2</v>
      </c>
      <c r="S84" s="60">
        <f t="shared" si="40"/>
        <v>6</v>
      </c>
      <c r="T84" s="71">
        <f t="shared" si="41"/>
        <v>602005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1</v>
      </c>
      <c r="H85" s="40" t="str">
        <f t="shared" si="35"/>
        <v>1</v>
      </c>
      <c r="I85" s="40">
        <f>IF(OR(F85="",G85="",'📊 Resultat &amp; Tabell'!K86="",'📊 Resultat &amp; Tabell'!L86=""),"",IF(F85='📊 Resultat &amp; Tabell'!K86,2,0)+IF(G85='📊 Resultat &amp; Tabell'!L86,2,0))</f>
        <v>2</v>
      </c>
      <c r="J85" s="40">
        <f>IF(OR(H85="",'📊 Resultat &amp; Tabell'!M86=""),"",IF(H85='📊 Resultat &amp; Tabell'!M86,2,0))</f>
        <v>2</v>
      </c>
      <c r="K85" s="40">
        <f t="shared" si="31"/>
        <v>4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0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2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3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6</v>
      </c>
      <c r="R85" s="60">
        <f t="shared" si="39"/>
        <v>-3</v>
      </c>
      <c r="S85" s="60">
        <f t="shared" si="40"/>
        <v>1</v>
      </c>
      <c r="T85" s="71">
        <f t="shared" si="41"/>
        <v>97003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3</v>
      </c>
      <c r="G86" s="13">
        <v>0</v>
      </c>
      <c r="H86" s="40" t="str">
        <f t="shared" si="35"/>
        <v>1</v>
      </c>
      <c r="I86" s="40">
        <f>IF(OR(F86="",G86="",'📊 Resultat &amp; Tabell'!K87="",'📊 Resultat &amp; Tabell'!L87=""),"",IF(F86='📊 Resultat &amp; Tabell'!K87,2,0)+IF(G86='📊 Resultat &amp; Tabell'!L87,2,0))</f>
        <v>4</v>
      </c>
      <c r="J86" s="40">
        <f>IF(OR(H86="",'📊 Resultat &amp; Tabell'!M87=""),"",IF(H86='📊 Resultat &amp; Tabell'!M87,2,0))</f>
        <v>2</v>
      </c>
      <c r="K86" s="40">
        <f t="shared" si="31"/>
        <v>6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1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2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1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6</v>
      </c>
      <c r="R86" s="60">
        <f t="shared" si="39"/>
        <v>-5</v>
      </c>
      <c r="S86" s="60">
        <f t="shared" si="40"/>
        <v>1</v>
      </c>
      <c r="T86" s="71">
        <f t="shared" si="41"/>
        <v>95001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1</v>
      </c>
      <c r="G87" s="13">
        <v>1</v>
      </c>
      <c r="H87" s="40" t="str">
        <f t="shared" si="35"/>
        <v>X</v>
      </c>
      <c r="I87" s="40">
        <f>IF(OR(F87="",G87="",'📊 Resultat &amp; Tabell'!K88="",'📊 Resultat &amp; Tabell'!L88=""),"",IF(F87='📊 Resultat &amp; Tabell'!K88,2,0)+IF(G87='📊 Resultat &amp; Tabell'!L88,2,0))</f>
        <v>2</v>
      </c>
      <c r="J87" s="40">
        <f>IF(OR(H87="",'📊 Resultat &amp; Tabell'!M88=""),"",IF(H87='📊 Resultat &amp; Tabell'!M88,2,0))</f>
        <v>0</v>
      </c>
      <c r="K87" s="40">
        <f t="shared" si="31"/>
        <v>2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1</v>
      </c>
      <c r="G88" s="13">
        <v>0</v>
      </c>
      <c r="H88" s="40" t="str">
        <f t="shared" si="35"/>
        <v>1</v>
      </c>
      <c r="I88" s="40">
        <f>IF(OR(F88="",G88="",'📊 Resultat &amp; Tabell'!K89="",'📊 Resultat &amp; Tabell'!L89=""),"",IF(F88='📊 Resultat &amp; Tabell'!K89,2,0)+IF(G88='📊 Resultat &amp; Tabell'!L89,2,0))</f>
        <v>2</v>
      </c>
      <c r="J88" s="40">
        <f>IF(OR(H88="",'📊 Resultat &amp; Tabell'!M89=""),"",IF(H88='📊 Resultat &amp; Tabell'!M89,2,0))</f>
        <v>2</v>
      </c>
      <c r="K88" s="40">
        <f t="shared" si="31"/>
        <v>4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1</v>
      </c>
      <c r="G89" s="13">
        <v>1</v>
      </c>
      <c r="H89" s="40" t="str">
        <f t="shared" si="35"/>
        <v>X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2</v>
      </c>
      <c r="G90" s="13">
        <v>0</v>
      </c>
      <c r="H90" s="40" t="str">
        <f t="shared" si="35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0</v>
      </c>
      <c r="H91" s="40" t="str">
        <f t="shared" si="35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/>
      <c r="G92" s="13"/>
      <c r="H92" s="40" t="str">
        <f t="shared" si="35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5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/>
      <c r="G94" s="13"/>
      <c r="H94" s="40" t="str">
        <f t="shared" si="35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5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/>
      <c r="G96" s="13"/>
      <c r="H96" s="40" t="str">
        <f t="shared" si="35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5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5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5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39"/>
      <c r="E100" s="39"/>
      <c r="F100" s="13"/>
      <c r="G100" s="13"/>
      <c r="H100" s="40" t="str">
        <f t="shared" si="35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8"/>
      <c r="E101" s="78" t="str">
        <f>IF(OR(F92="",G92=""),"",IF(F92&gt;G92,D92,IF(F92&lt;G92,E92,"")))</f>
        <v/>
      </c>
      <c r="F101" s="13"/>
      <c r="G101" s="13"/>
      <c r="H101" s="40" t="str">
        <f t="shared" si="35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81" t="str">
        <f>IF(OR(F94="",G94=""),"",IF(F94&gt;G94,D94,IF(F94&lt;G94,E94,"")))</f>
        <v/>
      </c>
      <c r="E102" s="81" t="str">
        <f>IF(OR(F95="",G95=""),"",IF(F95&gt;G95,D95,IF(F95&lt;G95,E95,"")))</f>
        <v/>
      </c>
      <c r="F102" s="13"/>
      <c r="G102" s="13"/>
      <c r="H102" s="40" t="str">
        <f t="shared" si="35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8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5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81" t="str">
        <f>IF(OR(F100="",G100=""),"",IF(F100&gt;G100,D100,IF(F100&lt;G100,E100,"")))</f>
        <v/>
      </c>
      <c r="E104" s="81" t="str">
        <f>IF(OR(F101="",G101=""),"",IF(F101&gt;G101,D101,IF(F101&lt;G101,E101,"")))</f>
        <v/>
      </c>
      <c r="F104" s="13"/>
      <c r="G104" s="13"/>
      <c r="H104" s="40" t="str">
        <f t="shared" si="35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8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5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81" t="str">
        <f>IF(OR(F104="",G104=""),"",IF(F104&lt;G104,D104,IF(F104&gt;G104,E104,"")))</f>
        <v/>
      </c>
      <c r="E106" s="81" t="str">
        <f>IF(OR(F105="",G105=""),"",IF(F105&lt;G105,D105,IF(F105&gt;G105,E105,"")))</f>
        <v/>
      </c>
      <c r="F106" s="13"/>
      <c r="G106" s="13"/>
      <c r="H106" s="40" t="str">
        <f t="shared" si="35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8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5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62"/>
      <c r="E108" s="62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62"/>
      <c r="E109" s="62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62"/>
      <c r="E110" s="62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62"/>
      <c r="E111" s="62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230</v>
      </c>
      <c r="C112" s="1"/>
      <c r="D112" s="62"/>
      <c r="E112" s="62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151</v>
      </c>
      <c r="C113" s="11" t="s">
        <v>4</v>
      </c>
      <c r="D113" s="39">
        <f>IF(AND(B113&lt;&gt;",",'📊 Resultat &amp; Tabell'!G112&lt;&gt;""),IF(B113='📊 Resultat &amp; Tabell'!G112,20,0),0)</f>
        <v>0</v>
      </c>
      <c r="E113" s="62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303</v>
      </c>
      <c r="C114" s="14" t="s">
        <v>4</v>
      </c>
      <c r="D114" s="38">
        <f>IF(AND(B114&lt;&gt;",",'📊 Resultat &amp; Tabell'!G113&lt;&gt;""),IF(B114='📊 Resultat &amp; Tabell'!G113,20,0),0)</f>
        <v>0</v>
      </c>
      <c r="E114" s="62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62"/>
      <c r="E115" s="62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230</v>
      </c>
      <c r="C116" s="1"/>
      <c r="D116" s="62"/>
      <c r="E116" s="62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D5BC5CF8-DCDE-4877-8E2D-5316CBA8B088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339D7533-2F9D-48AA-9EE7-217878EED625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FB3831E1-4175-4AE9-A9CD-A3D51F2FF77D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5E6FBFA4-49BE-4043-99FE-59374C134CA0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F13A6986-9313-4CA4-AFE9-08D562097485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29946C4F-5CA3-44B0-A264-355FB3F617E2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7767EE7D-CDB9-477F-B5F1-CB58CB666D70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D5832131-AFCF-46E4-BAF9-D1B06BE7F84A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03DBE152-1908-4640-AD7B-C69B77E356B9}"/>
  </hyperlinks>
  <pageMargins left="0.7" right="0.7" top="0.75" bottom="0.75" header="0.3" footer="0.3"/>
  <tableParts count="1">
    <tablePart r:id="rId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688C6-147C-8949-A54B-099C5227440D}">
  <dimension ref="A1:AN116"/>
  <sheetViews>
    <sheetView topLeftCell="B63" zoomScaleNormal="60" zoomScaleSheetLayoutView="100" workbookViewId="0">
      <selection activeCell="F121" sqref="F121"/>
    </sheetView>
  </sheetViews>
  <sheetFormatPr defaultRowHeight="15"/>
  <cols>
    <col min="1" max="1" width="16" bestFit="1" customWidth="1"/>
    <col min="2" max="2" width="13.28515625" bestFit="1" customWidth="1"/>
    <col min="3" max="3" width="8.85546875" bestFit="1" customWidth="1"/>
    <col min="4" max="5" width="21.28515625" bestFit="1" customWidth="1"/>
    <col min="6" max="6" width="8.85546875" bestFit="1" customWidth="1"/>
    <col min="7" max="7" width="8.5703125" bestFit="1" customWidth="1"/>
    <col min="8" max="8" width="9.7109375" bestFit="1" customWidth="1"/>
    <col min="9" max="9" width="13.28515625" bestFit="1" customWidth="1"/>
    <col min="10" max="10" width="16.140625" bestFit="1" customWidth="1"/>
    <col min="11" max="11" width="14.85546875" bestFit="1" customWidth="1"/>
    <col min="12" max="12" width="22.28515625" bestFit="1" customWidth="1"/>
    <col min="13" max="13" width="3.5703125" bestFit="1" customWidth="1"/>
    <col min="14" max="17" width="4.5703125" bestFit="1" customWidth="1"/>
    <col min="18" max="19" width="4.7109375" bestFit="1" customWidth="1"/>
    <col min="20" max="20" width="14.28515625" customWidth="1"/>
  </cols>
  <sheetData>
    <row r="1" spans="1:40" ht="24.75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1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2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4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Tjeckien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South Africa</v>
      </c>
      <c r="AA4" s="72">
        <f>IF(COUNTIFS($C$4:$C$75,"A",$F$4:$F$75,"&lt;&gt;",$G$4:$G$75,"&lt;&gt;")=0,"",IFERROR(LARGE($T$6:$T$9,3),""))</f>
        <v>97003</v>
      </c>
      <c r="AB4" s="72">
        <f>IF(AA4="","",_xlfn.RANK.EQ(AA4,$AA$4:$AA$15,0))</f>
        <v>11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0</v>
      </c>
      <c r="G5" s="13">
        <v>1</v>
      </c>
      <c r="H5" s="40" t="str">
        <f t="shared" si="0"/>
        <v>2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1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Bosnien och Hercegovina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Qatar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Schweiz</v>
      </c>
      <c r="AA5" s="72" cm="1">
        <f t="array" ref="AA5">IF(COUNTIFS($C$4:$C$75,"B",$F$4:$F$75,"&lt;&gt;",$G$4:$G$75,"&lt;&gt;")=0,"",LARGE($T$13:$T$16+ROW($T$13:$T$16)/100000,3))</f>
        <v>199004.00016</v>
      </c>
      <c r="AB5" s="72">
        <f t="shared" ref="AB5:AB15" si="2">IF(AA5="","",_xlfn.RANK.EQ(AA5,$AA$4:$AA$15,0))</f>
        <v>8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3</v>
      </c>
      <c r="G6" s="13">
        <v>1</v>
      </c>
      <c r="H6" s="40" t="str">
        <f t="shared" si="0"/>
        <v>1</v>
      </c>
      <c r="I6" s="40">
        <f>IF(OR(F6="",G6="",'📊 Resultat &amp; Tabell'!K7="",'📊 Resultat &amp; Tabell'!L7=""),"",IF(F6='📊 Resultat &amp; Tabell'!K7,2,0)+IF(G6='📊 Resultat &amp; Tabell'!L7,2,0))</f>
        <v>2</v>
      </c>
      <c r="J6" s="40">
        <f>IF(OR(H6="",'📊 Resultat &amp; Tabell'!M7=""),"",IF(H6='📊 Resultat &amp; Tabell'!M7,2,0))</f>
        <v>0</v>
      </c>
      <c r="K6" s="40">
        <f t="shared" si="1"/>
        <v>2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3</v>
      </c>
      <c r="N6" s="59" cm="1">
        <f t="array" ref="N6">SUMPRODUCT(--($C$4:$C$75="A"),--(($D$4:$D$75=L6)+($E$4:$E$75=L6)&gt;0),--($F$4:$F$75=$G$4:$G$75),--($F$4:$F$75&lt;&gt;""),--($G$4:$G$75&lt;&gt;""))</f>
        <v>0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6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4</v>
      </c>
      <c r="S6" s="60">
        <f>M6*3+N6</f>
        <v>9</v>
      </c>
      <c r="T6" s="71">
        <f>S6*100000+R6*1000+P6</f>
        <v>904006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Skottland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Marocko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Brasilien</v>
      </c>
      <c r="AA6" s="72" cm="1">
        <f t="array" ref="AA6">IF(COUNTIFS($C$4:$C$75,"C",$F$4:$F$75,"&lt;&gt;",$G$4:$G$75,"&lt;&gt;")=0,"",LARGE($T$20:$T$23+ROW($T$20:$T$23)/100000,3))</f>
        <v>400006.00020000001</v>
      </c>
      <c r="AB6" s="72">
        <f t="shared" si="2"/>
        <v>2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0</v>
      </c>
      <c r="H7" s="40" t="str">
        <f t="shared" si="0"/>
        <v>1</v>
      </c>
      <c r="I7" s="40">
        <f>IF(OR(F7="",G7="",'📊 Resultat &amp; Tabell'!K8="",'📊 Resultat &amp; Tabell'!L8=""),"",IF(F7='📊 Resultat &amp; Tabell'!K8,2,0)+IF(G7='📊 Resultat &amp; Tabell'!L8,2,0))</f>
        <v>2</v>
      </c>
      <c r="J7" s="40">
        <f>IF(OR(H7="",'📊 Resultat &amp; Tabell'!M8=""),"",IF(H7='📊 Resultat &amp; Tabell'!M8,2,0))</f>
        <v>2</v>
      </c>
      <c r="K7" s="40">
        <f t="shared" si="1"/>
        <v>4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1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2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3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6</v>
      </c>
      <c r="R7" s="60">
        <f t="shared" ref="R7:R9" si="3">P7-Q7</f>
        <v>-3</v>
      </c>
      <c r="S7" s="60">
        <f t="shared" ref="S7:S9" si="4">M7*3+N7</f>
        <v>1</v>
      </c>
      <c r="T7" s="71">
        <f t="shared" ref="T7:T9" si="5">S7*100000+R7*1000+P7</f>
        <v>97003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Turkiet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Australien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Paraguay</v>
      </c>
      <c r="AA7" s="72" cm="1">
        <f t="array" ref="AA7">IF(COUNTIFS($C$4:$C$75,"D",$F$4:$F$75,"&lt;&gt;",$G$4:$G$75,"&lt;&gt;")=0,"",LARGE($T$27:$T$30+ROW($T$27:$T$30)/100000,3))</f>
        <v>401005.00027999998</v>
      </c>
      <c r="AB7" s="72">
        <f t="shared" si="2"/>
        <v>1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2</v>
      </c>
      <c r="H8" s="40" t="str">
        <f t="shared" si="0"/>
        <v>2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2</v>
      </c>
      <c r="K8" s="40">
        <f t="shared" si="1"/>
        <v>2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0</v>
      </c>
      <c r="N8" s="59" cm="1">
        <f t="array" ref="N8">SUMPRODUCT(--($C$4:$C$75="A"),--(($D$4:$D$75=L8)+($E$4:$E$75=L8)&gt;0),--($F$4:$F$75=$G$4:$G$75),--($F$4:$F$75&lt;&gt;""),--($G$4:$G$75&lt;&gt;""))</f>
        <v>1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2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1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4</v>
      </c>
      <c r="R8" s="60">
        <f t="shared" si="3"/>
        <v>-3</v>
      </c>
      <c r="S8" s="60">
        <f t="shared" si="4"/>
        <v>1</v>
      </c>
      <c r="T8" s="71">
        <f t="shared" si="5"/>
        <v>97001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Curaçao</v>
      </c>
      <c r="AA8" s="72" cm="1">
        <f t="array" ref="AA8">IF(COUNTIFS($C$4:$C$75,"E",$F$4:$F$75,"&lt;&gt;",$G$4:$G$75,"&lt;&gt;")=0,"",LARGE($T$34:$T$37+ROW($T$34:$T$37)/100000,3))</f>
        <v>97004.000350000002</v>
      </c>
      <c r="AB8" s="72">
        <f t="shared" si="2"/>
        <v>10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1</v>
      </c>
      <c r="H9" s="40" t="str">
        <f t="shared" si="0"/>
        <v>X</v>
      </c>
      <c r="I9" s="40">
        <f>IF(OR(F9="",G9="",'📊 Resultat &amp; Tabell'!K10="",'📊 Resultat &amp; Tabell'!L10=""),"",IF(F9='📊 Resultat &amp; Tabell'!K10,2,0)+IF(G9='📊 Resultat &amp; Tabell'!L10,2,0))</f>
        <v>2</v>
      </c>
      <c r="J9" s="40">
        <f>IF(OR(H9="",'📊 Resultat &amp; Tabell'!M10=""),"",IF(H9='📊 Resultat &amp; Tabell'!M10,2,0))</f>
        <v>0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2</v>
      </c>
      <c r="N9" s="59" cm="1">
        <f t="array" ref="N9">SUMPRODUCT(--($C$4:$C$75="A"),--(($D$4:$D$75=L9)+($E$4:$E$75=L9)&gt;0),--($F$4:$F$75=$G$4:$G$75),--($F$4:$F$75&lt;&gt;""),--($G$4:$G$75&lt;&gt;""))</f>
        <v>0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5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3</v>
      </c>
      <c r="R9" s="60">
        <f t="shared" si="3"/>
        <v>2</v>
      </c>
      <c r="S9" s="60">
        <f t="shared" si="4"/>
        <v>6</v>
      </c>
      <c r="T9" s="71">
        <f t="shared" si="5"/>
        <v>602005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Sverige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Nederländerna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Japan</v>
      </c>
      <c r="AA9" s="72" cm="1">
        <f t="array" ref="AA9">IF(COUNTIFS($C$4:$C$75,"F",$F$4:$F$75,"&lt;&gt;",$G$4:$G$75,"&lt;&gt;")=0,"",LARGE($T$41:$T$44+ROW($T$41:$T$44)/100000,3))</f>
        <v>299006.00042</v>
      </c>
      <c r="AB9" s="72">
        <f t="shared" si="2"/>
        <v>4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1</v>
      </c>
      <c r="G10" s="13">
        <v>2</v>
      </c>
      <c r="H10" s="40" t="str">
        <f t="shared" si="0"/>
        <v>2</v>
      </c>
      <c r="I10" s="40">
        <f>IF(OR(F10="",G10="",'📊 Resultat &amp; Tabell'!K11="",'📊 Resultat &amp; Tabell'!L11=""),"",IF(F10='📊 Resultat &amp; Tabell'!K11,2,0)+IF(G10='📊 Resultat &amp; Tabell'!L11,2,0))</f>
        <v>2</v>
      </c>
      <c r="J10" s="40">
        <f>IF(OR(H10="",'📊 Resultat &amp; Tabell'!M11=""),"",IF(H10='📊 Resultat &amp; Tabell'!M11,2,0))</f>
        <v>0</v>
      </c>
      <c r="K10" s="40">
        <f t="shared" si="1"/>
        <v>2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Iran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Belgien</v>
      </c>
      <c r="AA10" s="72" cm="1">
        <f t="array" ref="AA10">IF(COUNTIFS($C$4:$C$75,"G",$F$4:$F$75,"&lt;&gt;",$G$4:$G$75,"&lt;&gt;")=0,"",LARGE($T$48:$T$51+ROW($T$48:$T$51)/100000,3))</f>
        <v>199005.00047999999</v>
      </c>
      <c r="AB10" s="72">
        <f t="shared" si="2"/>
        <v>7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2</v>
      </c>
      <c r="G11" s="13">
        <v>1</v>
      </c>
      <c r="H11" s="40" t="str">
        <f t="shared" si="0"/>
        <v>1</v>
      </c>
      <c r="I11" s="40">
        <f>IF(OR(F11="",G11="",'📊 Resultat &amp; Tabell'!K12="",'📊 Resultat &amp; Tabell'!L12=""),"",IF(F11='📊 Resultat &amp; Tabell'!K12,2,0)+IF(G11='📊 Resultat &amp; Tabell'!L12,2,0))</f>
        <v>2</v>
      </c>
      <c r="J11" s="40">
        <f>IF(OR(H11="",'📊 Resultat &amp; Tabell'!M12=""),"",IF(H11='📊 Resultat &amp; Tabell'!M12,2,0))</f>
        <v>0</v>
      </c>
      <c r="K11" s="40">
        <f t="shared" si="1"/>
        <v>2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Saudiarabien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Uruguay</v>
      </c>
      <c r="AA11" s="72" cm="1">
        <f t="array" ref="AA11">IF(COUNTIFS($C$4:$C$75,"H",$F$4:$F$75,"&lt;&gt;",$G$4:$G$75,"&lt;&gt;")=0,"",LARGE($T$55:$T$58+ROW($T$55:$T$58)/100000,3))</f>
        <v>399002.00057999999</v>
      </c>
      <c r="AB11" s="72">
        <f t="shared" si="2"/>
        <v>3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2</v>
      </c>
      <c r="G12" s="13">
        <v>2</v>
      </c>
      <c r="H12" s="40" t="str">
        <f t="shared" si="0"/>
        <v>X</v>
      </c>
      <c r="I12" s="40">
        <f>IF(OR(F12="",G12="",'📊 Resultat &amp; Tabell'!K13="",'📊 Resultat &amp; Tabell'!L13=""),"",IF(F12='📊 Resultat &amp; Tabell'!K13,2,0)+IF(G12='📊 Resultat &amp; Tabell'!L13,2,0))</f>
        <v>0</v>
      </c>
      <c r="J12" s="40">
        <f>IF(OR(H12="",'📊 Resultat &amp; Tabell'!M13=""),"",IF(H12='📊 Resultat &amp; Tabell'!M13,2,0))</f>
        <v>0</v>
      </c>
      <c r="K12" s="40">
        <f t="shared" si="1"/>
        <v>0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Norge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Frankrike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299005.00063000002</v>
      </c>
      <c r="AB12" s="72">
        <f t="shared" si="2"/>
        <v>5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1</v>
      </c>
      <c r="G13" s="13">
        <v>2</v>
      </c>
      <c r="H13" s="40" t="str">
        <f t="shared" si="0"/>
        <v>2</v>
      </c>
      <c r="I13" s="40">
        <f>IF(OR(F13="",G13="",'📊 Resultat &amp; Tabell'!K14="",'📊 Resultat &amp; Tabell'!L14=""),"",IF(F13='📊 Resultat &amp; Tabell'!K14,2,0)+IF(G13='📊 Resultat &amp; Tabell'!L14,2,0))</f>
        <v>0</v>
      </c>
      <c r="J13" s="40">
        <f>IF(OR(H13="",'📊 Resultat &amp; Tabell'!M14=""),"",IF(H13='📊 Resultat &amp; Tabell'!M14,2,0))</f>
        <v>0</v>
      </c>
      <c r="K13" s="40">
        <f t="shared" si="1"/>
        <v>0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0</v>
      </c>
      <c r="N13" s="59" cm="1">
        <f t="array" ref="N13">SUMPRODUCT(--($C$4:$C$75="B"),--(($D$4:$D$75=L13)+($E$4:$E$75=L13)&gt;0),--($F$4:$F$75=$G$4:$G$75),--($F$4:$F$75&lt;&gt;""),--($G$4:$G$75&lt;&gt;""))</f>
        <v>1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2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3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5</v>
      </c>
      <c r="R13" s="60">
        <f>P13-Q13</f>
        <v>-2</v>
      </c>
      <c r="S13" s="60">
        <f>M13*3+N13</f>
        <v>1</v>
      </c>
      <c r="T13" s="71">
        <f>S13*100000+R13*1000+P13</f>
        <v>98003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Jordanien</v>
      </c>
      <c r="AA13" s="72" cm="1">
        <f t="array" ref="AA13">IF(COUNTIFS($C$4:$C$75,"J",$F$4:$F$75,"&lt;&gt;",$G$4:$G$75,"&lt;&gt;")=0,"",LARGE($T$69:$T$72+ROW($T$69:$T$72)/100000,3))</f>
        <v>96001.000719999996</v>
      </c>
      <c r="AB13" s="72">
        <f t="shared" si="2"/>
        <v>12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1</v>
      </c>
      <c r="H14" s="40" t="str">
        <f t="shared" si="0"/>
        <v>X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0</v>
      </c>
      <c r="K14" s="40">
        <f t="shared" si="1"/>
        <v>2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2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0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6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4</v>
      </c>
      <c r="R14" s="60">
        <f t="shared" ref="R14:R16" si="6">P14-Q14</f>
        <v>2</v>
      </c>
      <c r="S14" s="60">
        <f t="shared" ref="S14:S16" si="7">M14*3+N14</f>
        <v>7</v>
      </c>
      <c r="T14" s="71">
        <f t="shared" ref="T14:T16" si="8">S14*100000+R14*1000+P14</f>
        <v>702006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Uzbekistan</v>
      </c>
      <c r="AA14" s="72" cm="1">
        <f t="array" ref="AA14">IF(COUNTIFS($C$4:$C$75,"K",$F$4:$F$75,"&lt;&gt;",$G$4:$G$75,"&lt;&gt;")=0,"",LARGE($T$76:$T$79+ROW($T$76:$T$79)/100000,3))</f>
        <v>98003.000780000002</v>
      </c>
      <c r="AB14" s="72">
        <f t="shared" si="2"/>
        <v>9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1</v>
      </c>
      <c r="H15" s="40" t="str">
        <f t="shared" si="0"/>
        <v>1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2</v>
      </c>
      <c r="K15" s="40">
        <f t="shared" si="1"/>
        <v>4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2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1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5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4</v>
      </c>
      <c r="R15" s="60">
        <f t="shared" si="6"/>
        <v>1</v>
      </c>
      <c r="S15" s="60">
        <f t="shared" si="7"/>
        <v>6</v>
      </c>
      <c r="T15" s="71">
        <f t="shared" si="8"/>
        <v>601005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Panama</v>
      </c>
      <c r="AA15" s="72" cm="1">
        <f t="array" ref="AA15">IF(COUNTIFS($C$4:$C$75,"L",$F$4:$F$75,"&lt;&gt;",$G$4:$G$75,"&lt;&gt;")=0,"",LARGE($T$83:$T$86+ROW($T$83:$T$86)/100000,3))</f>
        <v>297004.00085999997</v>
      </c>
      <c r="AB15" s="72">
        <f t="shared" si="2"/>
        <v>6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2</v>
      </c>
      <c r="G16" s="13">
        <v>3</v>
      </c>
      <c r="H16" s="40" t="str">
        <f t="shared" si="0"/>
        <v>2</v>
      </c>
      <c r="I16" s="40">
        <f>IF(OR(F16="",G16="",'📊 Resultat &amp; Tabell'!K17="",'📊 Resultat &amp; Tabell'!L17=""),"",IF(F16='📊 Resultat &amp; Tabell'!K17,2,0)+IF(G16='📊 Resultat &amp; Tabell'!L17,2,0))</f>
        <v>0</v>
      </c>
      <c r="J16" s="40">
        <f>IF(OR(H16="",'📊 Resultat &amp; Tabell'!M17=""),"",IF(H16='📊 Resultat &amp; Tabell'!M17,2,0))</f>
        <v>0</v>
      </c>
      <c r="K16" s="40">
        <f t="shared" si="1"/>
        <v>0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0</v>
      </c>
      <c r="N16" s="59" cm="1">
        <f t="array" ref="N16">SUMPRODUCT(--($C$4:$C$75="B"),--(($D$4:$D$75=L16)+($E$4:$E$75=L16)&gt;0),--($F$4:$F$75=$G$4:$G$75),--($F$4:$F$75&lt;&gt;""),--($G$4:$G$75&lt;&gt;""))</f>
        <v>2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1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4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5</v>
      </c>
      <c r="R16" s="60">
        <f t="shared" si="6"/>
        <v>-1</v>
      </c>
      <c r="S16" s="60">
        <f t="shared" si="7"/>
        <v>2</v>
      </c>
      <c r="T16" s="71">
        <f t="shared" si="8"/>
        <v>199004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1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0</v>
      </c>
      <c r="J17" s="40">
        <f>IF(OR(H17="",'📊 Resultat &amp; Tabell'!M18=""),"",IF(H17='📊 Resultat &amp; Tabell'!M18,2,0))</f>
        <v>2</v>
      </c>
      <c r="K17" s="40">
        <f t="shared" si="1"/>
        <v>2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0</v>
      </c>
      <c r="H18" s="40" t="str">
        <f t="shared" si="0"/>
        <v>1</v>
      </c>
      <c r="I18" s="40">
        <f>IF(OR(F18="",G18="",'📊 Resultat &amp; Tabell'!K19="",'📊 Resultat &amp; Tabell'!L19=""),"",IF(F18='📊 Resultat &amp; Tabell'!K19,2,0)+IF(G18='📊 Resultat &amp; Tabell'!L19,2,0))</f>
        <v>0</v>
      </c>
      <c r="J18" s="40">
        <f>IF(OR(H18="",'📊 Resultat &amp; Tabell'!M19=""),"",IF(H18='📊 Resultat &amp; Tabell'!M19,2,0))</f>
        <v>0</v>
      </c>
      <c r="K18" s="40">
        <f t="shared" si="1"/>
        <v>0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2</v>
      </c>
      <c r="G19" s="13">
        <v>1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0</v>
      </c>
      <c r="J19" s="40">
        <f>IF(OR(H19="",'📊 Resultat &amp; Tabell'!M20=""),"",IF(H19='📊 Resultat &amp; Tabell'!M20,2,0))</f>
        <v>2</v>
      </c>
      <c r="K19" s="40">
        <f t="shared" si="1"/>
        <v>2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2</v>
      </c>
      <c r="G20" s="13">
        <v>2</v>
      </c>
      <c r="H20" s="40" t="str">
        <f t="shared" si="0"/>
        <v>X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0</v>
      </c>
      <c r="K20" s="40">
        <f t="shared" si="1"/>
        <v>0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1</v>
      </c>
      <c r="N20" s="59" cm="1">
        <f t="array" ref="N20">SUMPRODUCT(--($C$4:$C$75="C"),--(($D$4:$D$75=L20)+($E$4:$E$75=L20)&gt;0),--($F$4:$F$75=$G$4:$G$75),--($F$4:$F$75&lt;&gt;""),--($G$4:$G$75&lt;&gt;""))</f>
        <v>1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1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6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6</v>
      </c>
      <c r="R20" s="60">
        <f t="shared" ref="R20:R23" si="9">P20-Q20</f>
        <v>0</v>
      </c>
      <c r="S20" s="60">
        <f t="shared" ref="S20:S23" si="10">M20*3+N20</f>
        <v>4</v>
      </c>
      <c r="T20" s="71">
        <f t="shared" ref="T20:T23" si="11">S20*100000+R20*1000+P20</f>
        <v>400006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1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2</v>
      </c>
      <c r="N21" s="59" cm="1">
        <f t="array" ref="N21">SUMPRODUCT(--($C$4:$C$75="C"),--(($D$4:$D$75=L21)+($E$4:$E$75=L21)&gt;0),--($F$4:$F$75=$G$4:$G$75),--($F$4:$F$75&lt;&gt;""),--($G$4:$G$75&lt;&gt;""))</f>
        <v>0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1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5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4</v>
      </c>
      <c r="R21" s="60">
        <f t="shared" si="9"/>
        <v>1</v>
      </c>
      <c r="S21" s="60">
        <f t="shared" si="10"/>
        <v>6</v>
      </c>
      <c r="T21" s="71">
        <f t="shared" si="11"/>
        <v>601005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0</v>
      </c>
      <c r="G22" s="13">
        <v>2</v>
      </c>
      <c r="H22" s="40" t="str">
        <f t="shared" si="0"/>
        <v>2</v>
      </c>
      <c r="I22" s="40">
        <f>IF(OR(F22="",G22="",'📊 Resultat &amp; Tabell'!K23="",'📊 Resultat &amp; Tabell'!L23=""),"",IF(F22='📊 Resultat &amp; Tabell'!K23,2,0)+IF(G22='📊 Resultat &amp; Tabell'!L23,2,0))</f>
        <v>0</v>
      </c>
      <c r="J22" s="40">
        <f>IF(OR(H22="",'📊 Resultat &amp; Tabell'!M23=""),"",IF(H22='📊 Resultat &amp; Tabell'!M23,2,0))</f>
        <v>0</v>
      </c>
      <c r="K22" s="40">
        <f t="shared" si="1"/>
        <v>0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3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6</v>
      </c>
      <c r="R22" s="60">
        <f t="shared" si="9"/>
        <v>-3</v>
      </c>
      <c r="S22" s="60">
        <f t="shared" si="10"/>
        <v>0</v>
      </c>
      <c r="T22" s="71">
        <f t="shared" si="11"/>
        <v>-2997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3</v>
      </c>
      <c r="H23" s="40" t="str">
        <f t="shared" si="0"/>
        <v>2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2</v>
      </c>
      <c r="N23" s="59" cm="1">
        <f t="array" ref="N23">SUMPRODUCT(--($C$4:$C$75="C"),--(($D$4:$D$75=L23)+($E$4:$E$75=L23)&gt;0),--($F$4:$F$75=$G$4:$G$75),--($F$4:$F$75&lt;&gt;""),--($G$4:$G$75&lt;&gt;""))</f>
        <v>1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0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5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3</v>
      </c>
      <c r="R23" s="60">
        <f t="shared" si="9"/>
        <v>2</v>
      </c>
      <c r="S23" s="60">
        <f t="shared" si="10"/>
        <v>7</v>
      </c>
      <c r="T23" s="71">
        <f t="shared" si="11"/>
        <v>702005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2</v>
      </c>
      <c r="G24" s="13">
        <v>2</v>
      </c>
      <c r="H24" s="40" t="str">
        <f t="shared" si="0"/>
        <v>X</v>
      </c>
      <c r="I24" s="40">
        <f>IF(OR(F24="",G24="",'📊 Resultat &amp; Tabell'!K25="",'📊 Resultat &amp; Tabell'!L25=""),"",IF(F24='📊 Resultat &amp; Tabell'!K25,2,0)+IF(G24='📊 Resultat &amp; Tabell'!L25,2,0))</f>
        <v>0</v>
      </c>
      <c r="J24" s="40">
        <f>IF(OR(H24="",'📊 Resultat &amp; Tabell'!M25=""),"",IF(H24='📊 Resultat &amp; Tabell'!M25,2,0))</f>
        <v>0</v>
      </c>
      <c r="K24" s="40">
        <f t="shared" si="1"/>
        <v>0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1</v>
      </c>
      <c r="G25" s="13">
        <v>3</v>
      </c>
      <c r="H25" s="40" t="str">
        <f t="shared" si="0"/>
        <v>2</v>
      </c>
      <c r="I25" s="40">
        <f>IF(OR(F25="",G25="",'📊 Resultat &amp; Tabell'!K26="",'📊 Resultat &amp; Tabell'!L26=""),"",IF(F25='📊 Resultat &amp; Tabell'!K26,2,0)+IF(G25='📊 Resultat &amp; Tabell'!L26,2,0))</f>
        <v>0</v>
      </c>
      <c r="J25" s="40">
        <f>IF(OR(H25="",'📊 Resultat &amp; Tabell'!M26=""),"",IF(H25='📊 Resultat &amp; Tabell'!M26,2,0))</f>
        <v>0</v>
      </c>
      <c r="K25" s="40">
        <f t="shared" si="1"/>
        <v>0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2</v>
      </c>
      <c r="G26" s="13">
        <v>1</v>
      </c>
      <c r="H26" s="40" t="str">
        <f t="shared" si="0"/>
        <v>1</v>
      </c>
      <c r="I26" s="40">
        <f>IF(OR(F26="",G26="",'📊 Resultat &amp; Tabell'!K27="",'📊 Resultat &amp; Tabell'!L27=""),"",IF(F26='📊 Resultat &amp; Tabell'!K27,2,0)+IF(G26='📊 Resultat &amp; Tabell'!L27,2,0))</f>
        <v>0</v>
      </c>
      <c r="J26" s="40">
        <f>IF(OR(H26="",'📊 Resultat &amp; Tabell'!M27=""),"",IF(H26='📊 Resultat &amp; Tabell'!M27,2,0))</f>
        <v>2</v>
      </c>
      <c r="K26" s="40">
        <f t="shared" si="1"/>
        <v>2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1</v>
      </c>
      <c r="G27" s="13">
        <v>2</v>
      </c>
      <c r="H27" s="40" t="str">
        <f t="shared" si="0"/>
        <v>2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0</v>
      </c>
      <c r="K27" s="40">
        <f t="shared" si="1"/>
        <v>0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0</v>
      </c>
      <c r="N27" s="59" cm="1">
        <f t="array" ref="N27">SUMPRODUCT(--($C$4:$C$75="D"),--(($D$4:$D$75=L27)+($E$4:$E$75=L27)&gt;0),--($F$4:$F$75=$G$4:$G$75),--($F$4:$F$75&lt;&gt;""),--($G$4:$G$75&lt;&gt;""))</f>
        <v>0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3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2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7</v>
      </c>
      <c r="R27" s="60">
        <f t="shared" ref="R27:R30" si="12">P27-Q27</f>
        <v>-5</v>
      </c>
      <c r="S27" s="60">
        <f t="shared" ref="S27:S30" si="13">M27*3+N27</f>
        <v>0</v>
      </c>
      <c r="T27" s="71">
        <f t="shared" ref="T27:T30" si="14">S27*100000+R27*1000+P27</f>
        <v>-4998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3</v>
      </c>
      <c r="G28" s="13">
        <v>1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2</v>
      </c>
      <c r="J28" s="40">
        <f>IF(OR(H28="",'📊 Resultat &amp; Tabell'!M29=""),"",IF(H28='📊 Resultat &amp; Tabell'!M29,2,0))</f>
        <v>2</v>
      </c>
      <c r="K28" s="40">
        <f t="shared" si="1"/>
        <v>4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1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1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5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4</v>
      </c>
      <c r="R28" s="60">
        <f t="shared" si="12"/>
        <v>1</v>
      </c>
      <c r="S28" s="60">
        <f t="shared" si="13"/>
        <v>4</v>
      </c>
      <c r="T28" s="71">
        <f t="shared" si="14"/>
        <v>401005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2</v>
      </c>
      <c r="H29" s="40" t="str">
        <f t="shared" si="0"/>
        <v>2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2</v>
      </c>
      <c r="N29" s="59" cm="1">
        <f t="array" ref="N29">SUMPRODUCT(--($C$4:$C$75="D"),--(($D$4:$D$75=L29)+($E$4:$E$75=L29)&gt;0),--($F$4:$F$75=$G$4:$G$75),--($F$4:$F$75&lt;&gt;""),--($G$4:$G$75&lt;&gt;""))</f>
        <v>0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6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5</v>
      </c>
      <c r="R29" s="60">
        <f t="shared" si="12"/>
        <v>1</v>
      </c>
      <c r="S29" s="60">
        <f t="shared" si="13"/>
        <v>6</v>
      </c>
      <c r="T29" s="71">
        <f t="shared" si="14"/>
        <v>601006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3</v>
      </c>
      <c r="G30" s="13">
        <v>2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0</v>
      </c>
      <c r="J30" s="40">
        <f>IF(OR(H30="",'📊 Resultat &amp; Tabell'!M31=""),"",IF(H30='📊 Resultat &amp; Tabell'!M31,2,0))</f>
        <v>0</v>
      </c>
      <c r="K30" s="40">
        <f t="shared" si="1"/>
        <v>0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2</v>
      </c>
      <c r="N30" s="59" cm="1">
        <f t="array" ref="N30">SUMPRODUCT(--($C$4:$C$75="D"),--(($D$4:$D$75=L30)+($E$4:$E$75=L30)&gt;0),--($F$4:$F$75=$G$4:$G$75),--($F$4:$F$75&lt;&gt;""),--($G$4:$G$75&lt;&gt;""))</f>
        <v>1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7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4</v>
      </c>
      <c r="R30" s="60">
        <f t="shared" si="12"/>
        <v>3</v>
      </c>
      <c r="S30" s="60">
        <f t="shared" si="13"/>
        <v>7</v>
      </c>
      <c r="T30" s="71">
        <f t="shared" si="14"/>
        <v>703007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0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2</v>
      </c>
      <c r="J31" s="40">
        <f>IF(OR(H31="",'📊 Resultat &amp; Tabell'!M32=""),"",IF(H31='📊 Resultat &amp; Tabell'!M32,2,0))</f>
        <v>2</v>
      </c>
      <c r="K31" s="40">
        <f t="shared" si="1"/>
        <v>4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2</v>
      </c>
      <c r="G32" s="13">
        <v>3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2</v>
      </c>
      <c r="J32" s="40">
        <f>IF(OR(H32="",'📊 Resultat &amp; Tabell'!M33=""),"",IF(H32='📊 Resultat &amp; Tabell'!M33,2,0))</f>
        <v>0</v>
      </c>
      <c r="K32" s="40">
        <f t="shared" si="1"/>
        <v>2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40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1</v>
      </c>
      <c r="G33" s="13">
        <v>1</v>
      </c>
      <c r="H33" s="40" t="str">
        <f t="shared" si="0"/>
        <v>X</v>
      </c>
      <c r="I33" s="40">
        <f>IF(OR(F33="",G33="",'📊 Resultat &amp; Tabell'!K34="",'📊 Resultat &amp; Tabell'!L34=""),"",IF(F33='📊 Resultat &amp; Tabell'!K34,2,0)+IF(G33='📊 Resultat &amp; Tabell'!L34,2,0))</f>
        <v>0</v>
      </c>
      <c r="J33" s="40">
        <f>IF(OR(H33="",'📊 Resultat &amp; Tabell'!M34=""),"",IF(H33='📊 Resultat &amp; Tabell'!M34,2,0))</f>
        <v>0</v>
      </c>
      <c r="K33" s="40">
        <f t="shared" si="1"/>
        <v>0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82"/>
      <c r="AH33" s="82"/>
      <c r="AI33" s="82"/>
      <c r="AJ33" s="82"/>
      <c r="AK33" s="82"/>
      <c r="AL33" s="82"/>
      <c r="AM33" s="82"/>
      <c r="AN33" s="82"/>
    </row>
    <row r="34" spans="1:40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3</v>
      </c>
      <c r="G34" s="13">
        <v>1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0</v>
      </c>
      <c r="J34" s="40">
        <f>IF(OR(H34="",'📊 Resultat &amp; Tabell'!M35=""),"",IF(H34='📊 Resultat &amp; Tabell'!M35,2,0))</f>
        <v>0</v>
      </c>
      <c r="K34" s="40">
        <f t="shared" si="1"/>
        <v>0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8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3</v>
      </c>
      <c r="R34" s="60">
        <f t="shared" ref="R34:R37" si="15">P34-Q34</f>
        <v>5</v>
      </c>
      <c r="S34" s="60">
        <f t="shared" ref="S34:S37" si="16">M34*3+N34</f>
        <v>9</v>
      </c>
      <c r="T34" s="71">
        <f t="shared" ref="T34:T37" si="17">S34*100000+R34*1000+P34</f>
        <v>905008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82"/>
      <c r="AH34" s="82"/>
      <c r="AI34" s="82"/>
      <c r="AJ34" s="82"/>
      <c r="AK34" s="82"/>
      <c r="AL34" s="82"/>
      <c r="AM34" s="82"/>
      <c r="AN34" s="82"/>
    </row>
    <row r="35" spans="1:40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1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2</v>
      </c>
      <c r="J35" s="40">
        <f>IF(OR(H35="",'📊 Resultat &amp; Tabell'!M36=""),"",IF(H35='📊 Resultat &amp; Tabell'!M36,2,0))</f>
        <v>2</v>
      </c>
      <c r="K35" s="40">
        <f t="shared" si="1"/>
        <v>4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1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2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4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7</v>
      </c>
      <c r="R35" s="60">
        <f t="shared" si="15"/>
        <v>-3</v>
      </c>
      <c r="S35" s="60">
        <f t="shared" si="16"/>
        <v>1</v>
      </c>
      <c r="T35" s="71">
        <f t="shared" si="17"/>
        <v>97004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82"/>
      <c r="AH35" s="82"/>
      <c r="AI35" s="82"/>
      <c r="AJ35" s="82"/>
      <c r="AK35" s="82"/>
      <c r="AL35" s="82"/>
      <c r="AM35" s="82"/>
      <c r="AN35" s="82"/>
    </row>
    <row r="36" spans="1:40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3</v>
      </c>
      <c r="H36" s="40" t="str">
        <f t="shared" si="0"/>
        <v>2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2</v>
      </c>
      <c r="K36" s="40">
        <f t="shared" si="1"/>
        <v>2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0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2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2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5</v>
      </c>
      <c r="R36" s="60">
        <f t="shared" si="15"/>
        <v>-3</v>
      </c>
      <c r="S36" s="60">
        <f t="shared" si="16"/>
        <v>1</v>
      </c>
      <c r="T36" s="71">
        <f t="shared" si="17"/>
        <v>97002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82"/>
      <c r="AH36" s="82"/>
      <c r="AI36" s="82"/>
      <c r="AJ36" s="82"/>
      <c r="AK36" s="82"/>
      <c r="AL36" s="82"/>
      <c r="AM36" s="82"/>
      <c r="AN36" s="82"/>
    </row>
    <row r="37" spans="1:40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1</v>
      </c>
      <c r="G37" s="13">
        <v>2</v>
      </c>
      <c r="H37" s="40" t="str">
        <f t="shared" si="0"/>
        <v>2</v>
      </c>
      <c r="I37" s="40">
        <f>IF(OR(F37="",G37="",'📊 Resultat &amp; Tabell'!K38="",'📊 Resultat &amp; Tabell'!L38=""),"",IF(F37='📊 Resultat &amp; Tabell'!K38,2,0)+IF(G37='📊 Resultat &amp; Tabell'!L38,2,0))</f>
        <v>0</v>
      </c>
      <c r="J37" s="40">
        <f>IF(OR(H37="",'📊 Resultat &amp; Tabell'!M38=""),"",IF(H37='📊 Resultat &amp; Tabell'!M38,2,0))</f>
        <v>0</v>
      </c>
      <c r="K37" s="40">
        <f t="shared" si="1"/>
        <v>0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2</v>
      </c>
      <c r="N37" s="59" cm="1">
        <f t="array" ref="N37">SUMPRODUCT(--($C$4:$C$75="E"),--(($D$4:$D$75=L37)+($E$4:$E$75=L37)&gt;0),--($F$4:$F$75=$G$4:$G$75),--($F$4:$F$75&lt;&gt;""),--($G$4:$G$75&lt;&gt;""))</f>
        <v>0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7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6</v>
      </c>
      <c r="R37" s="60">
        <f t="shared" si="15"/>
        <v>1</v>
      </c>
      <c r="S37" s="60">
        <f t="shared" si="16"/>
        <v>6</v>
      </c>
      <c r="T37" s="71">
        <f t="shared" si="17"/>
        <v>601007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82"/>
      <c r="AH37" s="82"/>
      <c r="AI37" s="82"/>
      <c r="AJ37" s="82"/>
      <c r="AK37" s="82"/>
      <c r="AL37" s="82"/>
      <c r="AM37" s="82"/>
      <c r="AN37" s="82"/>
    </row>
    <row r="38" spans="1:40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1</v>
      </c>
      <c r="G38" s="13">
        <v>2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2</v>
      </c>
      <c r="J38" s="40">
        <f>IF(OR(H38="",'📊 Resultat &amp; Tabell'!M39=""),"",IF(H38='📊 Resultat &amp; Tabell'!M39,2,0))</f>
        <v>2</v>
      </c>
      <c r="K38" s="40">
        <f t="shared" si="1"/>
        <v>4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82"/>
      <c r="AH38" s="82"/>
      <c r="AI38" s="82"/>
      <c r="AJ38" s="82"/>
      <c r="AK38" s="82"/>
      <c r="AL38" s="82"/>
      <c r="AM38" s="82"/>
      <c r="AN38" s="82"/>
    </row>
    <row r="39" spans="1:40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2</v>
      </c>
      <c r="G39" s="13">
        <v>3</v>
      </c>
      <c r="H39" s="40" t="str">
        <f t="shared" si="0"/>
        <v>2</v>
      </c>
      <c r="I39" s="40">
        <f>IF(OR(F39="",G39="",'📊 Resultat &amp; Tabell'!K40="",'📊 Resultat &amp; Tabell'!L40=""),"",IF(F39='📊 Resultat &amp; Tabell'!K40,2,0)+IF(G39='📊 Resultat &amp; Tabell'!L40,2,0))</f>
        <v>0</v>
      </c>
      <c r="J39" s="40">
        <f>IF(OR(H39="",'📊 Resultat &amp; Tabell'!M40=""),"",IF(H39='📊 Resultat &amp; Tabell'!M40,2,0))</f>
        <v>0</v>
      </c>
      <c r="K39" s="40">
        <f t="shared" si="1"/>
        <v>0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82"/>
      <c r="AH39" s="82"/>
      <c r="AI39" s="82"/>
      <c r="AJ39" s="82"/>
      <c r="AK39" s="82"/>
      <c r="AL39" s="82"/>
      <c r="AM39" s="82"/>
      <c r="AN39" s="82"/>
    </row>
    <row r="40" spans="1:40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1</v>
      </c>
      <c r="G40" s="13">
        <v>1</v>
      </c>
      <c r="H40" s="40" t="str">
        <f t="shared" si="0"/>
        <v>X</v>
      </c>
      <c r="I40" s="40">
        <f>IF(OR(F40="",G40="",'📊 Resultat &amp; Tabell'!K41="",'📊 Resultat &amp; Tabell'!L41=""),"",IF(F40='📊 Resultat &amp; Tabell'!K41,2,0)+IF(G40='📊 Resultat &amp; Tabell'!L41,2,0))</f>
        <v>4</v>
      </c>
      <c r="J40" s="40">
        <f>IF(OR(H40="",'📊 Resultat &amp; Tabell'!M41=""),"",IF(H40='📊 Resultat &amp; Tabell'!M41,2,0))</f>
        <v>2</v>
      </c>
      <c r="K40" s="40">
        <f t="shared" si="1"/>
        <v>6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82"/>
      <c r="AH40" s="82"/>
      <c r="AI40" s="82"/>
      <c r="AJ40" s="82"/>
      <c r="AK40" s="82"/>
      <c r="AL40" s="82"/>
      <c r="AM40" s="82"/>
      <c r="AN40" s="82"/>
    </row>
    <row r="41" spans="1:40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2</v>
      </c>
      <c r="G41" s="13">
        <v>1</v>
      </c>
      <c r="H41" s="40" t="str">
        <f t="shared" si="0"/>
        <v>1</v>
      </c>
      <c r="I41" s="40">
        <f>IF(OR(F41="",G41="",'📊 Resultat &amp; Tabell'!K42="",'📊 Resultat &amp; Tabell'!L42=""),"",IF(F41='📊 Resultat &amp; Tabell'!K42,2,0)+IF(G41='📊 Resultat &amp; Tabell'!L42,2,0))</f>
        <v>2</v>
      </c>
      <c r="J41" s="40">
        <f>IF(OR(H41="",'📊 Resultat &amp; Tabell'!M42=""),"",IF(H41='📊 Resultat &amp; Tabell'!M42,2,0))</f>
        <v>0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2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1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6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4</v>
      </c>
      <c r="R41" s="60">
        <f t="shared" ref="R41:R44" si="18">P41-Q41</f>
        <v>2</v>
      </c>
      <c r="S41" s="60">
        <f t="shared" ref="S41:S44" si="19">M41*3+N41</f>
        <v>6</v>
      </c>
      <c r="T41" s="71">
        <f t="shared" ref="T41:T44" si="20">S41*100000+R41*1000+P41</f>
        <v>602006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82"/>
      <c r="AH41" s="82"/>
      <c r="AI41" s="82"/>
      <c r="AJ41" s="82"/>
      <c r="AK41" s="82"/>
      <c r="AL41" s="82"/>
      <c r="AM41" s="82"/>
      <c r="AN41" s="82"/>
    </row>
    <row r="42" spans="1:40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1</v>
      </c>
      <c r="G42" s="13">
        <v>2</v>
      </c>
      <c r="H42" s="40" t="str">
        <f t="shared" si="0"/>
        <v>2</v>
      </c>
      <c r="I42" s="40">
        <f>IF(OR(F42="",G42="",'📊 Resultat &amp; Tabell'!K43="",'📊 Resultat &amp; Tabell'!L43=""),"",IF(F42='📊 Resultat &amp; Tabell'!K43,2,0)+IF(G42='📊 Resultat &amp; Tabell'!L43,2,0))</f>
        <v>2</v>
      </c>
      <c r="J42" s="40">
        <f>IF(OR(H42="",'📊 Resultat &amp; Tabell'!M43=""),"",IF(H42='📊 Resultat &amp; Tabell'!M43,2,0))</f>
        <v>2</v>
      </c>
      <c r="K42" s="40">
        <f t="shared" si="1"/>
        <v>4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1</v>
      </c>
      <c r="N42" s="59" cm="1">
        <f t="array" ref="N42">SUMPRODUCT(--($C$4:$C$75="F"),--(($D$4:$D$75=L42)+($E$4:$E$75=L42)&gt;0),--($F$4:$F$75=$G$4:$G$75),--($F$4:$F$75&lt;&gt;""),--($G$4:$G$75&lt;&gt;""))</f>
        <v>0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2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6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7</v>
      </c>
      <c r="R42" s="60">
        <f t="shared" si="18"/>
        <v>-1</v>
      </c>
      <c r="S42" s="60">
        <f t="shared" si="19"/>
        <v>3</v>
      </c>
      <c r="T42" s="71">
        <f t="shared" si="20"/>
        <v>299006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82"/>
      <c r="AH42" s="82"/>
      <c r="AI42" s="82"/>
      <c r="AJ42" s="82"/>
      <c r="AK42" s="82"/>
      <c r="AL42" s="82"/>
      <c r="AM42" s="82"/>
      <c r="AN42" s="82"/>
    </row>
    <row r="43" spans="1:40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3</v>
      </c>
      <c r="H43" s="40" t="str">
        <f t="shared" si="0"/>
        <v>2</v>
      </c>
      <c r="I43" s="40">
        <f>IF(OR(F43="",G43="",'📊 Resultat &amp; Tabell'!K44="",'📊 Resultat &amp; Tabell'!L44=""),"",IF(F43='📊 Resultat &amp; Tabell'!K44,2,0)+IF(G43='📊 Resultat &amp; Tabell'!L44,2,0))</f>
        <v>0</v>
      </c>
      <c r="J43" s="40">
        <f>IF(OR(H43="",'📊 Resultat &amp; Tabell'!M44=""),"",IF(H43='📊 Resultat &amp; Tabell'!M44,2,0))</f>
        <v>0</v>
      </c>
      <c r="K43" s="40">
        <f t="shared" si="1"/>
        <v>0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3</v>
      </c>
      <c r="N43" s="59" cm="1">
        <f t="array" ref="N43">SUMPRODUCT(--($C$4:$C$75="F"),--(($D$4:$D$75=L43)+($E$4:$E$75=L43)&gt;0),--($F$4:$F$75=$G$4:$G$75),--($F$4:$F$75&lt;&gt;""),--($G$4:$G$75&lt;&gt;""))</f>
        <v>0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0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7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4</v>
      </c>
      <c r="R43" s="60">
        <f t="shared" si="18"/>
        <v>3</v>
      </c>
      <c r="S43" s="60">
        <f t="shared" si="19"/>
        <v>9</v>
      </c>
      <c r="T43" s="71">
        <f t="shared" si="20"/>
        <v>903007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82"/>
      <c r="AH43" s="82"/>
      <c r="AI43" s="82"/>
      <c r="AJ43" s="82"/>
      <c r="AK43" s="82"/>
      <c r="AL43" s="82"/>
      <c r="AM43" s="82"/>
      <c r="AN43" s="82"/>
    </row>
    <row r="44" spans="1:40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2</v>
      </c>
      <c r="G44" s="13">
        <v>2</v>
      </c>
      <c r="H44" s="40" t="str">
        <f t="shared" si="0"/>
        <v>X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0</v>
      </c>
      <c r="K44" s="40">
        <f t="shared" si="1"/>
        <v>0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3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3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7</v>
      </c>
      <c r="R44" s="60">
        <f t="shared" si="18"/>
        <v>-4</v>
      </c>
      <c r="S44" s="60">
        <f t="shared" si="19"/>
        <v>0</v>
      </c>
      <c r="T44" s="71">
        <f t="shared" si="20"/>
        <v>-3997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82"/>
      <c r="AH44" s="82"/>
      <c r="AI44" s="82"/>
      <c r="AJ44" s="82"/>
      <c r="AK44" s="82"/>
      <c r="AL44" s="82"/>
      <c r="AM44" s="82"/>
      <c r="AN44" s="82"/>
    </row>
    <row r="45" spans="1:40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0</v>
      </c>
      <c r="G45" s="13">
        <v>2</v>
      </c>
      <c r="H45" s="40" t="str">
        <f t="shared" si="0"/>
        <v>2</v>
      </c>
      <c r="I45" s="40">
        <f>IF(OR(F45="",G45="",'📊 Resultat &amp; Tabell'!K46="",'📊 Resultat &amp; Tabell'!L46=""),"",IF(F45='📊 Resultat &amp; Tabell'!K46,2,0)+IF(G45='📊 Resultat &amp; Tabell'!L46,2,0))</f>
        <v>0</v>
      </c>
      <c r="J45" s="40">
        <f>IF(OR(H45="",'📊 Resultat &amp; Tabell'!M46=""),"",IF(H45='📊 Resultat &amp; Tabell'!M46,2,0))</f>
        <v>0</v>
      </c>
      <c r="K45" s="40">
        <f t="shared" si="1"/>
        <v>0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82"/>
      <c r="AH45" s="82"/>
      <c r="AI45" s="82"/>
      <c r="AJ45" s="82"/>
      <c r="AK45" s="82"/>
      <c r="AL45" s="82"/>
      <c r="AM45" s="82"/>
      <c r="AN45" s="82"/>
    </row>
    <row r="46" spans="1:40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3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82"/>
      <c r="AH46" s="82"/>
      <c r="AI46" s="82"/>
      <c r="AJ46" s="82"/>
      <c r="AK46" s="82"/>
      <c r="AL46" s="82"/>
      <c r="AM46" s="82"/>
      <c r="AN46" s="82"/>
    </row>
    <row r="47" spans="1:40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1</v>
      </c>
      <c r="G47" s="13">
        <v>1</v>
      </c>
      <c r="H47" s="40" t="str">
        <f t="shared" si="0"/>
        <v>X</v>
      </c>
      <c r="I47" s="40">
        <f>IF(OR(F47="",G47="",'📊 Resultat &amp; Tabell'!K48="",'📊 Resultat &amp; Tabell'!L48=""),"",IF(F47='📊 Resultat &amp; Tabell'!K48,2,0)+IF(G47='📊 Resultat &amp; Tabell'!L48,2,0))</f>
        <v>4</v>
      </c>
      <c r="J47" s="40">
        <f>IF(OR(H47="",'📊 Resultat &amp; Tabell'!M48=""),"",IF(H47='📊 Resultat &amp; Tabell'!M48,2,0))</f>
        <v>2</v>
      </c>
      <c r="K47" s="40">
        <f t="shared" si="1"/>
        <v>6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2"/>
      <c r="AH47" s="82"/>
      <c r="AI47" s="82"/>
      <c r="AJ47" s="82"/>
      <c r="AK47" s="82"/>
      <c r="AL47" s="82"/>
      <c r="AM47" s="82"/>
      <c r="AN47" s="82"/>
    </row>
    <row r="48" spans="1:40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1</v>
      </c>
      <c r="G48" s="13">
        <v>0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0</v>
      </c>
      <c r="J48" s="40">
        <f>IF(OR(H48="",'📊 Resultat &amp; Tabell'!M49=""),"",IF(H48='📊 Resultat &amp; Tabell'!M49,2,0))</f>
        <v>0</v>
      </c>
      <c r="K48" s="40">
        <f t="shared" si="1"/>
        <v>0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0</v>
      </c>
      <c r="N48" s="59" cm="1">
        <f t="array" ref="N48">SUMPRODUCT(--($C$4:$C$75="G"),--(($D$4:$D$75=L48)+($E$4:$E$75=L48)&gt;0),--($F$4:$F$75=$G$4:$G$75),--($F$4:$F$75&lt;&gt;""),--($G$4:$G$75&lt;&gt;""))</f>
        <v>2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1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5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6</v>
      </c>
      <c r="R48" s="60">
        <f t="shared" ref="R48:R51" si="21">P48-Q48</f>
        <v>-1</v>
      </c>
      <c r="S48" s="60">
        <f t="shared" ref="S48:S51" si="22">M48*3+N48</f>
        <v>2</v>
      </c>
      <c r="T48" s="71">
        <f t="shared" ref="T48:T51" si="23">S48*100000+R48*1000+P48</f>
        <v>199005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2"/>
      <c r="AH48" s="82"/>
      <c r="AI48" s="82"/>
      <c r="AJ48" s="82"/>
      <c r="AK48" s="82"/>
      <c r="AL48" s="82"/>
      <c r="AM48" s="82"/>
      <c r="AN48" s="82"/>
    </row>
    <row r="49" spans="1:40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3</v>
      </c>
      <c r="G49" s="13">
        <v>1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0</v>
      </c>
      <c r="J49" s="40">
        <f>IF(OR(H49="",'📊 Resultat &amp; Tabell'!M50=""),"",IF(H49='📊 Resultat &amp; Tabell'!M50,2,0))</f>
        <v>2</v>
      </c>
      <c r="K49" s="40">
        <f t="shared" si="1"/>
        <v>2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1</v>
      </c>
      <c r="N49" s="59" cm="1">
        <f t="array" ref="N49">SUMPRODUCT(--($C$4:$C$75="G"),--(($D$4:$D$75=L49)+($E$4:$E$75=L49)&gt;0),--($F$4:$F$75=$G$4:$G$75),--($F$4:$F$75&lt;&gt;""),--($G$4:$G$75&lt;&gt;""))</f>
        <v>1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3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4</v>
      </c>
      <c r="R49" s="60">
        <f t="shared" si="21"/>
        <v>-1</v>
      </c>
      <c r="S49" s="60">
        <f t="shared" si="22"/>
        <v>4</v>
      </c>
      <c r="T49" s="71">
        <f t="shared" si="23"/>
        <v>399003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82"/>
      <c r="AH49" s="82"/>
      <c r="AI49" s="82"/>
      <c r="AJ49" s="82"/>
      <c r="AK49" s="82"/>
      <c r="AL49" s="82"/>
      <c r="AM49" s="82"/>
      <c r="AN49" s="82"/>
    </row>
    <row r="50" spans="1:40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0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2</v>
      </c>
      <c r="J50" s="40">
        <f>IF(OR(H50="",'📊 Resultat &amp; Tabell'!M51=""),"",IF(H50='📊 Resultat &amp; Tabell'!M51,2,0))</f>
        <v>2</v>
      </c>
      <c r="K50" s="40">
        <f t="shared" si="1"/>
        <v>4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3</v>
      </c>
      <c r="N50" s="59" cm="1">
        <f t="array" ref="N50">SUMPRODUCT(--($C$4:$C$75="G"),--(($D$4:$D$75=L50)+($E$4:$E$75=L50)&gt;0),--($F$4:$F$75=$G$4:$G$75),--($F$4:$F$75&lt;&gt;""),--($G$4:$G$75&lt;&gt;""))</f>
        <v>0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0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7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3</v>
      </c>
      <c r="R50" s="60">
        <f t="shared" si="21"/>
        <v>4</v>
      </c>
      <c r="S50" s="60">
        <f t="shared" si="22"/>
        <v>9</v>
      </c>
      <c r="T50" s="71">
        <f t="shared" si="23"/>
        <v>904007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82"/>
      <c r="AH50" s="82"/>
      <c r="AI50" s="82"/>
      <c r="AJ50" s="82"/>
      <c r="AK50" s="82"/>
      <c r="AL50" s="82"/>
      <c r="AM50" s="82"/>
      <c r="AN50" s="82"/>
    </row>
    <row r="51" spans="1:40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2</v>
      </c>
      <c r="H51" s="40" t="str">
        <f t="shared" si="0"/>
        <v>2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0</v>
      </c>
      <c r="K51" s="40">
        <f t="shared" si="1"/>
        <v>0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1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2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4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6</v>
      </c>
      <c r="R51" s="60">
        <f t="shared" si="21"/>
        <v>-2</v>
      </c>
      <c r="S51" s="60">
        <f t="shared" si="22"/>
        <v>1</v>
      </c>
      <c r="T51" s="71">
        <f t="shared" si="23"/>
        <v>98004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82"/>
      <c r="AH51" s="82"/>
      <c r="AI51" s="82"/>
      <c r="AJ51" s="82"/>
      <c r="AK51" s="82"/>
      <c r="AL51" s="82"/>
      <c r="AM51" s="82"/>
      <c r="AN51" s="82"/>
    </row>
    <row r="52" spans="1:40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3</v>
      </c>
      <c r="G52" s="13">
        <v>2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2</v>
      </c>
      <c r="J52" s="40">
        <f>IF(OR(H52="",'📊 Resultat &amp; Tabell'!M53=""),"",IF(H52='📊 Resultat &amp; Tabell'!M53,2,0))</f>
        <v>2</v>
      </c>
      <c r="K52" s="40">
        <f t="shared" si="1"/>
        <v>4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82"/>
      <c r="AH52" s="82"/>
      <c r="AI52" s="82"/>
      <c r="AJ52" s="82"/>
      <c r="AK52" s="82"/>
      <c r="AL52" s="82"/>
      <c r="AM52" s="82"/>
      <c r="AN52" s="82"/>
    </row>
    <row r="53" spans="1:40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1</v>
      </c>
      <c r="G53" s="13">
        <v>3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2</v>
      </c>
      <c r="J53" s="40">
        <f>IF(OR(H53="",'📊 Resultat &amp; Tabell'!M54=""),"",IF(H53='📊 Resultat &amp; Tabell'!M54,2,0))</f>
        <v>2</v>
      </c>
      <c r="K53" s="40">
        <f t="shared" si="1"/>
        <v>4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82"/>
      <c r="AH53" s="82"/>
      <c r="AI53" s="82"/>
      <c r="AJ53" s="82"/>
      <c r="AK53" s="82"/>
      <c r="AL53" s="82"/>
      <c r="AM53" s="82"/>
      <c r="AN53" s="82"/>
    </row>
    <row r="54" spans="1:40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2</v>
      </c>
      <c r="G54" s="13">
        <v>0</v>
      </c>
      <c r="H54" s="40" t="str">
        <f t="shared" si="0"/>
        <v>1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2</v>
      </c>
      <c r="K54" s="40">
        <f t="shared" si="1"/>
        <v>2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82"/>
      <c r="AH54" s="82"/>
      <c r="AI54" s="82"/>
      <c r="AJ54" s="82"/>
      <c r="AK54" s="82"/>
      <c r="AL54" s="82"/>
      <c r="AM54" s="82"/>
      <c r="AN54" s="82"/>
    </row>
    <row r="55" spans="1:40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2</v>
      </c>
      <c r="G55" s="13">
        <v>1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0</v>
      </c>
      <c r="J55" s="40">
        <f>IF(OR(H55="",'📊 Resultat &amp; Tabell'!M56=""),"",IF(H55='📊 Resultat &amp; Tabell'!M56,2,0))</f>
        <v>2</v>
      </c>
      <c r="K55" s="40">
        <f t="shared" si="1"/>
        <v>2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8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1</v>
      </c>
      <c r="R55" s="60">
        <f t="shared" ref="R55:R58" si="24">P55-Q55</f>
        <v>7</v>
      </c>
      <c r="S55" s="60">
        <f t="shared" ref="S55:S58" si="25">M55*3+N55</f>
        <v>9</v>
      </c>
      <c r="T55" s="71">
        <f t="shared" ref="T55:T58" si="26">S55*100000+R55*1000+P55</f>
        <v>907008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82"/>
      <c r="AH55" s="82"/>
      <c r="AI55" s="82"/>
      <c r="AJ55" s="82"/>
      <c r="AK55" s="82"/>
      <c r="AL55" s="82"/>
      <c r="AM55" s="82"/>
      <c r="AN55" s="82"/>
    </row>
    <row r="56" spans="1:40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2</v>
      </c>
      <c r="G56" s="13">
        <v>2</v>
      </c>
      <c r="H56" s="40" t="str">
        <f t="shared" si="0"/>
        <v>X</v>
      </c>
      <c r="I56" s="40">
        <f>IF(OR(F56="",G56="",'📊 Resultat &amp; Tabell'!K57="",'📊 Resultat &amp; Tabell'!L57=""),"",IF(F56='📊 Resultat &amp; Tabell'!K57,2,0)+IF(G56='📊 Resultat &amp; Tabell'!L57,2,0))</f>
        <v>0</v>
      </c>
      <c r="J56" s="40">
        <f>IF(OR(H56="",'📊 Resultat &amp; Tabell'!M57=""),"",IF(H56='📊 Resultat &amp; Tabell'!M57,2,0))</f>
        <v>0</v>
      </c>
      <c r="K56" s="40">
        <f t="shared" si="1"/>
        <v>0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0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3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6</v>
      </c>
      <c r="R56" s="60">
        <f t="shared" si="24"/>
        <v>-5</v>
      </c>
      <c r="S56" s="60">
        <f t="shared" si="25"/>
        <v>0</v>
      </c>
      <c r="T56" s="71">
        <f t="shared" si="26"/>
        <v>-4999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82"/>
      <c r="AH56" s="82"/>
      <c r="AI56" s="82"/>
      <c r="AJ56" s="82"/>
      <c r="AK56" s="82"/>
      <c r="AL56" s="82"/>
      <c r="AM56" s="82"/>
      <c r="AN56" s="82"/>
    </row>
    <row r="57" spans="1:40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3</v>
      </c>
      <c r="G57" s="13">
        <v>1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0</v>
      </c>
      <c r="J57" s="40">
        <f>IF(OR(H57="",'📊 Resultat &amp; Tabell'!M58=""),"",IF(H57='📊 Resultat &amp; Tabell'!M58,2,0))</f>
        <v>2</v>
      </c>
      <c r="K57" s="40">
        <f t="shared" si="1"/>
        <v>2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1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1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4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5</v>
      </c>
      <c r="R57" s="60">
        <f t="shared" si="24"/>
        <v>-1</v>
      </c>
      <c r="S57" s="60">
        <f t="shared" si="25"/>
        <v>4</v>
      </c>
      <c r="T57" s="71">
        <f t="shared" si="26"/>
        <v>399004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82"/>
      <c r="AH57" s="82"/>
      <c r="AI57" s="82"/>
      <c r="AJ57" s="82"/>
      <c r="AK57" s="82"/>
      <c r="AL57" s="82"/>
      <c r="AM57" s="82"/>
      <c r="AN57" s="82"/>
    </row>
    <row r="58" spans="1:40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0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4</v>
      </c>
      <c r="J58" s="40">
        <f>IF(OR(H58="",'📊 Resultat &amp; Tabell'!M59=""),"",IF(H58='📊 Resultat &amp; Tabell'!M59,2,0))</f>
        <v>2</v>
      </c>
      <c r="K58" s="40">
        <f t="shared" si="1"/>
        <v>6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1</v>
      </c>
      <c r="N58" s="59" cm="1">
        <f t="array" ref="N58">SUMPRODUCT(--($C$4:$C$75="H"),--(($D$4:$D$75=L58)+($E$4:$E$75=L58)&gt;0),--($F$4:$F$75=$G$4:$G$75),--($F$4:$F$75&lt;&gt;""),--($G$4:$G$75&lt;&gt;""))</f>
        <v>1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2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3</v>
      </c>
      <c r="R58" s="60">
        <f t="shared" si="24"/>
        <v>-1</v>
      </c>
      <c r="S58" s="60">
        <f t="shared" si="25"/>
        <v>4</v>
      </c>
      <c r="T58" s="71">
        <f t="shared" si="26"/>
        <v>399002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82"/>
      <c r="AH58" s="82"/>
      <c r="AI58" s="82"/>
      <c r="AJ58" s="82"/>
      <c r="AK58" s="82"/>
      <c r="AL58" s="82"/>
      <c r="AM58" s="82"/>
      <c r="AN58" s="82"/>
    </row>
    <row r="59" spans="1:40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82"/>
      <c r="AH59" s="82"/>
      <c r="AI59" s="82"/>
      <c r="AJ59" s="82"/>
      <c r="AK59" s="82"/>
      <c r="AL59" s="82"/>
      <c r="AM59" s="82"/>
      <c r="AN59" s="82"/>
    </row>
    <row r="60" spans="1:40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1</v>
      </c>
      <c r="H60" s="40" t="str">
        <f t="shared" si="0"/>
        <v>X</v>
      </c>
      <c r="I60" s="40">
        <f>IF(OR(F60="",G60="",'📊 Resultat &amp; Tabell'!K61="",'📊 Resultat &amp; Tabell'!L61=""),"",IF(F60='📊 Resultat &amp; Tabell'!K61,2,0)+IF(G60='📊 Resultat &amp; Tabell'!L61,2,0))</f>
        <v>2</v>
      </c>
      <c r="J60" s="40">
        <f>IF(OR(H60="",'📊 Resultat &amp; Tabell'!M61=""),"",IF(H60='📊 Resultat &amp; Tabell'!M61,2,0))</f>
        <v>0</v>
      </c>
      <c r="K60" s="40">
        <f t="shared" si="1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82"/>
      <c r="AH60" s="82"/>
      <c r="AI60" s="82"/>
      <c r="AJ60" s="82"/>
      <c r="AK60" s="82"/>
      <c r="AL60" s="82"/>
      <c r="AM60" s="82"/>
      <c r="AN60" s="82"/>
    </row>
    <row r="61" spans="1:40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3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0</v>
      </c>
      <c r="J61" s="40">
        <f>IF(OR(H61="",'📊 Resultat &amp; Tabell'!M62=""),"",IF(H61='📊 Resultat &amp; Tabell'!M62,2,0))</f>
        <v>2</v>
      </c>
      <c r="K61" s="40">
        <f t="shared" si="1"/>
        <v>2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82"/>
      <c r="AH61" s="82"/>
      <c r="AI61" s="82"/>
      <c r="AJ61" s="82"/>
      <c r="AK61" s="82"/>
      <c r="AL61" s="82"/>
      <c r="AM61" s="82"/>
      <c r="AN61" s="82"/>
    </row>
    <row r="62" spans="1:40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2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0</v>
      </c>
      <c r="J62" s="40">
        <f>IF(OR(H62="",'📊 Resultat &amp; Tabell'!M63=""),"",IF(H62='📊 Resultat &amp; Tabell'!M63,2,0))</f>
        <v>2</v>
      </c>
      <c r="K62" s="40">
        <f t="shared" si="1"/>
        <v>2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2</v>
      </c>
      <c r="N62" s="59" cm="1">
        <f t="array" ref="N62">SUMPRODUCT(--($C$4:$C$75="I"),--(($D$4:$D$75=L62)+($E$4:$E$75=L62)&gt;0),--($F$4:$F$75=$G$4:$G$75),--($F$4:$F$75&lt;&gt;""),--($G$4:$G$75&lt;&gt;""))</f>
        <v>1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7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5</v>
      </c>
      <c r="R62" s="60">
        <f t="shared" ref="R62:R65" si="27">P62-Q62</f>
        <v>2</v>
      </c>
      <c r="S62" s="60">
        <f t="shared" ref="S62:S65" si="28">M62*3+N62</f>
        <v>7</v>
      </c>
      <c r="T62" s="71">
        <f t="shared" ref="T62:T65" si="29">S62*100000+R62*1000+P62</f>
        <v>702007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82"/>
      <c r="AH62" s="82"/>
      <c r="AI62" s="82"/>
      <c r="AJ62" s="82"/>
      <c r="AK62" s="82"/>
      <c r="AL62" s="82"/>
      <c r="AM62" s="82"/>
      <c r="AN62" s="82"/>
    </row>
    <row r="63" spans="1:40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3</v>
      </c>
      <c r="H63" s="40" t="str">
        <f t="shared" si="0"/>
        <v>2</v>
      </c>
      <c r="I63" s="40">
        <f>IF(OR(F63="",G63="",'📊 Resultat &amp; Tabell'!K64="",'📊 Resultat &amp; Tabell'!L64=""),"",IF(F63='📊 Resultat &amp; Tabell'!K64,2,0)+IF(G63='📊 Resultat &amp; Tabell'!L64,2,0))</f>
        <v>2</v>
      </c>
      <c r="J63" s="40">
        <f>IF(OR(H63="",'📊 Resultat &amp; Tabell'!M64=""),"",IF(H63='📊 Resultat &amp; Tabell'!M64,2,0))</f>
        <v>0</v>
      </c>
      <c r="K63" s="40">
        <f t="shared" si="1"/>
        <v>2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0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2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5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6</v>
      </c>
      <c r="R63" s="60">
        <f t="shared" si="27"/>
        <v>-1</v>
      </c>
      <c r="S63" s="60">
        <f t="shared" si="28"/>
        <v>3</v>
      </c>
      <c r="T63" s="71">
        <f t="shared" si="29"/>
        <v>299005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82"/>
      <c r="AH63" s="82"/>
      <c r="AI63" s="82"/>
      <c r="AJ63" s="82"/>
      <c r="AK63" s="82"/>
      <c r="AL63" s="82"/>
      <c r="AM63" s="82"/>
      <c r="AN63" s="82"/>
    </row>
    <row r="64" spans="1:40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3</v>
      </c>
      <c r="G64" s="13">
        <v>0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1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3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8</v>
      </c>
      <c r="R64" s="60">
        <f t="shared" si="27"/>
        <v>-5</v>
      </c>
      <c r="S64" s="60">
        <f t="shared" si="28"/>
        <v>0</v>
      </c>
      <c r="T64" s="71">
        <f t="shared" si="29"/>
        <v>-4997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82"/>
      <c r="AH64" s="82"/>
      <c r="AI64" s="82"/>
      <c r="AJ64" s="82"/>
      <c r="AK64" s="82"/>
      <c r="AL64" s="82"/>
      <c r="AM64" s="82"/>
      <c r="AN64" s="82"/>
    </row>
    <row r="65" spans="1:40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1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2</v>
      </c>
      <c r="J65" s="40">
        <f>IF(OR(H65="",'📊 Resultat &amp; Tabell'!M66=""),"",IF(H65='📊 Resultat &amp; Tabell'!M66,2,0))</f>
        <v>2</v>
      </c>
      <c r="K65" s="40">
        <f t="shared" si="1"/>
        <v>4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2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0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7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3</v>
      </c>
      <c r="R65" s="60">
        <f t="shared" si="27"/>
        <v>4</v>
      </c>
      <c r="S65" s="60">
        <f t="shared" si="28"/>
        <v>7</v>
      </c>
      <c r="T65" s="71">
        <f t="shared" si="29"/>
        <v>704007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82"/>
      <c r="AH65" s="82"/>
      <c r="AI65" s="82"/>
      <c r="AJ65" s="82"/>
      <c r="AK65" s="82"/>
      <c r="AL65" s="82"/>
      <c r="AM65" s="82"/>
      <c r="AN65" s="82"/>
    </row>
    <row r="66" spans="1:40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0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2</v>
      </c>
      <c r="J66" s="40">
        <f>IF(OR(H66="",'📊 Resultat &amp; Tabell'!M67=""),"",IF(H66='📊 Resultat &amp; Tabell'!M67,2,0))</f>
        <v>2</v>
      </c>
      <c r="K66" s="40">
        <f t="shared" si="1"/>
        <v>4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82"/>
      <c r="AH66" s="82"/>
      <c r="AI66" s="82"/>
      <c r="AJ66" s="82"/>
      <c r="AK66" s="82"/>
      <c r="AL66" s="82"/>
      <c r="AM66" s="82"/>
      <c r="AN66" s="82"/>
    </row>
    <row r="67" spans="1:40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2</v>
      </c>
      <c r="G67" s="13">
        <v>1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0</v>
      </c>
      <c r="J67" s="40">
        <f>IF(OR(H67="",'📊 Resultat &amp; Tabell'!M68=""),"",IF(H67='📊 Resultat &amp; Tabell'!M68,2,0))</f>
        <v>2</v>
      </c>
      <c r="K67" s="40">
        <f t="shared" si="1"/>
        <v>2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82"/>
      <c r="AH67" s="82"/>
      <c r="AI67" s="82"/>
      <c r="AJ67" s="82"/>
      <c r="AK67" s="82"/>
      <c r="AL67" s="82"/>
      <c r="AM67" s="82"/>
      <c r="AN67" s="82"/>
    </row>
    <row r="68" spans="1:40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2</v>
      </c>
      <c r="G68" s="13">
        <v>3</v>
      </c>
      <c r="H68" s="40" t="str">
        <f t="shared" ref="H68:H107" si="30">IF(OR(F68="",G68=""),"",IF(F68&gt;G68,"1",IF(F68&lt;G68,"2","X")))</f>
        <v>2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0</v>
      </c>
      <c r="K68" s="40">
        <f t="shared" ref="K68:K107" si="31">IF(AND(I68="",J68=""),"",N(I68)+N(J68))</f>
        <v>0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82"/>
      <c r="AH68" s="82"/>
      <c r="AI68" s="82"/>
      <c r="AJ68" s="82"/>
      <c r="AK68" s="82"/>
      <c r="AL68" s="82"/>
      <c r="AM68" s="82"/>
      <c r="AN68" s="82"/>
    </row>
    <row r="69" spans="1:40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1</v>
      </c>
      <c r="H69" s="40" t="str">
        <f t="shared" si="30"/>
        <v>X</v>
      </c>
      <c r="I69" s="40">
        <f>IF(OR(F69="",G69="",'📊 Resultat &amp; Tabell'!K70="",'📊 Resultat &amp; Tabell'!L70=""),"",IF(F69='📊 Resultat &amp; Tabell'!K70,2,0)+IF(G69='📊 Resultat &amp; Tabell'!L70,2,0))</f>
        <v>2</v>
      </c>
      <c r="J69" s="40">
        <f>IF(OR(H69="",'📊 Resultat &amp; Tabell'!M70=""),"",IF(H69='📊 Resultat &amp; Tabell'!M70,2,0))</f>
        <v>0</v>
      </c>
      <c r="K69" s="40">
        <f t="shared" si="31"/>
        <v>2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7</v>
      </c>
      <c r="S69" s="60">
        <f t="shared" ref="S69:S72" si="33">M69*3+N69</f>
        <v>9</v>
      </c>
      <c r="T69" s="71">
        <f t="shared" ref="T69:T72" si="34">S69*100000+R69*1000+P69</f>
        <v>907008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82"/>
      <c r="AH69" s="82"/>
      <c r="AI69" s="82"/>
      <c r="AJ69" s="82"/>
      <c r="AK69" s="82"/>
      <c r="AL69" s="82"/>
      <c r="AM69" s="82"/>
      <c r="AN69" s="82"/>
    </row>
    <row r="70" spans="1:40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3</v>
      </c>
      <c r="G70" s="13">
        <v>2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2</v>
      </c>
      <c r="J70" s="40">
        <f>IF(OR(H70="",'📊 Resultat &amp; Tabell'!M71=""),"",IF(H70='📊 Resultat &amp; Tabell'!M71,2,0))</f>
        <v>2</v>
      </c>
      <c r="K70" s="40">
        <f t="shared" si="31"/>
        <v>4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1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2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2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7</v>
      </c>
      <c r="R70" s="60">
        <f t="shared" si="32"/>
        <v>-5</v>
      </c>
      <c r="S70" s="60">
        <f t="shared" si="33"/>
        <v>1</v>
      </c>
      <c r="T70" s="71">
        <f t="shared" si="34"/>
        <v>95002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82"/>
      <c r="AH70" s="82"/>
      <c r="AI70" s="82"/>
      <c r="AJ70" s="82"/>
      <c r="AK70" s="82"/>
      <c r="AL70" s="82"/>
      <c r="AM70" s="82"/>
      <c r="AN70" s="82"/>
    </row>
    <row r="71" spans="1:40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1</v>
      </c>
      <c r="G71" s="13">
        <v>2</v>
      </c>
      <c r="H71" s="40" t="str">
        <f t="shared" si="30"/>
        <v>2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0</v>
      </c>
      <c r="K71" s="40">
        <f t="shared" si="31"/>
        <v>2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2</v>
      </c>
      <c r="N71" s="59" cm="1">
        <f t="array" ref="N71">SUMPRODUCT(--($C$4:$C$75="J"),--(($D$4:$D$75=L71)+($E$4:$E$75=L71)&gt;0),--($F$4:$F$75=$G$4:$G$75),--($F$4:$F$75&lt;&gt;""),--($G$4:$G$75&lt;&gt;""))</f>
        <v>0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6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4</v>
      </c>
      <c r="R71" s="60">
        <f t="shared" si="32"/>
        <v>2</v>
      </c>
      <c r="S71" s="60">
        <f t="shared" si="33"/>
        <v>6</v>
      </c>
      <c r="T71" s="71">
        <f t="shared" si="34"/>
        <v>602006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82"/>
      <c r="AH71" s="82"/>
      <c r="AI71" s="82"/>
      <c r="AJ71" s="82"/>
      <c r="AK71" s="82"/>
      <c r="AL71" s="82"/>
      <c r="AM71" s="82"/>
      <c r="AN71" s="82"/>
    </row>
    <row r="72" spans="1:40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1</v>
      </c>
      <c r="G72" s="13">
        <v>3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0</v>
      </c>
      <c r="J72" s="40">
        <f>IF(OR(H72="",'📊 Resultat &amp; Tabell'!M73=""),"",IF(H72='📊 Resultat &amp; Tabell'!M73,2,0))</f>
        <v>2</v>
      </c>
      <c r="K72" s="40">
        <f t="shared" si="31"/>
        <v>2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1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5</v>
      </c>
      <c r="R72" s="60">
        <f t="shared" si="32"/>
        <v>-4</v>
      </c>
      <c r="S72" s="60">
        <f t="shared" si="33"/>
        <v>1</v>
      </c>
      <c r="T72" s="71">
        <f t="shared" si="34"/>
        <v>96001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82"/>
      <c r="AH72" s="82"/>
      <c r="AI72" s="82"/>
      <c r="AJ72" s="82"/>
      <c r="AK72" s="82"/>
      <c r="AL72" s="82"/>
      <c r="AM72" s="82"/>
      <c r="AN72" s="82"/>
    </row>
    <row r="73" spans="1:40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2</v>
      </c>
      <c r="G73" s="13">
        <v>0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2</v>
      </c>
      <c r="J73" s="40">
        <f>IF(OR(H73="",'📊 Resultat &amp; Tabell'!M74=""),"",IF(H73='📊 Resultat &amp; Tabell'!M74,2,0))</f>
        <v>0</v>
      </c>
      <c r="K73" s="40">
        <f t="shared" si="31"/>
        <v>2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2"/>
      <c r="AH73" s="82"/>
      <c r="AI73" s="82"/>
      <c r="AJ73" s="82"/>
      <c r="AK73" s="82"/>
      <c r="AL73" s="82"/>
      <c r="AM73" s="82"/>
      <c r="AN73" s="82"/>
    </row>
    <row r="74" spans="1:40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1</v>
      </c>
      <c r="G74" s="13">
        <v>3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0</v>
      </c>
      <c r="J74" s="40">
        <f>IF(OR(H74="",'📊 Resultat &amp; Tabell'!M75=""),"",IF(H74='📊 Resultat &amp; Tabell'!M75,2,0))</f>
        <v>2</v>
      </c>
      <c r="K74" s="40">
        <f t="shared" si="31"/>
        <v>2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2"/>
      <c r="AH74" s="82"/>
      <c r="AI74" s="82"/>
      <c r="AJ74" s="82"/>
      <c r="AK74" s="82"/>
      <c r="AL74" s="82"/>
      <c r="AM74" s="82"/>
      <c r="AN74" s="82"/>
    </row>
    <row r="75" spans="1:40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1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4</v>
      </c>
      <c r="J75" s="40">
        <f>IF(OR(H75="",'📊 Resultat &amp; Tabell'!M76=""),"",IF(H75='📊 Resultat &amp; Tabell'!M76,2,0))</f>
        <v>2</v>
      </c>
      <c r="K75" s="40">
        <f t="shared" si="31"/>
        <v>6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2"/>
      <c r="AH75" s="82"/>
      <c r="AI75" s="82"/>
      <c r="AJ75" s="82"/>
      <c r="AK75" s="82"/>
      <c r="AL75" s="82"/>
      <c r="AM75" s="82"/>
      <c r="AN75" s="82"/>
    </row>
    <row r="76" spans="1:40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/>
      <c r="G76" s="13"/>
      <c r="H76" s="40" t="str">
        <f t="shared" si="30"/>
        <v/>
      </c>
      <c r="I76" s="40" t="str">
        <f>IF(OR(F76="",G76="",'📊 Resultat &amp; Tabell'!K77="",'📊 Resultat &amp; Tabell'!L77=""),"",IF(F76='📊 Resultat &amp; Tabell'!K77,2,0)+IF(G76='📊 Resultat &amp; Tabell'!L77,2,0))</f>
        <v/>
      </c>
      <c r="J76" s="40" t="str">
        <f>IF(OR(H76="",'📊 Resultat &amp; Tabell'!M77=""),"",IF(H76='📊 Resultat &amp; Tabell'!M77,2,0))</f>
        <v/>
      </c>
      <c r="K76" s="40" t="str">
        <f t="shared" si="31"/>
        <v/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3</v>
      </c>
      <c r="N76" s="59" cm="1">
        <f t="array" ref="N76">SUMPRODUCT(--($C$4:$C$75="K"),--(($D$4:$D$75=L76)+($E$4:$E$75=L76)&gt;0),--($F$4:$F$75=$G$4:$G$75),--($F$4:$F$75&lt;&gt;""),--($G$4:$G$75&lt;&gt;""))</f>
        <v>0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8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3</v>
      </c>
      <c r="R76" s="60">
        <f t="shared" ref="R76:R79" si="35">P76-Q76</f>
        <v>5</v>
      </c>
      <c r="S76" s="60">
        <f t="shared" ref="S76:S79" si="36">M76*3+N76</f>
        <v>9</v>
      </c>
      <c r="T76" s="71">
        <f t="shared" ref="T76:T79" si="37">S76*100000+R76*1000+P76</f>
        <v>905008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2"/>
      <c r="AH76" s="82"/>
      <c r="AI76" s="82"/>
      <c r="AJ76" s="82"/>
      <c r="AK76" s="82"/>
      <c r="AL76" s="82"/>
      <c r="AM76" s="82"/>
      <c r="AN76" s="82"/>
    </row>
    <row r="77" spans="1:40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/>
      <c r="G77" s="13"/>
      <c r="H77" s="40" t="str">
        <f t="shared" si="30"/>
        <v/>
      </c>
      <c r="I77" s="40" t="str">
        <f>IF(OR(F77="",G77="",'📊 Resultat &amp; Tabell'!K78="",'📊 Resultat &amp; Tabell'!L78=""),"",IF(F77='📊 Resultat &amp; Tabell'!K78,2,0)+IF(G77='📊 Resultat &amp; Tabell'!L78,2,0))</f>
        <v/>
      </c>
      <c r="J77" s="40" t="str">
        <f>IF(OR(H77="",'📊 Resultat &amp; Tabell'!M78=""),"",IF(H77='📊 Resultat &amp; Tabell'!M78,2,0))</f>
        <v/>
      </c>
      <c r="K77" s="40" t="str">
        <f t="shared" si="31"/>
        <v/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1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1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6</v>
      </c>
      <c r="R77" s="60">
        <f t="shared" si="35"/>
        <v>-5</v>
      </c>
      <c r="S77" s="60">
        <f t="shared" si="36"/>
        <v>1</v>
      </c>
      <c r="T77" s="71">
        <f t="shared" si="37"/>
        <v>95001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2"/>
      <c r="AH77" s="82"/>
      <c r="AI77" s="82"/>
      <c r="AJ77" s="82"/>
      <c r="AK77" s="82"/>
      <c r="AL77" s="82"/>
      <c r="AM77" s="82"/>
      <c r="AN77" s="82"/>
    </row>
    <row r="78" spans="1:40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/>
      <c r="G78" s="13"/>
      <c r="H78" s="40" t="str">
        <f t="shared" si="30"/>
        <v/>
      </c>
      <c r="I78" s="40" t="str">
        <f>IF(OR(F78="",G78="",'📊 Resultat &amp; Tabell'!K79="",'📊 Resultat &amp; Tabell'!L79=""),"",IF(F78='📊 Resultat &amp; Tabell'!K79,2,0)+IF(G78='📊 Resultat &amp; Tabell'!L79,2,0))</f>
        <v/>
      </c>
      <c r="J78" s="40" t="str">
        <f>IF(OR(H78="",'📊 Resultat &amp; Tabell'!M79=""),"",IF(H78='📊 Resultat &amp; Tabell'!M79,2,0))</f>
        <v/>
      </c>
      <c r="K78" s="40" t="str">
        <f t="shared" si="31"/>
        <v/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1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3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5</v>
      </c>
      <c r="R78" s="60">
        <f t="shared" si="35"/>
        <v>-2</v>
      </c>
      <c r="S78" s="60">
        <f t="shared" si="36"/>
        <v>1</v>
      </c>
      <c r="T78" s="71">
        <f t="shared" si="37"/>
        <v>98003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2"/>
      <c r="AH78" s="82"/>
      <c r="AI78" s="82"/>
      <c r="AJ78" s="82"/>
      <c r="AK78" s="82"/>
      <c r="AL78" s="82"/>
      <c r="AM78" s="82"/>
      <c r="AN78" s="82"/>
    </row>
    <row r="79" spans="1:40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/>
      <c r="G79" s="13"/>
      <c r="H79" s="40" t="str">
        <f t="shared" si="30"/>
        <v/>
      </c>
      <c r="I79" s="40" t="str">
        <f>IF(OR(F79="",G79="",'📊 Resultat &amp; Tabell'!K80="",'📊 Resultat &amp; Tabell'!L80=""),"",IF(F79='📊 Resultat &amp; Tabell'!K80,2,0)+IF(G79='📊 Resultat &amp; Tabell'!L80,2,0))</f>
        <v/>
      </c>
      <c r="J79" s="40" t="str">
        <f>IF(OR(H79="",'📊 Resultat &amp; Tabell'!M80=""),"",IF(H79='📊 Resultat &amp; Tabell'!M80,2,0))</f>
        <v/>
      </c>
      <c r="K79" s="40" t="str">
        <f t="shared" si="31"/>
        <v/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0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1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6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4</v>
      </c>
      <c r="R79" s="60">
        <f t="shared" si="35"/>
        <v>2</v>
      </c>
      <c r="S79" s="60">
        <f t="shared" si="36"/>
        <v>6</v>
      </c>
      <c r="T79" s="71">
        <f t="shared" si="37"/>
        <v>602006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2"/>
      <c r="AH79" s="82"/>
      <c r="AI79" s="82"/>
      <c r="AJ79" s="82"/>
      <c r="AK79" s="82"/>
      <c r="AL79" s="82"/>
      <c r="AM79" s="82"/>
      <c r="AN79" s="82"/>
    </row>
    <row r="80" spans="1:40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/>
      <c r="G80" s="13"/>
      <c r="H80" s="40" t="str">
        <f t="shared" si="30"/>
        <v/>
      </c>
      <c r="I80" s="40" t="str">
        <f>IF(OR(F80="",G80="",'📊 Resultat &amp; Tabell'!K81="",'📊 Resultat &amp; Tabell'!L81=""),"",IF(F80='📊 Resultat &amp; Tabell'!K81,2,0)+IF(G80='📊 Resultat &amp; Tabell'!L81,2,0))</f>
        <v/>
      </c>
      <c r="J80" s="40" t="str">
        <f>IF(OR(H80="",'📊 Resultat &amp; Tabell'!M81=""),"",IF(H80='📊 Resultat &amp; Tabell'!M81,2,0))</f>
        <v/>
      </c>
      <c r="K80" s="40" t="str">
        <f t="shared" si="31"/>
        <v/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2"/>
      <c r="AH80" s="82"/>
      <c r="AI80" s="82"/>
      <c r="AJ80" s="82"/>
      <c r="AK80" s="82"/>
      <c r="AL80" s="82"/>
      <c r="AM80" s="82"/>
      <c r="AN80" s="82"/>
    </row>
    <row r="81" spans="1:40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/>
      <c r="G81" s="13"/>
      <c r="H81" s="40" t="str">
        <f t="shared" si="30"/>
        <v/>
      </c>
      <c r="I81" s="40" t="str">
        <f>IF(OR(F81="",G81="",'📊 Resultat &amp; Tabell'!K82="",'📊 Resultat &amp; Tabell'!L82=""),"",IF(F81='📊 Resultat &amp; Tabell'!K82,2,0)+IF(G81='📊 Resultat &amp; Tabell'!L82,2,0))</f>
        <v/>
      </c>
      <c r="J81" s="40" t="str">
        <f>IF(OR(H81="",'📊 Resultat &amp; Tabell'!M82=""),"",IF(H81='📊 Resultat &amp; Tabell'!M82,2,0))</f>
        <v/>
      </c>
      <c r="K81" s="40" t="str">
        <f t="shared" si="31"/>
        <v/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2"/>
      <c r="AH81" s="82"/>
      <c r="AI81" s="82"/>
      <c r="AJ81" s="82"/>
      <c r="AK81" s="82"/>
      <c r="AL81" s="82"/>
      <c r="AM81" s="82"/>
      <c r="AN81" s="82"/>
    </row>
    <row r="82" spans="1:40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/>
      <c r="G82" s="13"/>
      <c r="H82" s="40" t="str">
        <f t="shared" si="30"/>
        <v/>
      </c>
      <c r="I82" s="40" t="str">
        <f>IF(OR(F82="",G82="",'📊 Resultat &amp; Tabell'!K83="",'📊 Resultat &amp; Tabell'!L83=""),"",IF(F82='📊 Resultat &amp; Tabell'!K83,2,0)+IF(G82='📊 Resultat &amp; Tabell'!L83,2,0))</f>
        <v/>
      </c>
      <c r="J82" s="40" t="str">
        <f>IF(OR(H82="",'📊 Resultat &amp; Tabell'!M83=""),"",IF(H82='📊 Resultat &amp; Tabell'!M83,2,0))</f>
        <v/>
      </c>
      <c r="K82" s="40" t="str">
        <f t="shared" si="31"/>
        <v/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2"/>
      <c r="AH82" s="82"/>
      <c r="AI82" s="82"/>
      <c r="AJ82" s="82"/>
      <c r="AK82" s="82"/>
      <c r="AL82" s="82"/>
      <c r="AM82" s="82"/>
      <c r="AN82" s="82"/>
    </row>
    <row r="83" spans="1:40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/>
      <c r="G83" s="13"/>
      <c r="H83" s="40" t="str">
        <f t="shared" si="30"/>
        <v/>
      </c>
      <c r="I83" s="40" t="str">
        <f>IF(OR(F83="",G83="",'📊 Resultat &amp; Tabell'!K84="",'📊 Resultat &amp; Tabell'!L84=""),"",IF(F83='📊 Resultat &amp; Tabell'!K84,2,0)+IF(G83='📊 Resultat &amp; Tabell'!L84,2,0))</f>
        <v/>
      </c>
      <c r="J83" s="40" t="str">
        <f>IF(OR(H83="",'📊 Resultat &amp; Tabell'!M84=""),"",IF(H83='📊 Resultat &amp; Tabell'!M84,2,0))</f>
        <v/>
      </c>
      <c r="K83" s="40" t="str">
        <f t="shared" si="31"/>
        <v/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8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3</v>
      </c>
      <c r="R83" s="60">
        <f t="shared" ref="R83:R86" si="38">P83-Q83</f>
        <v>5</v>
      </c>
      <c r="S83" s="60">
        <f t="shared" ref="S83:S86" si="39">M83*3+N83</f>
        <v>9</v>
      </c>
      <c r="T83" s="71">
        <f t="shared" ref="T83:T86" si="40">S83*100000+R83*1000+P83</f>
        <v>905008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2"/>
      <c r="AH83" s="82"/>
      <c r="AI83" s="82"/>
      <c r="AJ83" s="82"/>
      <c r="AK83" s="82"/>
      <c r="AL83" s="82"/>
      <c r="AM83" s="82"/>
      <c r="AN83" s="82"/>
    </row>
    <row r="84" spans="1:40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/>
      <c r="G84" s="13"/>
      <c r="H84" s="40" t="str">
        <f t="shared" si="30"/>
        <v/>
      </c>
      <c r="I84" s="40" t="str">
        <f>IF(OR(F84="",G84="",'📊 Resultat &amp; Tabell'!K85="",'📊 Resultat &amp; Tabell'!L85=""),"",IF(F84='📊 Resultat &amp; Tabell'!K85,2,0)+IF(G84='📊 Resultat &amp; Tabell'!L85,2,0))</f>
        <v/>
      </c>
      <c r="J84" s="40" t="str">
        <f>IF(OR(H84="",'📊 Resultat &amp; Tabell'!M85=""),"",IF(H84='📊 Resultat &amp; Tabell'!M85,2,0))</f>
        <v/>
      </c>
      <c r="K84" s="40" t="str">
        <f t="shared" si="31"/>
        <v/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2</v>
      </c>
      <c r="N84" s="59" cm="1">
        <f t="array" ref="N84">SUMPRODUCT(--($C$4:$C$75="L"),--(($D$4:$D$75=L84)+($E$4:$E$75=L84)&gt;0),--($F$4:$F$75=$G$4:$G$75),--($F$4:$F$75&lt;&gt;""),--($G$4:$G$75&lt;&gt;""))</f>
        <v>0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7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5</v>
      </c>
      <c r="R84" s="60">
        <f t="shared" si="38"/>
        <v>2</v>
      </c>
      <c r="S84" s="60">
        <f t="shared" si="39"/>
        <v>6</v>
      </c>
      <c r="T84" s="71">
        <f t="shared" si="40"/>
        <v>602007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2"/>
      <c r="AH84" s="82"/>
      <c r="AI84" s="82"/>
      <c r="AJ84" s="82"/>
      <c r="AK84" s="82"/>
      <c r="AL84" s="82"/>
      <c r="AM84" s="82"/>
      <c r="AN84" s="82"/>
    </row>
    <row r="85" spans="1:40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/>
      <c r="G85" s="13"/>
      <c r="H85" s="40" t="str">
        <f t="shared" si="30"/>
        <v/>
      </c>
      <c r="I85" s="40" t="str">
        <f>IF(OR(F85="",G85="",'📊 Resultat &amp; Tabell'!K86="",'📊 Resultat &amp; Tabell'!L86=""),"",IF(F85='📊 Resultat &amp; Tabell'!K86,2,0)+IF(G85='📊 Resultat &amp; Tabell'!L86,2,0))</f>
        <v/>
      </c>
      <c r="J85" s="40" t="str">
        <f>IF(OR(H85="",'📊 Resultat &amp; Tabell'!M86=""),"",IF(H85='📊 Resultat &amp; Tabell'!M86,2,0))</f>
        <v/>
      </c>
      <c r="K85" s="40" t="str">
        <f t="shared" si="31"/>
        <v/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0</v>
      </c>
      <c r="N85" s="59" cm="1">
        <f t="array" ref="N85">SUMPRODUCT(--($C$4:$C$75="L"),--(($D$4:$D$75=L85)+($E$4:$E$75=L85)&gt;0),--($F$4:$F$75=$G$4:$G$75),--($F$4:$F$75&lt;&gt;""),--($G$4:$G$75&lt;&gt;""))</f>
        <v>0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3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2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6</v>
      </c>
      <c r="R85" s="60">
        <f t="shared" si="38"/>
        <v>-4</v>
      </c>
      <c r="S85" s="60">
        <f t="shared" si="39"/>
        <v>0</v>
      </c>
      <c r="T85" s="71">
        <f t="shared" si="40"/>
        <v>-3998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2"/>
      <c r="AH85" s="82"/>
      <c r="AI85" s="82"/>
      <c r="AJ85" s="82"/>
      <c r="AK85" s="82"/>
      <c r="AL85" s="82"/>
      <c r="AM85" s="82"/>
      <c r="AN85" s="82"/>
    </row>
    <row r="86" spans="1:40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/>
      <c r="G86" s="13"/>
      <c r="H86" s="40" t="str">
        <f t="shared" si="30"/>
        <v/>
      </c>
      <c r="I86" s="40" t="str">
        <f>IF(OR(F86="",G86="",'📊 Resultat &amp; Tabell'!K87="",'📊 Resultat &amp; Tabell'!L87=""),"",IF(F86='📊 Resultat &amp; Tabell'!K87,2,0)+IF(G86='📊 Resultat &amp; Tabell'!L87,2,0))</f>
        <v/>
      </c>
      <c r="J86" s="40" t="str">
        <f>IF(OR(H86="",'📊 Resultat &amp; Tabell'!M87=""),"",IF(H86='📊 Resultat &amp; Tabell'!M87,2,0))</f>
        <v/>
      </c>
      <c r="K86" s="40" t="str">
        <f t="shared" si="31"/>
        <v/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1</v>
      </c>
      <c r="N86" s="59" cm="1">
        <f t="array" ref="N86">SUMPRODUCT(--($C$4:$C$75="L"),--(($D$4:$D$75=L86)+($E$4:$E$75=L86)&gt;0),--($F$4:$F$75=$G$4:$G$75),--($F$4:$F$75&lt;&gt;""),--($G$4:$G$75&lt;&gt;""))</f>
        <v>0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2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4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7</v>
      </c>
      <c r="R86" s="60">
        <f t="shared" si="38"/>
        <v>-3</v>
      </c>
      <c r="S86" s="60">
        <f t="shared" si="39"/>
        <v>3</v>
      </c>
      <c r="T86" s="71">
        <f t="shared" si="40"/>
        <v>297004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2"/>
      <c r="AH86" s="82"/>
      <c r="AI86" s="82"/>
      <c r="AJ86" s="82"/>
      <c r="AK86" s="82"/>
      <c r="AL86" s="82"/>
      <c r="AM86" s="82"/>
      <c r="AN86" s="82"/>
    </row>
    <row r="87" spans="1:40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/>
      <c r="G87" s="13"/>
      <c r="H87" s="40" t="str">
        <f t="shared" si="30"/>
        <v/>
      </c>
      <c r="I87" s="40" t="str">
        <f>IF(OR(F87="",G87="",'📊 Resultat &amp; Tabell'!K88="",'📊 Resultat &amp; Tabell'!L88=""),"",IF(F87='📊 Resultat &amp; Tabell'!K88,2,0)+IF(G87='📊 Resultat &amp; Tabell'!L88,2,0))</f>
        <v/>
      </c>
      <c r="J87" s="40" t="str">
        <f>IF(OR(H87="",'📊 Resultat &amp; Tabell'!M88=""),"",IF(H87='📊 Resultat &amp; Tabell'!M88,2,0))</f>
        <v/>
      </c>
      <c r="K87" s="40" t="str">
        <f t="shared" si="31"/>
        <v/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2"/>
      <c r="AH87" s="82"/>
      <c r="AI87" s="82"/>
      <c r="AJ87" s="82"/>
      <c r="AK87" s="82"/>
      <c r="AL87" s="82"/>
      <c r="AM87" s="82"/>
      <c r="AN87" s="82"/>
    </row>
    <row r="88" spans="1:40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/>
      <c r="G88" s="13"/>
      <c r="H88" s="40" t="str">
        <f t="shared" si="30"/>
        <v/>
      </c>
      <c r="I88" s="40" t="str">
        <f>IF(OR(F88="",G88="",'📊 Resultat &amp; Tabell'!K89="",'📊 Resultat &amp; Tabell'!L89=""),"",IF(F88='📊 Resultat &amp; Tabell'!K89,2,0)+IF(G88='📊 Resultat &amp; Tabell'!L89,2,0))</f>
        <v/>
      </c>
      <c r="J88" s="40" t="str">
        <f>IF(OR(H88="",'📊 Resultat &amp; Tabell'!M89=""),"",IF(H88='📊 Resultat &amp; Tabell'!M89,2,0))</f>
        <v/>
      </c>
      <c r="K88" s="40" t="str">
        <f t="shared" si="31"/>
        <v/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2"/>
      <c r="AH88" s="82"/>
      <c r="AI88" s="82"/>
      <c r="AJ88" s="82"/>
      <c r="AK88" s="82"/>
      <c r="AL88" s="82"/>
      <c r="AM88" s="82"/>
      <c r="AN88" s="82"/>
    </row>
    <row r="89" spans="1:40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/>
      <c r="G89" s="13"/>
      <c r="H89" s="40" t="str">
        <f t="shared" si="30"/>
        <v/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2"/>
      <c r="AH89" s="82"/>
      <c r="AI89" s="82"/>
      <c r="AJ89" s="82"/>
      <c r="AK89" s="82"/>
      <c r="AL89" s="82"/>
      <c r="AM89" s="82"/>
      <c r="AN89" s="82"/>
    </row>
    <row r="90" spans="1:40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/>
      <c r="G90" s="13"/>
      <c r="H90" s="40" t="str">
        <f t="shared" si="30"/>
        <v/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2"/>
      <c r="AH90" s="82"/>
      <c r="AI90" s="82"/>
      <c r="AJ90" s="82"/>
      <c r="AK90" s="82"/>
      <c r="AL90" s="82"/>
      <c r="AM90" s="82"/>
      <c r="AN90" s="82"/>
    </row>
    <row r="91" spans="1:40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/>
      <c r="G91" s="13"/>
      <c r="H91" s="40" t="str">
        <f t="shared" si="30"/>
        <v/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2"/>
      <c r="AH91" s="82"/>
      <c r="AI91" s="82"/>
      <c r="AJ91" s="82"/>
      <c r="AK91" s="82"/>
      <c r="AL91" s="82"/>
      <c r="AM91" s="82"/>
      <c r="AN91" s="82"/>
    </row>
    <row r="92" spans="1:40">
      <c r="A92" s="76">
        <v>89</v>
      </c>
      <c r="B92" s="81" t="s">
        <v>192</v>
      </c>
      <c r="C92" s="76"/>
      <c r="D92" s="76" t="str">
        <f>IF(OR(F76="",G76=""),"",IF(F76&gt;G76,D76,IF(F76&lt;G76,E76,"")))</f>
        <v/>
      </c>
      <c r="E92" s="76" t="str">
        <f>IF(OR(F78="",G78=""),"",IF(F78&gt;G78,D78,IF(F78&lt;G78,E78,"")))</f>
        <v/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2"/>
      <c r="AH92" s="82"/>
      <c r="AI92" s="82"/>
      <c r="AJ92" s="82"/>
      <c r="AK92" s="82"/>
      <c r="AL92" s="82"/>
      <c r="AM92" s="82"/>
      <c r="AN92" s="82"/>
    </row>
    <row r="93" spans="1:40">
      <c r="A93" s="33">
        <v>90</v>
      </c>
      <c r="B93" s="41" t="s">
        <v>192</v>
      </c>
      <c r="C93" s="33"/>
      <c r="D93" s="75" t="str">
        <f>IF(OR(F77="",G77=""),"",IF(F77&gt;G77,D77,IF(F77&lt;G77,E77,"")))</f>
        <v/>
      </c>
      <c r="E93" s="78" t="str">
        <f>IF(OR(F80="",G80=""),"",IF(F80&gt;G80,D80,IF(F80&lt;G80,E80,"")))</f>
        <v/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2"/>
      <c r="AH93" s="82"/>
      <c r="AI93" s="82"/>
      <c r="AJ93" s="82"/>
      <c r="AK93" s="82"/>
      <c r="AL93" s="82"/>
      <c r="AM93" s="82"/>
      <c r="AN93" s="82"/>
    </row>
    <row r="94" spans="1:40">
      <c r="A94" s="76">
        <v>91</v>
      </c>
      <c r="B94" s="81" t="s">
        <v>192</v>
      </c>
      <c r="C94" s="76"/>
      <c r="D94" s="76" t="str">
        <f>IF(OR(F79="",G79=""),"",IF(F79&gt;G79,D79,IF(F79&lt;G79,E79,"")))</f>
        <v/>
      </c>
      <c r="E94" s="76" t="str">
        <f>IF(OR(F81="",G81=""),"",IF(F81&gt;G81,D81,IF(F81&lt;G81,E81,"")))</f>
        <v/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2"/>
      <c r="AH94" s="82"/>
      <c r="AI94" s="82"/>
      <c r="AJ94" s="82"/>
      <c r="AK94" s="82"/>
      <c r="AL94" s="82"/>
      <c r="AM94" s="82"/>
      <c r="AN94" s="82"/>
    </row>
    <row r="95" spans="1:40">
      <c r="A95" s="33">
        <v>92</v>
      </c>
      <c r="B95" s="41" t="s">
        <v>192</v>
      </c>
      <c r="C95" s="33"/>
      <c r="D95" s="75" t="str">
        <f>IF(OR(F82="",G82=""),"",IF(F82&gt;G82,D82,IF(F82&lt;G82,E82,"")))</f>
        <v/>
      </c>
      <c r="E95" s="78" t="str">
        <f>IF(OR(F83="",G83=""),"",IF(F83&gt;G83,D83,IF(F83&lt;G83,E83,"")))</f>
        <v/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2"/>
      <c r="AH95" s="82"/>
      <c r="AI95" s="82"/>
      <c r="AJ95" s="82"/>
      <c r="AK95" s="82"/>
      <c r="AL95" s="82"/>
      <c r="AM95" s="82"/>
      <c r="AN95" s="82"/>
    </row>
    <row r="96" spans="1:40">
      <c r="A96" s="76">
        <v>93</v>
      </c>
      <c r="B96" s="81" t="s">
        <v>192</v>
      </c>
      <c r="C96" s="76"/>
      <c r="D96" s="76" t="str">
        <f>IF(OR(F86="",G86=""),"",IF(F86&gt;G86,D86,IF(F86&lt;G86,E86,"")))</f>
        <v/>
      </c>
      <c r="E96" s="76" t="str">
        <f>IF(OR(F87="",G87=""),"",IF(F87&gt;G87,D87,IF(F87&lt;G87,E87,"")))</f>
        <v/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2"/>
      <c r="AH96" s="82"/>
      <c r="AI96" s="82"/>
      <c r="AJ96" s="82"/>
      <c r="AK96" s="82"/>
      <c r="AL96" s="82"/>
      <c r="AM96" s="82"/>
      <c r="AN96" s="82"/>
    </row>
    <row r="97" spans="1:40">
      <c r="A97" s="33">
        <v>94</v>
      </c>
      <c r="B97" s="41" t="s">
        <v>192</v>
      </c>
      <c r="C97" s="33"/>
      <c r="D97" s="75" t="str">
        <f>IF(OR(F84="",G84=""),"",IF(F84&gt;G84,D84,IF(F84&lt;G84,E84,"")))</f>
        <v/>
      </c>
      <c r="E97" s="78" t="str">
        <f>IF(OR(F85="",G85=""),"",IF(F85&gt;G85,D85,IF(F85&lt;G85,E85,"")))</f>
        <v/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2"/>
      <c r="AH97" s="82"/>
      <c r="AI97" s="82"/>
      <c r="AJ97" s="82"/>
      <c r="AK97" s="82"/>
      <c r="AL97" s="82"/>
      <c r="AM97" s="82"/>
      <c r="AN97" s="82"/>
    </row>
    <row r="98" spans="1:40">
      <c r="A98" s="76">
        <v>95</v>
      </c>
      <c r="B98" s="81" t="s">
        <v>192</v>
      </c>
      <c r="C98" s="76"/>
      <c r="D98" s="76" t="str">
        <f>IF(OR(F89="",G89=""),"",IF(F89&gt;G89,D89,IF(F89&lt;G89,E89,"")))</f>
        <v/>
      </c>
      <c r="E98" s="76" t="str">
        <f>IF(OR(F91="",G91=""),"",IF(F91&gt;G91,D91,IF(F91&lt;G91,E91,"")))</f>
        <v/>
      </c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2"/>
      <c r="AH98" s="82"/>
      <c r="AI98" s="82"/>
      <c r="AJ98" s="82"/>
      <c r="AK98" s="82"/>
      <c r="AL98" s="82"/>
      <c r="AM98" s="82"/>
      <c r="AN98" s="82"/>
    </row>
    <row r="99" spans="1:40">
      <c r="A99" s="33">
        <v>96</v>
      </c>
      <c r="B99" s="41" t="s">
        <v>192</v>
      </c>
      <c r="C99" s="33"/>
      <c r="D99" s="75" t="str">
        <f>IF(OR(F88="",G88=""),"",IF(F88&gt;G88,D88,IF(F88&lt;G88,E88,"")))</f>
        <v/>
      </c>
      <c r="E99" s="78" t="str">
        <f>IF(OR(F90="",G90=""),"",IF(F90&gt;G90,D90,IF(F90&lt;G90,E90,"")))</f>
        <v/>
      </c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2"/>
      <c r="AH99" s="82"/>
      <c r="AI99" s="82"/>
      <c r="AJ99" s="82"/>
      <c r="AK99" s="82"/>
      <c r="AL99" s="82"/>
      <c r="AM99" s="82"/>
      <c r="AN99" s="82"/>
    </row>
    <row r="100" spans="1:40">
      <c r="A100" s="76">
        <v>97</v>
      </c>
      <c r="B100" s="81" t="s">
        <v>193</v>
      </c>
      <c r="C100" s="76"/>
      <c r="D100" s="76" t="str">
        <f>IF(OR(F92="",G92=""),"",IF(F92&gt;G92,D92,IF(F92&lt;G92,E92,"")))</f>
        <v/>
      </c>
      <c r="E100" s="76" t="str">
        <f>IF(OR(F93="",G93=""),"",IF(F93&gt;G93,D93,IF(F93&lt;G93,E93,"")))</f>
        <v/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2"/>
      <c r="AH100" s="82"/>
      <c r="AI100" s="82"/>
      <c r="AJ100" s="82"/>
      <c r="AK100" s="82"/>
      <c r="AL100" s="82"/>
      <c r="AM100" s="82"/>
      <c r="AN100" s="82"/>
    </row>
    <row r="101" spans="1:40">
      <c r="A101" s="33">
        <v>98</v>
      </c>
      <c r="B101" s="41" t="s">
        <v>193</v>
      </c>
      <c r="C101" s="33"/>
      <c r="D101" s="75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2"/>
      <c r="AH101" s="82"/>
      <c r="AI101" s="82"/>
      <c r="AJ101" s="82"/>
      <c r="AK101" s="82"/>
      <c r="AL101" s="82"/>
      <c r="AM101" s="82"/>
      <c r="AN101" s="82"/>
    </row>
    <row r="102" spans="1:40">
      <c r="A102" s="76">
        <v>99</v>
      </c>
      <c r="B102" s="81" t="s">
        <v>193</v>
      </c>
      <c r="C102" s="76"/>
      <c r="D102" s="76" t="str">
        <f>IF(OR(F94="",G94=""),"",IF(F94&gt;G94,D94,IF(F94&lt;G94,E94,"")))</f>
        <v/>
      </c>
      <c r="E102" s="76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2"/>
      <c r="AH102" s="82"/>
      <c r="AI102" s="82"/>
      <c r="AJ102" s="82"/>
      <c r="AK102" s="82"/>
      <c r="AL102" s="82"/>
      <c r="AM102" s="82"/>
      <c r="AN102" s="82"/>
    </row>
    <row r="103" spans="1:40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2"/>
      <c r="AH103" s="82"/>
      <c r="AI103" s="82"/>
      <c r="AJ103" s="82"/>
      <c r="AK103" s="82"/>
      <c r="AL103" s="82"/>
      <c r="AM103" s="82"/>
      <c r="AN103" s="82"/>
    </row>
    <row r="104" spans="1:40">
      <c r="A104" s="76">
        <v>101</v>
      </c>
      <c r="B104" s="81" t="s">
        <v>194</v>
      </c>
      <c r="C104" s="76"/>
      <c r="D104" s="76" t="str">
        <f>IF(OR(F100="",G100=""),"",IF(F100&gt;G100,D100,IF(F100&lt;G100,E100,"")))</f>
        <v/>
      </c>
      <c r="E104" s="76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2"/>
      <c r="AH104" s="82"/>
      <c r="AI104" s="82"/>
      <c r="AJ104" s="82"/>
      <c r="AK104" s="82"/>
      <c r="AL104" s="82"/>
      <c r="AM104" s="82"/>
      <c r="AN104" s="82"/>
    </row>
    <row r="105" spans="1:40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2"/>
      <c r="AH105" s="82"/>
      <c r="AI105" s="82"/>
      <c r="AJ105" s="82"/>
      <c r="AK105" s="82"/>
      <c r="AL105" s="82"/>
      <c r="AM105" s="82"/>
      <c r="AN105" s="82"/>
    </row>
    <row r="106" spans="1:40">
      <c r="A106" s="15">
        <v>103</v>
      </c>
      <c r="B106" s="38" t="s">
        <v>195</v>
      </c>
      <c r="C106" s="76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"/>
      <c r="AH106" s="82"/>
      <c r="AI106" s="82"/>
      <c r="AJ106" s="82"/>
      <c r="AK106" s="82"/>
      <c r="AL106" s="82"/>
      <c r="AM106" s="82"/>
      <c r="AN106" s="82"/>
    </row>
    <row r="107" spans="1:40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2"/>
      <c r="AH107" s="82"/>
      <c r="AI107" s="82"/>
      <c r="AJ107" s="82"/>
      <c r="AK107" s="82"/>
      <c r="AL107" s="82"/>
      <c r="AM107" s="82"/>
      <c r="AN107" s="82"/>
    </row>
    <row r="108" spans="1:40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2"/>
      <c r="AH108" s="82"/>
      <c r="AI108" s="82"/>
      <c r="AJ108" s="82"/>
      <c r="AK108" s="82"/>
      <c r="AL108" s="82"/>
      <c r="AM108" s="82"/>
      <c r="AN108" s="82"/>
    </row>
    <row r="109" spans="1:40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2"/>
      <c r="AH109" s="82"/>
      <c r="AI109" s="82"/>
      <c r="AJ109" s="82"/>
      <c r="AK109" s="82"/>
      <c r="AL109" s="82"/>
      <c r="AM109" s="82"/>
      <c r="AN109" s="82"/>
    </row>
    <row r="110" spans="1:40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2"/>
      <c r="AH110" s="82"/>
      <c r="AI110" s="82"/>
      <c r="AJ110" s="82"/>
      <c r="AK110" s="82"/>
      <c r="AL110" s="82"/>
      <c r="AM110" s="82"/>
      <c r="AN110" s="82"/>
    </row>
    <row r="111" spans="1:40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2"/>
      <c r="AH111" s="82"/>
      <c r="AI111" s="82"/>
      <c r="AJ111" s="82"/>
      <c r="AK111" s="82"/>
      <c r="AL111" s="82"/>
      <c r="AM111" s="82"/>
      <c r="AN111" s="82"/>
    </row>
    <row r="112" spans="1:40">
      <c r="A112" s="14" t="s">
        <v>198</v>
      </c>
      <c r="B112" s="15">
        <f>SUM(K4:K107)</f>
        <v>142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2"/>
      <c r="AH112" s="82"/>
      <c r="AI112" s="82"/>
      <c r="AJ112" s="82"/>
      <c r="AK112" s="82"/>
      <c r="AL112" s="82"/>
      <c r="AM112" s="82"/>
      <c r="AN112" s="82"/>
    </row>
    <row r="113" spans="1:40">
      <c r="A113" s="12" t="s">
        <v>199</v>
      </c>
      <c r="B113" s="12" t="s">
        <v>304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2"/>
      <c r="AH113" s="82"/>
      <c r="AI113" s="82"/>
      <c r="AJ113" s="82"/>
      <c r="AK113" s="82"/>
      <c r="AL113" s="82"/>
      <c r="AM113" s="82"/>
      <c r="AN113" s="82"/>
    </row>
    <row r="114" spans="1:40">
      <c r="A114" s="15" t="s">
        <v>200</v>
      </c>
      <c r="B114" s="15" t="s">
        <v>305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2"/>
      <c r="AH114" s="82"/>
      <c r="AI114" s="82"/>
      <c r="AJ114" s="82"/>
      <c r="AK114" s="82"/>
      <c r="AL114" s="82"/>
      <c r="AM114" s="82"/>
      <c r="AN114" s="82"/>
    </row>
    <row r="115" spans="1:40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2"/>
      <c r="AH115" s="82"/>
      <c r="AI115" s="82"/>
      <c r="AJ115" s="82"/>
      <c r="AK115" s="82"/>
      <c r="AL115" s="82"/>
      <c r="AM115" s="82"/>
      <c r="AN115" s="82"/>
    </row>
    <row r="116" spans="1:40">
      <c r="A116" s="34" t="s">
        <v>203</v>
      </c>
      <c r="B116" s="35">
        <f>B112+D113+D114</f>
        <v>142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2"/>
      <c r="AH116" s="82"/>
      <c r="AI116" s="82"/>
      <c r="AJ116" s="82"/>
      <c r="AK116" s="82"/>
      <c r="AL116" s="82"/>
      <c r="AM116" s="82"/>
      <c r="AN116" s="82"/>
    </row>
  </sheetData>
  <mergeCells count="1">
    <mergeCell ref="A1:K1"/>
  </mergeCells>
  <dataValidations count="1">
    <dataValidation type="whole" allowBlank="1" sqref="F4:G107" xr:uid="{8B649247-D070-4289-9DF7-AA4D703C35FA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D31F3E5A-CDC3-4250-B4FF-A060A8BB4A37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75BADC49-5A70-4EE0-BDD0-189A7A4667B3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2BD04A45-4510-4C89-85FD-D1C5491942C9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7DF11A19-E6B1-4D39-83E9-7EC150571F4C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00CC37EA-A053-4769-A0DA-1A490458A64E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393A768A-3D4B-422F-8A79-8931E0158C45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77BB6643-D57B-4D81-8634-CF8AF788FC34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E7C01B1C-A866-4876-BB04-148A16CCAD8A}"/>
  </hyperlinks>
  <pageMargins left="0.7" right="0.7" top="0.75" bottom="0.75" header="0.3" footer="0.3"/>
  <tableParts count="1">
    <tablePart r:id="rId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1664-EF5E-47A5-B5EC-E8073CB859BD}">
  <dimension ref="A1:AN116"/>
  <sheetViews>
    <sheetView topLeftCell="A70" workbookViewId="0">
      <selection activeCell="D99" sqref="D99:E100"/>
    </sheetView>
  </sheetViews>
  <sheetFormatPr defaultRowHeight="15"/>
  <cols>
    <col min="1" max="1" width="16" bestFit="1" customWidth="1"/>
    <col min="2" max="2" width="13.28515625" bestFit="1" customWidth="1"/>
    <col min="3" max="3" width="8.85546875" bestFit="1" customWidth="1"/>
    <col min="4" max="5" width="21.28515625" bestFit="1" customWidth="1"/>
    <col min="6" max="6" width="8.85546875" bestFit="1" customWidth="1"/>
    <col min="7" max="7" width="8.5703125" bestFit="1" customWidth="1"/>
    <col min="8" max="8" width="9.7109375" bestFit="1" customWidth="1"/>
    <col min="9" max="9" width="13.28515625" bestFit="1" customWidth="1"/>
    <col min="10" max="10" width="16.140625" bestFit="1" customWidth="1"/>
    <col min="11" max="11" width="14.85546875" bestFit="1" customWidth="1"/>
    <col min="12" max="12" width="22.28515625" bestFit="1" customWidth="1"/>
    <col min="13" max="13" width="3.5703125" bestFit="1" customWidth="1"/>
    <col min="14" max="17" width="4.5703125" bestFit="1" customWidth="1"/>
    <col min="18" max="19" width="4.7109375" bestFit="1" customWidth="1"/>
    <col min="20" max="20" width="12.28515625" customWidth="1"/>
  </cols>
  <sheetData>
    <row r="1" spans="1:40" ht="24.75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3</v>
      </c>
      <c r="G4" s="13">
        <v>1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0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2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Tjeckien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South Africa</v>
      </c>
      <c r="AA4" s="72">
        <f>IF(COUNTIFS($C$4:$C$75,"A",$F$4:$F$75,"&lt;&gt;",$G$4:$G$75,"&lt;&gt;")=0,"",IFERROR(LARGE($T$6:$T$9,3),""))</f>
        <v>298003</v>
      </c>
      <c r="AB4" s="72">
        <f>IF(AA4="","",_xlfn.RANK.EQ(AA4,$AA$4:$AA$15,0))</f>
        <v>1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0</v>
      </c>
      <c r="G5" s="13">
        <v>1</v>
      </c>
      <c r="H5" s="40" t="str">
        <f t="shared" si="0"/>
        <v>2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1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Schweiz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199003.00013999999</v>
      </c>
      <c r="AB5" s="72">
        <f t="shared" ref="AB5:AB15" si="2">IF(AA5="","",_xlfn.RANK.EQ(AA5,$AA$4:$AA$15,0))</f>
        <v>6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2</v>
      </c>
      <c r="G6" s="13">
        <v>1</v>
      </c>
      <c r="H6" s="40" t="str">
        <f t="shared" si="0"/>
        <v>1</v>
      </c>
      <c r="I6" s="40">
        <f>IF(OR(F6="",G6="",'📊 Resultat &amp; Tabell'!K7="",'📊 Resultat &amp; Tabell'!L7=""),"",IF(F6='📊 Resultat &amp; Tabell'!K7,2,0)+IF(G6='📊 Resultat &amp; Tabell'!L7,2,0))</f>
        <v>2</v>
      </c>
      <c r="J6" s="40">
        <f>IF(OR(H6="",'📊 Resultat &amp; Tabell'!M7=""),"",IF(H6='📊 Resultat &amp; Tabell'!M7,2,0))</f>
        <v>0</v>
      </c>
      <c r="K6" s="40">
        <f t="shared" si="1"/>
        <v>2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1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7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4</v>
      </c>
      <c r="R6" s="60">
        <f>P6-Q6</f>
        <v>3</v>
      </c>
      <c r="S6" s="60">
        <f>M6*3+N6</f>
        <v>7</v>
      </c>
      <c r="T6" s="71">
        <f>S6*100000+R6*1000+P6</f>
        <v>703007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Skottland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Haiti</v>
      </c>
      <c r="AA6" s="72" cm="1">
        <f t="array" ref="AA6">IF(COUNTIFS($C$4:$C$75,"C",$F$4:$F$75,"&lt;&gt;",$G$4:$G$75,"&lt;&gt;")=0,"",LARGE($T$20:$T$23+ROW($T$20:$T$23)/100000,3))</f>
        <v>97002.000220000002</v>
      </c>
      <c r="AB6" s="72">
        <f t="shared" si="2"/>
        <v>11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1</v>
      </c>
      <c r="G7" s="13">
        <v>1</v>
      </c>
      <c r="H7" s="40" t="str">
        <f t="shared" si="0"/>
        <v>X</v>
      </c>
      <c r="I7" s="40">
        <f>IF(OR(F7="",G7="",'📊 Resultat &amp; Tabell'!K8="",'📊 Resultat &amp; Tabell'!L8=""),"",IF(F7='📊 Resultat &amp; Tabell'!K8,2,0)+IF(G7='📊 Resultat &amp; Tabell'!L8,2,0))</f>
        <v>2</v>
      </c>
      <c r="J7" s="40">
        <f>IF(OR(H7="",'📊 Resultat &amp; Tabell'!M8=""),"",IF(H7='📊 Resultat &amp; Tabell'!M8,2,0))</f>
        <v>0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1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2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3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5</v>
      </c>
      <c r="R7" s="60">
        <f t="shared" ref="R7:R9" si="3">P7-Q7</f>
        <v>-2</v>
      </c>
      <c r="S7" s="60">
        <f t="shared" ref="S7:S9" si="4">M7*3+N7</f>
        <v>3</v>
      </c>
      <c r="T7" s="71">
        <f t="shared" ref="T7:T9" si="5">S7*100000+R7*1000+P7</f>
        <v>298003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Turkiet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USA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Australien</v>
      </c>
      <c r="AA7" s="72" cm="1">
        <f t="array" ref="AA7">IF(COUNTIFS($C$4:$C$75,"D",$F$4:$F$75,"&lt;&gt;",$G$4:$G$75,"&lt;&gt;")=0,"",LARGE($T$27:$T$30+ROW($T$27:$T$30)/100000,3))</f>
        <v>199004.00029</v>
      </c>
      <c r="AB7" s="72">
        <f t="shared" si="2"/>
        <v>4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2</v>
      </c>
      <c r="G8" s="13">
        <v>3</v>
      </c>
      <c r="H8" s="40" t="str">
        <f t="shared" si="0"/>
        <v>2</v>
      </c>
      <c r="I8" s="40">
        <f>IF(OR(F8="",G8="",'📊 Resultat &amp; Tabell'!K9="",'📊 Resultat &amp; Tabell'!L9=""),"",IF(F8='📊 Resultat &amp; Tabell'!K9,2,0)+IF(G8='📊 Resultat &amp; Tabell'!L9,2,0))</f>
        <v>2</v>
      </c>
      <c r="J8" s="40">
        <f>IF(OR(H8="",'📊 Resultat &amp; Tabell'!M9=""),"",IF(H8='📊 Resultat &amp; Tabell'!M9,2,0))</f>
        <v>2</v>
      </c>
      <c r="K8" s="40">
        <f t="shared" si="1"/>
        <v>4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0</v>
      </c>
      <c r="N8" s="59" cm="1">
        <f t="array" ref="N8">SUMPRODUCT(--($C$4:$C$75="A"),--(($D$4:$D$75=L8)+($E$4:$E$75=L8)&gt;0),--($F$4:$F$75=$G$4:$G$75),--($F$4:$F$75&lt;&gt;""),--($G$4:$G$75&lt;&gt;""))</f>
        <v>1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2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1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3</v>
      </c>
      <c r="R8" s="60">
        <f t="shared" si="3"/>
        <v>-2</v>
      </c>
      <c r="S8" s="60">
        <f t="shared" si="4"/>
        <v>1</v>
      </c>
      <c r="T8" s="71">
        <f t="shared" si="5"/>
        <v>98001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298001.00036000001</v>
      </c>
      <c r="AB8" s="72">
        <f t="shared" si="2"/>
        <v>2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0</v>
      </c>
      <c r="H9" s="40" t="str">
        <f t="shared" si="0"/>
        <v>1</v>
      </c>
      <c r="I9" s="40">
        <f>IF(OR(F9="",G9="",'📊 Resultat &amp; Tabell'!K10="",'📊 Resultat &amp; Tabell'!L10=""),"",IF(F9='📊 Resultat &amp; Tabell'!K10,2,0)+IF(G9='📊 Resultat &amp; Tabell'!L10,2,0))</f>
        <v>4</v>
      </c>
      <c r="J9" s="40">
        <f>IF(OR(H9="",'📊 Resultat &amp; Tabell'!M10=""),"",IF(H9='📊 Resultat &amp; Tabell'!M10,2,0))</f>
        <v>2</v>
      </c>
      <c r="K9" s="40">
        <f t="shared" si="1"/>
        <v>6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2</v>
      </c>
      <c r="N9" s="59" cm="1">
        <f t="array" ref="N9">SUMPRODUCT(--($C$4:$C$75="A"),--(($D$4:$D$75=L9)+($E$4:$E$75=L9)&gt;0),--($F$4:$F$75=$G$4:$G$75),--($F$4:$F$75&lt;&gt;""),--($G$4:$G$75&lt;&gt;""))</f>
        <v>0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5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4</v>
      </c>
      <c r="R9" s="60">
        <f t="shared" si="3"/>
        <v>1</v>
      </c>
      <c r="S9" s="60">
        <f t="shared" si="4"/>
        <v>6</v>
      </c>
      <c r="T9" s="71">
        <f t="shared" si="5"/>
        <v>601005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Sverige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Tunisien</v>
      </c>
      <c r="AA9" s="72" cm="1">
        <f t="array" ref="AA9">IF(COUNTIFS($C$4:$C$75,"F",$F$4:$F$75,"&lt;&gt;",$G$4:$G$75,"&lt;&gt;")=0,"",LARGE($T$41:$T$44+ROW($T$41:$T$44)/100000,3))</f>
        <v>199004.00044</v>
      </c>
      <c r="AB9" s="72">
        <f t="shared" si="2"/>
        <v>3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1</v>
      </c>
      <c r="G10" s="13">
        <v>1</v>
      </c>
      <c r="H10" s="40" t="str">
        <f t="shared" si="0"/>
        <v>X</v>
      </c>
      <c r="I10" s="40">
        <f>IF(OR(F10="",G10="",'📊 Resultat &amp; Tabell'!K11="",'📊 Resultat &amp; Tabell'!L11=""),"",IF(F10='📊 Resultat &amp; Tabell'!K11,2,0)+IF(G10='📊 Resultat &amp; Tabell'!L11,2,0))</f>
        <v>4</v>
      </c>
      <c r="J10" s="40">
        <f>IF(OR(H10="",'📊 Resultat &amp; Tabell'!M11=""),"",IF(H10='📊 Resultat &amp; Tabell'!M11,2,0))</f>
        <v>2</v>
      </c>
      <c r="K10" s="40">
        <f t="shared" si="1"/>
        <v>6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Nya Zeeland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199002.00049999999</v>
      </c>
      <c r="AB10" s="72">
        <f t="shared" si="2"/>
        <v>7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1</v>
      </c>
      <c r="G11" s="13">
        <v>2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2</v>
      </c>
      <c r="J11" s="40">
        <f>IF(OR(H11="",'📊 Resultat &amp; Tabell'!M12=""),"",IF(H11='📊 Resultat &amp; Tabell'!M12,2,0))</f>
        <v>0</v>
      </c>
      <c r="K11" s="40">
        <f t="shared" si="1"/>
        <v>2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Saudiarabien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Kap Verde</v>
      </c>
      <c r="AA11" s="72" cm="1">
        <f t="array" ref="AA11">IF(COUNTIFS($C$4:$C$75,"H",$F$4:$F$75,"&lt;&gt;",$G$4:$G$75,"&lt;&gt;")=0,"",LARGE($T$55:$T$58+ROW($T$55:$T$58)/100000,3))</f>
        <v>199003.00055999999</v>
      </c>
      <c r="AB11" s="72">
        <f t="shared" si="2"/>
        <v>5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2</v>
      </c>
      <c r="G12" s="13">
        <v>1</v>
      </c>
      <c r="H12" s="40" t="str">
        <f t="shared" si="0"/>
        <v>1</v>
      </c>
      <c r="I12" s="40">
        <f>IF(OR(F12="",G12="",'📊 Resultat &amp; Tabell'!K13="",'📊 Resultat &amp; Tabell'!L13=""),"",IF(F12='📊 Resultat &amp; Tabell'!K13,2,0)+IF(G12='📊 Resultat &amp; Tabell'!L13,2,0))</f>
        <v>2</v>
      </c>
      <c r="J12" s="40">
        <f>IF(OR(H12="",'📊 Resultat &amp; Tabell'!M13=""),"",IF(H12='📊 Resultat &amp; Tabell'!M13,2,0))</f>
        <v>2</v>
      </c>
      <c r="K12" s="40">
        <f t="shared" si="1"/>
        <v>4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Norge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Irak</v>
      </c>
      <c r="AA12" s="72" cm="1">
        <f t="array" ref="AA12">IF(COUNTIFS($C$4:$C$75,"I",$F$4:$F$75,"&lt;&gt;",$G$4:$G$75,"&lt;&gt;")=0,"",LARGE($T$62:$T$65+ROW($T$62:$T$65)/100000,3))</f>
        <v>197003.00064000001</v>
      </c>
      <c r="AB12" s="72">
        <f t="shared" si="2"/>
        <v>10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1</v>
      </c>
      <c r="G13" s="13">
        <v>0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2</v>
      </c>
      <c r="J13" s="40">
        <f>IF(OR(H13="",'📊 Resultat &amp; Tabell'!M14=""),"",IF(H13='📊 Resultat &amp; Tabell'!M14,2,0))</f>
        <v>2</v>
      </c>
      <c r="K13" s="40">
        <f t="shared" si="1"/>
        <v>4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1</v>
      </c>
      <c r="N13" s="59" cm="1">
        <f t="array" ref="N13">SUMPRODUCT(--($C$4:$C$75="B"),--(($D$4:$D$75=L13)+($E$4:$E$75=L13)&gt;0),--($F$4:$F$75=$G$4:$G$75),--($F$4:$F$75&lt;&gt;""),--($G$4:$G$75&lt;&gt;""))</f>
        <v>1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1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3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3</v>
      </c>
      <c r="R13" s="60">
        <f>P13-Q13</f>
        <v>0</v>
      </c>
      <c r="S13" s="60">
        <f>M13*3+N13</f>
        <v>4</v>
      </c>
      <c r="T13" s="71">
        <f>S13*100000+R13*1000+P13</f>
        <v>400003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198002.0007</v>
      </c>
      <c r="AB13" s="72">
        <f t="shared" si="2"/>
        <v>9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2</v>
      </c>
      <c r="G14" s="13">
        <v>1</v>
      </c>
      <c r="H14" s="40" t="str">
        <f t="shared" si="0"/>
        <v>1</v>
      </c>
      <c r="I14" s="40">
        <f>IF(OR(F14="",G14="",'📊 Resultat &amp; Tabell'!K15="",'📊 Resultat &amp; Tabell'!L15=""),"",IF(F14='📊 Resultat &amp; Tabell'!K15,2,0)+IF(G14='📊 Resultat &amp; Tabell'!L15,2,0))</f>
        <v>4</v>
      </c>
      <c r="J14" s="40">
        <f>IF(OR(H14="",'📊 Resultat &amp; Tabell'!M15=""),"",IF(H14='📊 Resultat &amp; Tabell'!M15,2,0))</f>
        <v>2</v>
      </c>
      <c r="K14" s="40">
        <f t="shared" si="1"/>
        <v>6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0</v>
      </c>
      <c r="N14" s="59" cm="1">
        <f t="array" ref="N14">SUMPRODUCT(--($C$4:$C$75="B"),--(($D$4:$D$75=L14)+($E$4:$E$75=L14)&gt;0),--($F$4:$F$75=$G$4:$G$75),--($F$4:$F$75&lt;&gt;""),--($G$4:$G$75&lt;&gt;""))</f>
        <v>2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1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3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4</v>
      </c>
      <c r="R14" s="60">
        <f t="shared" ref="R14:R16" si="6">P14-Q14</f>
        <v>-1</v>
      </c>
      <c r="S14" s="60">
        <f t="shared" ref="S14:S16" si="7">M14*3+N14</f>
        <v>2</v>
      </c>
      <c r="T14" s="71">
        <f t="shared" ref="T14:T16" si="8">S14*100000+R14*1000+P14</f>
        <v>199003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Uzbekistan</v>
      </c>
      <c r="AA14" s="72" cm="1">
        <f t="array" ref="AA14">IF(COUNTIFS($C$4:$C$75,"K",$F$4:$F$75,"&lt;&gt;",$G$4:$G$75,"&lt;&gt;")=0,"",LARGE($T$76:$T$79+ROW($T$76:$T$79)/100000,3))</f>
        <v>96002.000780000002</v>
      </c>
      <c r="AB14" s="72">
        <f t="shared" si="2"/>
        <v>12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1</v>
      </c>
      <c r="G15" s="13">
        <v>1</v>
      </c>
      <c r="H15" s="40" t="str">
        <f t="shared" si="0"/>
        <v>X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0</v>
      </c>
      <c r="K15" s="40">
        <f t="shared" si="1"/>
        <v>2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1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2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2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4</v>
      </c>
      <c r="R15" s="60">
        <f t="shared" si="6"/>
        <v>-2</v>
      </c>
      <c r="S15" s="60">
        <f t="shared" si="7"/>
        <v>1</v>
      </c>
      <c r="T15" s="71">
        <f t="shared" si="8"/>
        <v>98002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Kroatien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England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Panama</v>
      </c>
      <c r="AA15" s="72" cm="1">
        <f t="array" ref="AA15">IF(COUNTIFS($C$4:$C$75,"L",$F$4:$F$75,"&lt;&gt;",$G$4:$G$75,"&lt;&gt;")=0,"",LARGE($T$83:$T$86+ROW($T$83:$T$86)/100000,3))</f>
        <v>198003.00086</v>
      </c>
      <c r="AB15" s="72">
        <f t="shared" si="2"/>
        <v>8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3</v>
      </c>
      <c r="G16" s="13">
        <v>1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2</v>
      </c>
      <c r="J16" s="40">
        <f>IF(OR(H16="",'📊 Resultat &amp; Tabell'!M17=""),"",IF(H16='📊 Resultat &amp; Tabell'!M17,2,0))</f>
        <v>0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3</v>
      </c>
      <c r="N16" s="59" cm="1">
        <f t="array" ref="N16">SUMPRODUCT(--($C$4:$C$75="B"),--(($D$4:$D$75=L16)+($E$4:$E$75=L16)&gt;0),--($F$4:$F$75=$G$4:$G$75),--($F$4:$F$75&lt;&gt;""),--($G$4:$G$75&lt;&gt;""))</f>
        <v>0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6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3</v>
      </c>
      <c r="R16" s="60">
        <f t="shared" si="6"/>
        <v>3</v>
      </c>
      <c r="S16" s="60">
        <f t="shared" si="7"/>
        <v>9</v>
      </c>
      <c r="T16" s="71">
        <f t="shared" si="8"/>
        <v>903006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1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4</v>
      </c>
      <c r="J17" s="40">
        <f>IF(OR(H17="",'📊 Resultat &amp; Tabell'!M18=""),"",IF(H17='📊 Resultat &amp; Tabell'!M18,2,0))</f>
        <v>2</v>
      </c>
      <c r="K17" s="40">
        <f t="shared" si="1"/>
        <v>6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0</v>
      </c>
      <c r="H18" s="40" t="str">
        <f t="shared" si="0"/>
        <v>1</v>
      </c>
      <c r="I18" s="40">
        <f>IF(OR(F18="",G18="",'📊 Resultat &amp; Tabell'!K19="",'📊 Resultat &amp; Tabell'!L19=""),"",IF(F18='📊 Resultat &amp; Tabell'!K19,2,0)+IF(G18='📊 Resultat &amp; Tabell'!L19,2,0))</f>
        <v>0</v>
      </c>
      <c r="J18" s="40">
        <f>IF(OR(H18="",'📊 Resultat &amp; Tabell'!M19=""),"",IF(H18='📊 Resultat &amp; Tabell'!M19,2,0))</f>
        <v>0</v>
      </c>
      <c r="K18" s="40">
        <f t="shared" si="1"/>
        <v>0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3</v>
      </c>
      <c r="G19" s="13">
        <v>1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1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0</v>
      </c>
      <c r="G20" s="13">
        <v>3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4</v>
      </c>
      <c r="J20" s="40">
        <f>IF(OR(H20="",'📊 Resultat &amp; Tabell'!M21=""),"",IF(H20='📊 Resultat &amp; Tabell'!M21,2,0))</f>
        <v>2</v>
      </c>
      <c r="K20" s="40">
        <f t="shared" si="1"/>
        <v>6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9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2</v>
      </c>
      <c r="R20" s="60">
        <f t="shared" ref="R20:R23" si="9">P20-Q20</f>
        <v>7</v>
      </c>
      <c r="S20" s="60">
        <f t="shared" ref="S20:S23" si="10">M20*3+N20</f>
        <v>9</v>
      </c>
      <c r="T20" s="71">
        <f t="shared" ref="T20:T23" si="11">S20*100000+R20*1000+P20</f>
        <v>907009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1</v>
      </c>
      <c r="G21" s="13">
        <v>1</v>
      </c>
      <c r="H21" s="40" t="str">
        <f t="shared" si="0"/>
        <v>X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0</v>
      </c>
      <c r="K21" s="40">
        <f t="shared" si="1"/>
        <v>0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0</v>
      </c>
      <c r="N21" s="59" cm="1">
        <f t="array" ref="N21">SUMPRODUCT(--($C$4:$C$75="C"),--(($D$4:$D$75=L21)+($E$4:$E$75=L21)&gt;0),--($F$4:$F$75=$G$4:$G$75),--($F$4:$F$75&lt;&gt;""),--($G$4:$G$75&lt;&gt;""))</f>
        <v>1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2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2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5</v>
      </c>
      <c r="R21" s="60">
        <f t="shared" si="9"/>
        <v>-3</v>
      </c>
      <c r="S21" s="60">
        <f t="shared" si="10"/>
        <v>1</v>
      </c>
      <c r="T21" s="71">
        <f t="shared" si="11"/>
        <v>97002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1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2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2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5</v>
      </c>
      <c r="R22" s="60">
        <f t="shared" si="9"/>
        <v>-3</v>
      </c>
      <c r="S22" s="60">
        <f t="shared" si="10"/>
        <v>1</v>
      </c>
      <c r="T22" s="71">
        <f t="shared" si="11"/>
        <v>97002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2</v>
      </c>
      <c r="H23" s="40" t="str">
        <f t="shared" si="0"/>
        <v>2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2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1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2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3</v>
      </c>
      <c r="R23" s="60">
        <f t="shared" si="9"/>
        <v>-1</v>
      </c>
      <c r="S23" s="60">
        <f t="shared" si="10"/>
        <v>6</v>
      </c>
      <c r="T23" s="71">
        <f t="shared" si="11"/>
        <v>599002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1</v>
      </c>
      <c r="G24" s="13">
        <v>1</v>
      </c>
      <c r="H24" s="40" t="str">
        <f t="shared" si="0"/>
        <v>X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2</v>
      </c>
      <c r="H25" s="40" t="str">
        <f t="shared" si="0"/>
        <v>X</v>
      </c>
      <c r="I25" s="40">
        <f>IF(OR(F25="",G25="",'📊 Resultat &amp; Tabell'!K26="",'📊 Resultat &amp; Tabell'!L26=""),"",IF(F25='📊 Resultat &amp; Tabell'!K26,2,0)+IF(G25='📊 Resultat &amp; Tabell'!L26,2,0))</f>
        <v>2</v>
      </c>
      <c r="J25" s="40">
        <f>IF(OR(H25="",'📊 Resultat &amp; Tabell'!M26=""),"",IF(H25='📊 Resultat &amp; Tabell'!M26,2,0))</f>
        <v>0</v>
      </c>
      <c r="K25" s="40">
        <f t="shared" si="1"/>
        <v>2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2</v>
      </c>
      <c r="G26" s="13">
        <v>1</v>
      </c>
      <c r="H26" s="40" t="str">
        <f t="shared" si="0"/>
        <v>1</v>
      </c>
      <c r="I26" s="40">
        <f>IF(OR(F26="",G26="",'📊 Resultat &amp; Tabell'!K27="",'📊 Resultat &amp; Tabell'!L27=""),"",IF(F26='📊 Resultat &amp; Tabell'!K27,2,0)+IF(G26='📊 Resultat &amp; Tabell'!L27,2,0))</f>
        <v>0</v>
      </c>
      <c r="J26" s="40">
        <f>IF(OR(H26="",'📊 Resultat &amp; Tabell'!M27=""),"",IF(H26='📊 Resultat &amp; Tabell'!M27,2,0))</f>
        <v>2</v>
      </c>
      <c r="K26" s="40">
        <f t="shared" si="1"/>
        <v>2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1</v>
      </c>
      <c r="G27" s="13">
        <v>1</v>
      </c>
      <c r="H27" s="40" t="str">
        <f t="shared" si="0"/>
        <v>X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2</v>
      </c>
      <c r="K27" s="40">
        <f t="shared" si="1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1</v>
      </c>
      <c r="N27" s="59" cm="1">
        <f t="array" ref="N27">SUMPRODUCT(--($C$4:$C$75="D"),--(($D$4:$D$75=L27)+($E$4:$E$75=L27)&gt;0),--($F$4:$F$75=$G$4:$G$75),--($F$4:$F$75&lt;&gt;""),--($G$4:$G$75&lt;&gt;""))</f>
        <v>1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1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5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5</v>
      </c>
      <c r="R27" s="60">
        <f t="shared" ref="R27:R30" si="12">P27-Q27</f>
        <v>0</v>
      </c>
      <c r="S27" s="60">
        <f t="shared" ref="S27:S30" si="13">M27*3+N27</f>
        <v>4</v>
      </c>
      <c r="T27" s="71">
        <f t="shared" ref="T27:T30" si="14">S27*100000+R27*1000+P27</f>
        <v>400005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3</v>
      </c>
      <c r="G28" s="13">
        <v>1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2</v>
      </c>
      <c r="J28" s="40">
        <f>IF(OR(H28="",'📊 Resultat &amp; Tabell'!M29=""),"",IF(H28='📊 Resultat &amp; Tabell'!M29,2,0))</f>
        <v>2</v>
      </c>
      <c r="K28" s="40">
        <f t="shared" si="1"/>
        <v>4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2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1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3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4</v>
      </c>
      <c r="R28" s="60">
        <f t="shared" si="12"/>
        <v>-1</v>
      </c>
      <c r="S28" s="60">
        <f t="shared" si="13"/>
        <v>2</v>
      </c>
      <c r="T28" s="71">
        <f t="shared" si="14"/>
        <v>199003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0</v>
      </c>
      <c r="G29" s="13">
        <v>1</v>
      </c>
      <c r="H29" s="40" t="str">
        <f t="shared" si="0"/>
        <v>2</v>
      </c>
      <c r="I29" s="40">
        <f>IF(OR(F29="",G29="",'📊 Resultat &amp; Tabell'!K30="",'📊 Resultat &amp; Tabell'!L30=""),"",IF(F29='📊 Resultat &amp; Tabell'!K30,2,0)+IF(G29='📊 Resultat &amp; Tabell'!L30,2,0))</f>
        <v>0</v>
      </c>
      <c r="J29" s="40">
        <f>IF(OR(H29="",'📊 Resultat &amp; Tabell'!M30=""),"",IF(H29='📊 Resultat &amp; Tabell'!M30,2,0))</f>
        <v>0</v>
      </c>
      <c r="K29" s="40">
        <f t="shared" si="1"/>
        <v>0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2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4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5</v>
      </c>
      <c r="R29" s="60">
        <f t="shared" si="12"/>
        <v>-1</v>
      </c>
      <c r="S29" s="60">
        <f t="shared" si="13"/>
        <v>2</v>
      </c>
      <c r="T29" s="71">
        <f t="shared" si="14"/>
        <v>199004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0</v>
      </c>
      <c r="G30" s="13">
        <v>0</v>
      </c>
      <c r="H30" s="40" t="str">
        <f t="shared" si="0"/>
        <v>X</v>
      </c>
      <c r="I30" s="40">
        <f>IF(OR(F30="",G30="",'📊 Resultat &amp; Tabell'!K31="",'📊 Resultat &amp; Tabell'!L31=""),"",IF(F30='📊 Resultat &amp; Tabell'!K31,2,0)+IF(G30='📊 Resultat &amp; Tabell'!L31,2,0))</f>
        <v>4</v>
      </c>
      <c r="J30" s="40">
        <f>IF(OR(H30="",'📊 Resultat &amp; Tabell'!M31=""),"",IF(H30='📊 Resultat &amp; Tabell'!M31,2,0))</f>
        <v>2</v>
      </c>
      <c r="K30" s="40">
        <f t="shared" si="1"/>
        <v>6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2</v>
      </c>
      <c r="N30" s="59" cm="1">
        <f t="array" ref="N30">SUMPRODUCT(--($C$4:$C$75="D"),--(($D$4:$D$75=L30)+($E$4:$E$75=L30)&gt;0),--($F$4:$F$75=$G$4:$G$75),--($F$4:$F$75&lt;&gt;""),--($G$4:$G$75&lt;&gt;""))</f>
        <v>1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5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3</v>
      </c>
      <c r="R30" s="60">
        <f t="shared" si="12"/>
        <v>2</v>
      </c>
      <c r="S30" s="60">
        <f t="shared" si="13"/>
        <v>7</v>
      </c>
      <c r="T30" s="71">
        <f t="shared" si="14"/>
        <v>702005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0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2</v>
      </c>
      <c r="J31" s="40">
        <f>IF(OR(H31="",'📊 Resultat &amp; Tabell'!M32=""),"",IF(H31='📊 Resultat &amp; Tabell'!M32,2,0))</f>
        <v>2</v>
      </c>
      <c r="K31" s="40">
        <f t="shared" si="1"/>
        <v>4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3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40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0</v>
      </c>
      <c r="G33" s="13">
        <v>1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2</v>
      </c>
      <c r="J33" s="40">
        <f>IF(OR(H33="",'📊 Resultat &amp; Tabell'!M34=""),"",IF(H33='📊 Resultat &amp; Tabell'!M34,2,0))</f>
        <v>2</v>
      </c>
      <c r="K33" s="40">
        <f t="shared" si="1"/>
        <v>4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82"/>
      <c r="AH33" s="82"/>
      <c r="AI33" s="82"/>
      <c r="AJ33" s="82"/>
      <c r="AK33" s="82"/>
      <c r="AL33" s="82"/>
      <c r="AM33" s="82"/>
      <c r="AN33" s="82"/>
    </row>
    <row r="34" spans="1:40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3</v>
      </c>
      <c r="G34" s="13">
        <v>1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0</v>
      </c>
      <c r="J34" s="40">
        <f>IF(OR(H34="",'📊 Resultat &amp; Tabell'!M35=""),"",IF(H34='📊 Resultat &amp; Tabell'!M35,2,0))</f>
        <v>0</v>
      </c>
      <c r="K34" s="40">
        <f t="shared" si="1"/>
        <v>0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8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6</v>
      </c>
      <c r="S34" s="60">
        <f t="shared" ref="S34:S37" si="16">M34*3+N34</f>
        <v>9</v>
      </c>
      <c r="T34" s="71">
        <f t="shared" ref="T34:T37" si="17">S34*100000+R34*1000+P34</f>
        <v>906008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82"/>
      <c r="AH34" s="82"/>
      <c r="AI34" s="82"/>
      <c r="AJ34" s="82"/>
      <c r="AK34" s="82"/>
      <c r="AL34" s="82"/>
      <c r="AM34" s="82"/>
      <c r="AN34" s="82"/>
    </row>
    <row r="35" spans="1:40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2</v>
      </c>
      <c r="H35" s="40" t="str">
        <f t="shared" si="0"/>
        <v>X</v>
      </c>
      <c r="I35" s="40">
        <f>IF(OR(F35="",G35="",'📊 Resultat &amp; Tabell'!K36="",'📊 Resultat &amp; Tabell'!L36=""),"",IF(F35='📊 Resultat &amp; Tabell'!K36,2,0)+IF(G35='📊 Resultat &amp; Tabell'!L36,2,0))</f>
        <v>0</v>
      </c>
      <c r="J35" s="40">
        <f>IF(OR(H35="",'📊 Resultat &amp; Tabell'!M36=""),"",IF(H35='📊 Resultat &amp; Tabell'!M36,2,0))</f>
        <v>0</v>
      </c>
      <c r="K35" s="40">
        <f t="shared" si="1"/>
        <v>0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1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2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1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4</v>
      </c>
      <c r="R35" s="60">
        <f t="shared" si="15"/>
        <v>-3</v>
      </c>
      <c r="S35" s="60">
        <f t="shared" si="16"/>
        <v>1</v>
      </c>
      <c r="T35" s="71">
        <f t="shared" si="17"/>
        <v>97001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82"/>
      <c r="AH35" s="82"/>
      <c r="AI35" s="82"/>
      <c r="AJ35" s="82"/>
      <c r="AK35" s="82"/>
      <c r="AL35" s="82"/>
      <c r="AM35" s="82"/>
      <c r="AN35" s="82"/>
    </row>
    <row r="36" spans="1:40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1</v>
      </c>
      <c r="H36" s="40" t="str">
        <f t="shared" si="0"/>
        <v>X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0</v>
      </c>
      <c r="K36" s="40">
        <f t="shared" si="1"/>
        <v>0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0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2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1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3</v>
      </c>
      <c r="R36" s="60">
        <f t="shared" si="15"/>
        <v>-2</v>
      </c>
      <c r="S36" s="60">
        <f t="shared" si="16"/>
        <v>3</v>
      </c>
      <c r="T36" s="71">
        <f t="shared" si="17"/>
        <v>298001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82"/>
      <c r="AH36" s="82"/>
      <c r="AI36" s="82"/>
      <c r="AJ36" s="82"/>
      <c r="AK36" s="82"/>
      <c r="AL36" s="82"/>
      <c r="AM36" s="82"/>
      <c r="AN36" s="82"/>
    </row>
    <row r="37" spans="1:40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3</v>
      </c>
      <c r="G37" s="13">
        <v>1</v>
      </c>
      <c r="H37" s="40" t="str">
        <f t="shared" si="0"/>
        <v>1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2</v>
      </c>
      <c r="K37" s="40">
        <f t="shared" si="1"/>
        <v>4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2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-1</v>
      </c>
      <c r="S37" s="60">
        <f t="shared" si="16"/>
        <v>4</v>
      </c>
      <c r="T37" s="71">
        <f t="shared" si="17"/>
        <v>399002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82"/>
      <c r="AH37" s="82"/>
      <c r="AI37" s="82"/>
      <c r="AJ37" s="82"/>
      <c r="AK37" s="82"/>
      <c r="AL37" s="82"/>
      <c r="AM37" s="82"/>
      <c r="AN37" s="82"/>
    </row>
    <row r="38" spans="1:40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1</v>
      </c>
      <c r="G38" s="13">
        <v>2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2</v>
      </c>
      <c r="J38" s="40">
        <f>IF(OR(H38="",'📊 Resultat &amp; Tabell'!M39=""),"",IF(H38='📊 Resultat &amp; Tabell'!M39,2,0))</f>
        <v>2</v>
      </c>
      <c r="K38" s="40">
        <f t="shared" si="1"/>
        <v>4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82"/>
      <c r="AH38" s="82"/>
      <c r="AI38" s="82"/>
      <c r="AJ38" s="82"/>
      <c r="AK38" s="82"/>
      <c r="AL38" s="82"/>
      <c r="AM38" s="82"/>
      <c r="AN38" s="82"/>
    </row>
    <row r="39" spans="1:40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1</v>
      </c>
      <c r="G39" s="13">
        <v>2</v>
      </c>
      <c r="H39" s="40" t="str">
        <f t="shared" si="0"/>
        <v>2</v>
      </c>
      <c r="I39" s="40">
        <f>IF(OR(F39="",G39="",'📊 Resultat &amp; Tabell'!K40="",'📊 Resultat &amp; Tabell'!L40=""),"",IF(F39='📊 Resultat &amp; Tabell'!K40,2,0)+IF(G39='📊 Resultat &amp; Tabell'!L40,2,0))</f>
        <v>2</v>
      </c>
      <c r="J39" s="40">
        <f>IF(OR(H39="",'📊 Resultat &amp; Tabell'!M40=""),"",IF(H39='📊 Resultat &amp; Tabell'!M40,2,0))</f>
        <v>0</v>
      </c>
      <c r="K39" s="40">
        <f t="shared" si="1"/>
        <v>2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82"/>
      <c r="AH39" s="82"/>
      <c r="AI39" s="82"/>
      <c r="AJ39" s="82"/>
      <c r="AK39" s="82"/>
      <c r="AL39" s="82"/>
      <c r="AM39" s="82"/>
      <c r="AN39" s="82"/>
    </row>
    <row r="40" spans="1:40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4</v>
      </c>
      <c r="G40" s="13">
        <v>1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2</v>
      </c>
      <c r="J40" s="40">
        <f>IF(OR(H40="",'📊 Resultat &amp; Tabell'!M41=""),"",IF(H40='📊 Resultat &amp; Tabell'!M41,2,0))</f>
        <v>0</v>
      </c>
      <c r="K40" s="40">
        <f t="shared" si="1"/>
        <v>2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82"/>
      <c r="AH40" s="82"/>
      <c r="AI40" s="82"/>
      <c r="AJ40" s="82"/>
      <c r="AK40" s="82"/>
      <c r="AL40" s="82"/>
      <c r="AM40" s="82"/>
      <c r="AN40" s="82"/>
    </row>
    <row r="41" spans="1:40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0</v>
      </c>
      <c r="G41" s="13">
        <v>0</v>
      </c>
      <c r="H41" s="40" t="str">
        <f t="shared" si="0"/>
        <v>X</v>
      </c>
      <c r="I41" s="40">
        <f>IF(OR(F41="",G41="",'📊 Resultat &amp; Tabell'!K42="",'📊 Resultat &amp; Tabell'!L42=""),"",IF(F41='📊 Resultat &amp; Tabell'!K42,2,0)+IF(G41='📊 Resultat &amp; Tabell'!L42,2,0))</f>
        <v>0</v>
      </c>
      <c r="J41" s="40">
        <f>IF(OR(H41="",'📊 Resultat &amp; Tabell'!M42=""),"",IF(H41='📊 Resultat &amp; Tabell'!M42,2,0))</f>
        <v>2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3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8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3</v>
      </c>
      <c r="R41" s="60">
        <f t="shared" ref="R41:R44" si="18">P41-Q41</f>
        <v>5</v>
      </c>
      <c r="S41" s="60">
        <f t="shared" ref="S41:S44" si="19">M41*3+N41</f>
        <v>9</v>
      </c>
      <c r="T41" s="71">
        <f t="shared" ref="T41:T44" si="20">S41*100000+R41*1000+P41</f>
        <v>905008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82"/>
      <c r="AH41" s="82"/>
      <c r="AI41" s="82"/>
      <c r="AJ41" s="82"/>
      <c r="AK41" s="82"/>
      <c r="AL41" s="82"/>
      <c r="AM41" s="82"/>
      <c r="AN41" s="82"/>
    </row>
    <row r="42" spans="1:40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1</v>
      </c>
      <c r="G42" s="13">
        <v>0</v>
      </c>
      <c r="H42" s="40" t="str">
        <f t="shared" si="0"/>
        <v>1</v>
      </c>
      <c r="I42" s="40">
        <f>IF(OR(F42="",G42="",'📊 Resultat &amp; Tabell'!K43="",'📊 Resultat &amp; Tabell'!L43=""),"",IF(F42='📊 Resultat &amp; Tabell'!K43,2,0)+IF(G42='📊 Resultat &amp; Tabell'!L43,2,0))</f>
        <v>2</v>
      </c>
      <c r="J42" s="40">
        <f>IF(OR(H42="",'📊 Resultat &amp; Tabell'!M43=""),"",IF(H42='📊 Resultat &amp; Tabell'!M43,2,0))</f>
        <v>0</v>
      </c>
      <c r="K42" s="40">
        <f t="shared" si="1"/>
        <v>2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0</v>
      </c>
      <c r="N42" s="59" cm="1">
        <f t="array" ref="N42">SUMPRODUCT(--($C$4:$C$75="F"),--(($D$4:$D$75=L42)+($E$4:$E$75=L42)&gt;0),--($F$4:$F$75=$G$4:$G$75),--($F$4:$F$75&lt;&gt;""),--($G$4:$G$75&lt;&gt;""))</f>
        <v>1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2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3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6</v>
      </c>
      <c r="R42" s="60">
        <f t="shared" si="18"/>
        <v>-3</v>
      </c>
      <c r="S42" s="60">
        <f t="shared" si="19"/>
        <v>1</v>
      </c>
      <c r="T42" s="71">
        <f t="shared" si="20"/>
        <v>97003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82"/>
      <c r="AH42" s="82"/>
      <c r="AI42" s="82"/>
      <c r="AJ42" s="82"/>
      <c r="AK42" s="82"/>
      <c r="AL42" s="82"/>
      <c r="AM42" s="82"/>
      <c r="AN42" s="82"/>
    </row>
    <row r="43" spans="1:40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1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0</v>
      </c>
      <c r="J43" s="40">
        <f>IF(OR(H43="",'📊 Resultat &amp; Tabell'!M44=""),"",IF(H43='📊 Resultat &amp; Tabell'!M44,2,0))</f>
        <v>0</v>
      </c>
      <c r="K43" s="40">
        <f t="shared" si="1"/>
        <v>0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5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6</v>
      </c>
      <c r="R43" s="60">
        <f t="shared" si="18"/>
        <v>-1</v>
      </c>
      <c r="S43" s="60">
        <f t="shared" si="19"/>
        <v>4</v>
      </c>
      <c r="T43" s="71">
        <f t="shared" si="20"/>
        <v>399005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82"/>
      <c r="AH43" s="82"/>
      <c r="AI43" s="82"/>
      <c r="AJ43" s="82"/>
      <c r="AK43" s="82"/>
      <c r="AL43" s="82"/>
      <c r="AM43" s="82"/>
      <c r="AN43" s="82"/>
    </row>
    <row r="44" spans="1:40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1</v>
      </c>
      <c r="G44" s="13">
        <v>3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2</v>
      </c>
      <c r="J44" s="40">
        <f>IF(OR(H44="",'📊 Resultat &amp; Tabell'!M45=""),"",IF(H44='📊 Resultat &amp; Tabell'!M45,2,0))</f>
        <v>2</v>
      </c>
      <c r="K44" s="40">
        <f t="shared" si="1"/>
        <v>4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2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1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4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5</v>
      </c>
      <c r="R44" s="60">
        <f t="shared" si="18"/>
        <v>-1</v>
      </c>
      <c r="S44" s="60">
        <f t="shared" si="19"/>
        <v>2</v>
      </c>
      <c r="T44" s="71">
        <f t="shared" si="20"/>
        <v>199004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82"/>
      <c r="AH44" s="82"/>
      <c r="AI44" s="82"/>
      <c r="AJ44" s="82"/>
      <c r="AK44" s="82"/>
      <c r="AL44" s="82"/>
      <c r="AM44" s="82"/>
      <c r="AN44" s="82"/>
    </row>
    <row r="45" spans="1:40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1</v>
      </c>
      <c r="H45" s="40" t="str">
        <f t="shared" si="0"/>
        <v>X</v>
      </c>
      <c r="I45" s="40">
        <f>IF(OR(F45="",G45="",'📊 Resultat &amp; Tabell'!K46="",'📊 Resultat &amp; Tabell'!L46=""),"",IF(F45='📊 Resultat &amp; Tabell'!K46,2,0)+IF(G45='📊 Resultat &amp; Tabell'!L46,2,0))</f>
        <v>4</v>
      </c>
      <c r="J45" s="40">
        <f>IF(OR(H45="",'📊 Resultat &amp; Tabell'!M46=""),"",IF(H45='📊 Resultat &amp; Tabell'!M46,2,0))</f>
        <v>2</v>
      </c>
      <c r="K45" s="40">
        <f t="shared" si="1"/>
        <v>6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82"/>
      <c r="AH45" s="82"/>
      <c r="AI45" s="82"/>
      <c r="AJ45" s="82"/>
      <c r="AK45" s="82"/>
      <c r="AL45" s="82"/>
      <c r="AM45" s="82"/>
      <c r="AN45" s="82"/>
    </row>
    <row r="46" spans="1:40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3</v>
      </c>
      <c r="G46" s="13">
        <v>2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0</v>
      </c>
      <c r="J46" s="40">
        <f>IF(OR(H46="",'📊 Resultat &amp; Tabell'!M47=""),"",IF(H46='📊 Resultat &amp; Tabell'!M47,2,0))</f>
        <v>0</v>
      </c>
      <c r="K46" s="40">
        <f t="shared" si="1"/>
        <v>0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82"/>
      <c r="AH46" s="82"/>
      <c r="AI46" s="82"/>
      <c r="AJ46" s="82"/>
      <c r="AK46" s="82"/>
      <c r="AL46" s="82"/>
      <c r="AM46" s="82"/>
      <c r="AN46" s="82"/>
    </row>
    <row r="47" spans="1:40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2</v>
      </c>
      <c r="G47" s="13">
        <v>1</v>
      </c>
      <c r="H47" s="40" t="str">
        <f t="shared" si="0"/>
        <v>1</v>
      </c>
      <c r="I47" s="40">
        <f>IF(OR(F47="",G47="",'📊 Resultat &amp; Tabell'!K48="",'📊 Resultat &amp; Tabell'!L48=""),"",IF(F47='📊 Resultat &amp; Tabell'!K48,2,0)+IF(G47='📊 Resultat &amp; Tabell'!L48,2,0))</f>
        <v>2</v>
      </c>
      <c r="J47" s="40">
        <f>IF(OR(H47="",'📊 Resultat &amp; Tabell'!M48=""),"",IF(H47='📊 Resultat &amp; Tabell'!M48,2,0))</f>
        <v>0</v>
      </c>
      <c r="K47" s="40">
        <f t="shared" si="1"/>
        <v>2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82"/>
      <c r="AH47" s="82"/>
      <c r="AI47" s="82"/>
      <c r="AJ47" s="82"/>
      <c r="AK47" s="82"/>
      <c r="AL47" s="82"/>
      <c r="AM47" s="82"/>
      <c r="AN47" s="82"/>
    </row>
    <row r="48" spans="1:40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1</v>
      </c>
      <c r="G48" s="13">
        <v>1</v>
      </c>
      <c r="H48" s="40" t="str">
        <f t="shared" si="0"/>
        <v>X</v>
      </c>
      <c r="I48" s="40">
        <f>IF(OR(F48="",G48="",'📊 Resultat &amp; Tabell'!K49="",'📊 Resultat &amp; Tabell'!L49=""),"",IF(F48='📊 Resultat &amp; Tabell'!K49,2,0)+IF(G48='📊 Resultat &amp; Tabell'!L49,2,0))</f>
        <v>0</v>
      </c>
      <c r="J48" s="40">
        <f>IF(OR(H48="",'📊 Resultat &amp; Tabell'!M49=""),"",IF(H48='📊 Resultat &amp; Tabell'!M49,2,0))</f>
        <v>2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9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3</v>
      </c>
      <c r="R48" s="60">
        <f t="shared" ref="R48:R51" si="21">P48-Q48</f>
        <v>6</v>
      </c>
      <c r="S48" s="60">
        <f t="shared" ref="S48:S51" si="22">M48*3+N48</f>
        <v>9</v>
      </c>
      <c r="T48" s="71">
        <f t="shared" ref="T48:T51" si="23">S48*100000+R48*1000+P48</f>
        <v>906009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82"/>
      <c r="AH48" s="82"/>
      <c r="AI48" s="82"/>
      <c r="AJ48" s="82"/>
      <c r="AK48" s="82"/>
      <c r="AL48" s="82"/>
      <c r="AM48" s="82"/>
      <c r="AN48" s="82"/>
    </row>
    <row r="49" spans="1:40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4</v>
      </c>
      <c r="G49" s="13">
        <v>1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2</v>
      </c>
      <c r="J49" s="40">
        <f>IF(OR(H49="",'📊 Resultat &amp; Tabell'!M50=""),"",IF(H49='📊 Resultat &amp; Tabell'!M50,2,0))</f>
        <v>2</v>
      </c>
      <c r="K49" s="40">
        <f t="shared" si="1"/>
        <v>4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0</v>
      </c>
      <c r="N49" s="59" cm="1">
        <f t="array" ref="N49">SUMPRODUCT(--($C$4:$C$75="G"),--(($D$4:$D$75=L49)+($E$4:$E$75=L49)&gt;0),--($F$4:$F$75=$G$4:$G$75),--($F$4:$F$75&lt;&gt;""),--($G$4:$G$75&lt;&gt;""))</f>
        <v>1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2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2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6</v>
      </c>
      <c r="R49" s="60">
        <f t="shared" si="21"/>
        <v>-4</v>
      </c>
      <c r="S49" s="60">
        <f t="shared" si="22"/>
        <v>1</v>
      </c>
      <c r="T49" s="71">
        <f t="shared" si="23"/>
        <v>96002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82"/>
      <c r="AH49" s="82"/>
      <c r="AI49" s="82"/>
      <c r="AJ49" s="82"/>
      <c r="AK49" s="82"/>
      <c r="AL49" s="82"/>
      <c r="AM49" s="82"/>
      <c r="AN49" s="82"/>
    </row>
    <row r="50" spans="1:40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0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2</v>
      </c>
      <c r="J50" s="40">
        <f>IF(OR(H50="",'📊 Resultat &amp; Tabell'!M51=""),"",IF(H50='📊 Resultat &amp; Tabell'!M51,2,0))</f>
        <v>2</v>
      </c>
      <c r="K50" s="40">
        <f t="shared" si="1"/>
        <v>4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0</v>
      </c>
      <c r="N50" s="59" cm="1">
        <f t="array" ref="N50">SUMPRODUCT(--($C$4:$C$75="G"),--(($D$4:$D$75=L50)+($E$4:$E$75=L50)&gt;0),--($F$4:$F$75=$G$4:$G$75),--($F$4:$F$75&lt;&gt;""),--($G$4:$G$75&lt;&gt;""))</f>
        <v>2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1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2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3</v>
      </c>
      <c r="R50" s="60">
        <f t="shared" si="21"/>
        <v>-1</v>
      </c>
      <c r="S50" s="60">
        <f t="shared" si="22"/>
        <v>2</v>
      </c>
      <c r="T50" s="71">
        <f t="shared" si="23"/>
        <v>199002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82"/>
      <c r="AH50" s="82"/>
      <c r="AI50" s="82"/>
      <c r="AJ50" s="82"/>
      <c r="AK50" s="82"/>
      <c r="AL50" s="82"/>
      <c r="AM50" s="82"/>
      <c r="AN50" s="82"/>
    </row>
    <row r="51" spans="1:40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0</v>
      </c>
      <c r="G51" s="13">
        <v>0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4</v>
      </c>
      <c r="J51" s="40">
        <f>IF(OR(H51="",'📊 Resultat &amp; Tabell'!M52=""),"",IF(H51='📊 Resultat &amp; Tabell'!M52,2,0))</f>
        <v>2</v>
      </c>
      <c r="K51" s="40">
        <f t="shared" si="1"/>
        <v>6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1</v>
      </c>
      <c r="N51" s="59" cm="1">
        <f t="array" ref="N51">SUMPRODUCT(--($C$4:$C$75="G"),--(($D$4:$D$75=L51)+($E$4:$E$75=L51)&gt;0),--($F$4:$F$75=$G$4:$G$75),--($F$4:$F$75&lt;&gt;""),--($G$4:$G$75&lt;&gt;""))</f>
        <v>1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1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2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3</v>
      </c>
      <c r="R51" s="60">
        <f t="shared" si="21"/>
        <v>-1</v>
      </c>
      <c r="S51" s="60">
        <f t="shared" si="22"/>
        <v>4</v>
      </c>
      <c r="T51" s="71">
        <f t="shared" si="23"/>
        <v>399002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82"/>
      <c r="AH51" s="82"/>
      <c r="AI51" s="82"/>
      <c r="AJ51" s="82"/>
      <c r="AK51" s="82"/>
      <c r="AL51" s="82"/>
      <c r="AM51" s="82"/>
      <c r="AN51" s="82"/>
    </row>
    <row r="52" spans="1:40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0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0</v>
      </c>
      <c r="J52" s="40">
        <f>IF(OR(H52="",'📊 Resultat &amp; Tabell'!M53=""),"",IF(H52='📊 Resultat &amp; Tabell'!M53,2,0))</f>
        <v>2</v>
      </c>
      <c r="K52" s="40">
        <f t="shared" si="1"/>
        <v>2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82"/>
      <c r="AH52" s="82"/>
      <c r="AI52" s="82"/>
      <c r="AJ52" s="82"/>
      <c r="AK52" s="82"/>
      <c r="AL52" s="82"/>
      <c r="AM52" s="82"/>
      <c r="AN52" s="82"/>
    </row>
    <row r="53" spans="1:40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1</v>
      </c>
      <c r="G53" s="13">
        <v>1</v>
      </c>
      <c r="H53" s="40" t="str">
        <f t="shared" si="0"/>
        <v>X</v>
      </c>
      <c r="I53" s="40">
        <f>IF(OR(F53="",G53="",'📊 Resultat &amp; Tabell'!K54="",'📊 Resultat &amp; Tabell'!L54=""),"",IF(F53='📊 Resultat &amp; Tabell'!K54,2,0)+IF(G53='📊 Resultat &amp; Tabell'!L54,2,0))</f>
        <v>2</v>
      </c>
      <c r="J53" s="40">
        <f>IF(OR(H53="",'📊 Resultat &amp; Tabell'!M54=""),"",IF(H53='📊 Resultat &amp; Tabell'!M54,2,0))</f>
        <v>0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82"/>
      <c r="AH53" s="82"/>
      <c r="AI53" s="82"/>
      <c r="AJ53" s="82"/>
      <c r="AK53" s="82"/>
      <c r="AL53" s="82"/>
      <c r="AM53" s="82"/>
      <c r="AN53" s="82"/>
    </row>
    <row r="54" spans="1:40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2</v>
      </c>
      <c r="G54" s="13">
        <v>1</v>
      </c>
      <c r="H54" s="40" t="str">
        <f t="shared" si="0"/>
        <v>1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2</v>
      </c>
      <c r="K54" s="40">
        <f t="shared" si="1"/>
        <v>2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82"/>
      <c r="AH54" s="82"/>
      <c r="AI54" s="82"/>
      <c r="AJ54" s="82"/>
      <c r="AK54" s="82"/>
      <c r="AL54" s="82"/>
      <c r="AM54" s="82"/>
      <c r="AN54" s="82"/>
    </row>
    <row r="55" spans="1:40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4</v>
      </c>
      <c r="G55" s="13">
        <v>1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0</v>
      </c>
      <c r="J55" s="40">
        <f>IF(OR(H55="",'📊 Resultat &amp; Tabell'!M56=""),"",IF(H55='📊 Resultat &amp; Tabell'!M56,2,0))</f>
        <v>2</v>
      </c>
      <c r="K55" s="40">
        <f t="shared" si="1"/>
        <v>2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9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3</v>
      </c>
      <c r="R55" s="60">
        <f t="shared" ref="R55:R58" si="24">P55-Q55</f>
        <v>6</v>
      </c>
      <c r="S55" s="60">
        <f t="shared" ref="S55:S58" si="25">M55*3+N55</f>
        <v>9</v>
      </c>
      <c r="T55" s="71">
        <f t="shared" ref="T55:T58" si="26">S55*100000+R55*1000+P55</f>
        <v>906009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82"/>
      <c r="AH55" s="82"/>
      <c r="AI55" s="82"/>
      <c r="AJ55" s="82"/>
      <c r="AK55" s="82"/>
      <c r="AL55" s="82"/>
      <c r="AM55" s="82"/>
      <c r="AN55" s="82"/>
    </row>
    <row r="56" spans="1:40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0</v>
      </c>
      <c r="G56" s="13">
        <v>3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0</v>
      </c>
      <c r="J56" s="40">
        <f>IF(OR(H56="",'📊 Resultat &amp; Tabell'!M57=""),"",IF(H56='📊 Resultat &amp; Tabell'!M57,2,0))</f>
        <v>2</v>
      </c>
      <c r="K56" s="40">
        <f t="shared" si="1"/>
        <v>2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2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1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3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4</v>
      </c>
      <c r="R56" s="60">
        <f t="shared" si="24"/>
        <v>-1</v>
      </c>
      <c r="S56" s="60">
        <f t="shared" si="25"/>
        <v>2</v>
      </c>
      <c r="T56" s="71">
        <f t="shared" si="26"/>
        <v>199003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82"/>
      <c r="AH56" s="82"/>
      <c r="AI56" s="82"/>
      <c r="AJ56" s="82"/>
      <c r="AK56" s="82"/>
      <c r="AL56" s="82"/>
      <c r="AM56" s="82"/>
      <c r="AN56" s="82"/>
    </row>
    <row r="57" spans="1:40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1</v>
      </c>
      <c r="G57" s="13">
        <v>1</v>
      </c>
      <c r="H57" s="40" t="str">
        <f t="shared" si="0"/>
        <v>X</v>
      </c>
      <c r="I57" s="40">
        <f>IF(OR(F57="",G57="",'📊 Resultat &amp; Tabell'!K58="",'📊 Resultat &amp; Tabell'!L58=""),"",IF(F57='📊 Resultat &amp; Tabell'!K58,2,0)+IF(G57='📊 Resultat &amp; Tabell'!L58,2,0))</f>
        <v>0</v>
      </c>
      <c r="J57" s="40">
        <f>IF(OR(H57="",'📊 Resultat &amp; Tabell'!M58=""),"",IF(H57='📊 Resultat &amp; Tabell'!M58,2,0))</f>
        <v>0</v>
      </c>
      <c r="K57" s="40">
        <f t="shared" si="1"/>
        <v>0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1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1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3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5</v>
      </c>
      <c r="R57" s="60">
        <f t="shared" si="24"/>
        <v>-2</v>
      </c>
      <c r="S57" s="60">
        <f t="shared" si="25"/>
        <v>4</v>
      </c>
      <c r="T57" s="71">
        <f t="shared" si="26"/>
        <v>398003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82"/>
      <c r="AH57" s="82"/>
      <c r="AI57" s="82"/>
      <c r="AJ57" s="82"/>
      <c r="AK57" s="82"/>
      <c r="AL57" s="82"/>
      <c r="AM57" s="82"/>
      <c r="AN57" s="82"/>
    </row>
    <row r="58" spans="1:40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1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2</v>
      </c>
      <c r="J58" s="40">
        <f>IF(OR(H58="",'📊 Resultat &amp; Tabell'!M59=""),"",IF(H58='📊 Resultat &amp; Tabell'!M59,2,0))</f>
        <v>2</v>
      </c>
      <c r="K58" s="40">
        <f t="shared" si="1"/>
        <v>4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0</v>
      </c>
      <c r="N58" s="59" cm="1">
        <f t="array" ref="N58">SUMPRODUCT(--($C$4:$C$75="H"),--(($D$4:$D$75=L58)+($E$4:$E$75=L58)&gt;0),--($F$4:$F$75=$G$4:$G$75),--($F$4:$F$75&lt;&gt;""),--($G$4:$G$75&lt;&gt;""))</f>
        <v>1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2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2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5</v>
      </c>
      <c r="R58" s="60">
        <f t="shared" si="24"/>
        <v>-3</v>
      </c>
      <c r="S58" s="60">
        <f t="shared" si="25"/>
        <v>1</v>
      </c>
      <c r="T58" s="71">
        <f t="shared" si="26"/>
        <v>97002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82"/>
      <c r="AH58" s="82"/>
      <c r="AI58" s="82"/>
      <c r="AJ58" s="82"/>
      <c r="AK58" s="82"/>
      <c r="AL58" s="82"/>
      <c r="AM58" s="82"/>
      <c r="AN58" s="82"/>
    </row>
    <row r="59" spans="1:40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1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2</v>
      </c>
      <c r="J59" s="40">
        <f>IF(OR(H59="",'📊 Resultat &amp; Tabell'!M60=""),"",IF(H59='📊 Resultat &amp; Tabell'!M60,2,0))</f>
        <v>2</v>
      </c>
      <c r="K59" s="40">
        <f t="shared" si="1"/>
        <v>4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82"/>
      <c r="AH59" s="82"/>
      <c r="AI59" s="82"/>
      <c r="AJ59" s="82"/>
      <c r="AK59" s="82"/>
      <c r="AL59" s="82"/>
      <c r="AM59" s="82"/>
      <c r="AN59" s="82"/>
    </row>
    <row r="60" spans="1:40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0</v>
      </c>
      <c r="G60" s="13">
        <v>0</v>
      </c>
      <c r="H60" s="40" t="str">
        <f t="shared" si="0"/>
        <v>X</v>
      </c>
      <c r="I60" s="40">
        <f>IF(OR(F60="",G60="",'📊 Resultat &amp; Tabell'!K61="",'📊 Resultat &amp; Tabell'!L61=""),"",IF(F60='📊 Resultat &amp; Tabell'!K61,2,0)+IF(G60='📊 Resultat &amp; Tabell'!L61,2,0))</f>
        <v>0</v>
      </c>
      <c r="J60" s="40">
        <f>IF(OR(H60="",'📊 Resultat &amp; Tabell'!M61=""),"",IF(H60='📊 Resultat &amp; Tabell'!M61,2,0))</f>
        <v>0</v>
      </c>
      <c r="K60" s="40">
        <f t="shared" si="1"/>
        <v>0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82"/>
      <c r="AH60" s="82"/>
      <c r="AI60" s="82"/>
      <c r="AJ60" s="82"/>
      <c r="AK60" s="82"/>
      <c r="AL60" s="82"/>
      <c r="AM60" s="82"/>
      <c r="AN60" s="82"/>
    </row>
    <row r="61" spans="1:40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82"/>
      <c r="AH61" s="82"/>
      <c r="AI61" s="82"/>
      <c r="AJ61" s="82"/>
      <c r="AK61" s="82"/>
      <c r="AL61" s="82"/>
      <c r="AM61" s="82"/>
      <c r="AN61" s="82"/>
    </row>
    <row r="62" spans="1:40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1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4</v>
      </c>
      <c r="J62" s="40">
        <f>IF(OR(H62="",'📊 Resultat &amp; Tabell'!M63=""),"",IF(H62='📊 Resultat &amp; Tabell'!M63,2,0))</f>
        <v>2</v>
      </c>
      <c r="K62" s="40">
        <f t="shared" si="1"/>
        <v>6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9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1</v>
      </c>
      <c r="R62" s="60">
        <f t="shared" ref="R62:R65" si="27">P62-Q62</f>
        <v>8</v>
      </c>
      <c r="S62" s="60">
        <f t="shared" ref="S62:S65" si="28">M62*3+N62</f>
        <v>9</v>
      </c>
      <c r="T62" s="71">
        <f t="shared" ref="T62:T65" si="29">S62*100000+R62*1000+P62</f>
        <v>908009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82"/>
      <c r="AH62" s="82"/>
      <c r="AI62" s="82"/>
      <c r="AJ62" s="82"/>
      <c r="AK62" s="82"/>
      <c r="AL62" s="82"/>
      <c r="AM62" s="82"/>
      <c r="AN62" s="82"/>
    </row>
    <row r="63" spans="1:40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1</v>
      </c>
      <c r="H63" s="40" t="str">
        <f t="shared" si="0"/>
        <v>X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2</v>
      </c>
      <c r="K63" s="40">
        <f t="shared" si="1"/>
        <v>2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0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2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2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5</v>
      </c>
      <c r="R63" s="60">
        <f t="shared" si="27"/>
        <v>-3</v>
      </c>
      <c r="S63" s="60">
        <f t="shared" si="28"/>
        <v>1</v>
      </c>
      <c r="T63" s="71">
        <f t="shared" si="29"/>
        <v>97002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82"/>
      <c r="AH63" s="82"/>
      <c r="AI63" s="82"/>
      <c r="AJ63" s="82"/>
      <c r="AK63" s="82"/>
      <c r="AL63" s="82"/>
      <c r="AM63" s="82"/>
      <c r="AN63" s="82"/>
    </row>
    <row r="64" spans="1:40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4</v>
      </c>
      <c r="G64" s="13">
        <v>1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2</v>
      </c>
      <c r="J64" s="40">
        <f>IF(OR(H64="",'📊 Resultat &amp; Tabell'!M65=""),"",IF(H64='📊 Resultat &amp; Tabell'!M65,2,0))</f>
        <v>0</v>
      </c>
      <c r="K64" s="40">
        <f t="shared" si="1"/>
        <v>2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2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1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3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6</v>
      </c>
      <c r="R64" s="60">
        <f t="shared" si="27"/>
        <v>-3</v>
      </c>
      <c r="S64" s="60">
        <f t="shared" si="28"/>
        <v>2</v>
      </c>
      <c r="T64" s="71">
        <f t="shared" si="29"/>
        <v>197003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82"/>
      <c r="AH64" s="82"/>
      <c r="AI64" s="82"/>
      <c r="AJ64" s="82"/>
      <c r="AK64" s="82"/>
      <c r="AL64" s="82"/>
      <c r="AM64" s="82"/>
      <c r="AN64" s="82"/>
    </row>
    <row r="65" spans="1:40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1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2</v>
      </c>
      <c r="J65" s="40">
        <f>IF(OR(H65="",'📊 Resultat &amp; Tabell'!M66=""),"",IF(H65='📊 Resultat &amp; Tabell'!M66,2,0))</f>
        <v>2</v>
      </c>
      <c r="K65" s="40">
        <f t="shared" si="1"/>
        <v>4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1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3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5</v>
      </c>
      <c r="R65" s="60">
        <f t="shared" si="27"/>
        <v>-2</v>
      </c>
      <c r="S65" s="60">
        <f t="shared" si="28"/>
        <v>4</v>
      </c>
      <c r="T65" s="71">
        <f t="shared" si="29"/>
        <v>398003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82"/>
      <c r="AH65" s="82"/>
      <c r="AI65" s="82"/>
      <c r="AJ65" s="82"/>
      <c r="AK65" s="82"/>
      <c r="AL65" s="82"/>
      <c r="AM65" s="82"/>
      <c r="AN65" s="82"/>
    </row>
    <row r="66" spans="1:40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3</v>
      </c>
      <c r="G66" s="13">
        <v>1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0</v>
      </c>
      <c r="J66" s="40">
        <f>IF(OR(H66="",'📊 Resultat &amp; Tabell'!M67=""),"",IF(H66='📊 Resultat &amp; Tabell'!M67,2,0))</f>
        <v>2</v>
      </c>
      <c r="K66" s="40">
        <f t="shared" si="1"/>
        <v>2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82"/>
      <c r="AH66" s="82"/>
      <c r="AI66" s="82"/>
      <c r="AJ66" s="82"/>
      <c r="AK66" s="82"/>
      <c r="AL66" s="82"/>
      <c r="AM66" s="82"/>
      <c r="AN66" s="82"/>
    </row>
    <row r="67" spans="1:40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3</v>
      </c>
      <c r="G67" s="13">
        <v>0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1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82"/>
      <c r="AH67" s="82"/>
      <c r="AI67" s="82"/>
      <c r="AJ67" s="82"/>
      <c r="AK67" s="82"/>
      <c r="AL67" s="82"/>
      <c r="AM67" s="82"/>
      <c r="AN67" s="82"/>
    </row>
    <row r="68" spans="1:40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0</v>
      </c>
      <c r="G68" s="13">
        <v>2</v>
      </c>
      <c r="H68" s="40" t="str">
        <f t="shared" ref="H68:H107" si="30">IF(OR(F68="",G68=""),"",IF(F68&gt;G68,"1",IF(F68&lt;G68,"2","X")))</f>
        <v>2</v>
      </c>
      <c r="I68" s="40">
        <f>IF(OR(F68="",G68="",'📊 Resultat &amp; Tabell'!K69="",'📊 Resultat &amp; Tabell'!L69=""),"",IF(F68='📊 Resultat &amp; Tabell'!K69,2,0)+IF(G68='📊 Resultat &amp; Tabell'!L69,2,0))</f>
        <v>2</v>
      </c>
      <c r="J68" s="40">
        <f>IF(OR(H68="",'📊 Resultat &amp; Tabell'!M69=""),"",IF(H68='📊 Resultat &amp; Tabell'!M69,2,0))</f>
        <v>0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82"/>
      <c r="AH68" s="82"/>
      <c r="AI68" s="82"/>
      <c r="AJ68" s="82"/>
      <c r="AK68" s="82"/>
      <c r="AL68" s="82"/>
      <c r="AM68" s="82"/>
      <c r="AN68" s="82"/>
    </row>
    <row r="69" spans="1:40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1</v>
      </c>
      <c r="H69" s="40" t="str">
        <f t="shared" si="30"/>
        <v>X</v>
      </c>
      <c r="I69" s="40">
        <f>IF(OR(F69="",G69="",'📊 Resultat &amp; Tabell'!K70="",'📊 Resultat &amp; Tabell'!L70=""),"",IF(F69='📊 Resultat &amp; Tabell'!K70,2,0)+IF(G69='📊 Resultat &amp; Tabell'!L70,2,0))</f>
        <v>2</v>
      </c>
      <c r="J69" s="40">
        <f>IF(OR(H69="",'📊 Resultat &amp; Tabell'!M70=""),"",IF(H69='📊 Resultat &amp; Tabell'!M70,2,0))</f>
        <v>0</v>
      </c>
      <c r="K69" s="40">
        <f t="shared" si="31"/>
        <v>2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3</v>
      </c>
      <c r="R69" s="60">
        <f t="shared" ref="R69:R72" si="32">P69-Q69</f>
        <v>5</v>
      </c>
      <c r="S69" s="60">
        <f t="shared" ref="S69:S72" si="33">M69*3+N69</f>
        <v>9</v>
      </c>
      <c r="T69" s="71">
        <f t="shared" ref="T69:T72" si="34">S69*100000+R69*1000+P69</f>
        <v>905008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82"/>
      <c r="AH69" s="82"/>
      <c r="AI69" s="82"/>
      <c r="AJ69" s="82"/>
      <c r="AK69" s="82"/>
      <c r="AL69" s="82"/>
      <c r="AM69" s="82"/>
      <c r="AN69" s="82"/>
    </row>
    <row r="70" spans="1:40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2</v>
      </c>
      <c r="H70" s="40" t="str">
        <f t="shared" si="30"/>
        <v>X</v>
      </c>
      <c r="I70" s="40">
        <f>IF(OR(F70="",G70="",'📊 Resultat &amp; Tabell'!K71="",'📊 Resultat &amp; Tabell'!L71=""),"",IF(F70='📊 Resultat &amp; Tabell'!K71,2,0)+IF(G70='📊 Resultat &amp; Tabell'!L71,2,0))</f>
        <v>2</v>
      </c>
      <c r="J70" s="40">
        <f>IF(OR(H70="",'📊 Resultat &amp; Tabell'!M71=""),"",IF(H70='📊 Resultat &amp; Tabell'!M71,2,0))</f>
        <v>0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2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1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2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4</v>
      </c>
      <c r="R70" s="60">
        <f t="shared" si="32"/>
        <v>-2</v>
      </c>
      <c r="S70" s="60">
        <f t="shared" si="33"/>
        <v>2</v>
      </c>
      <c r="T70" s="71">
        <f t="shared" si="34"/>
        <v>198002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82"/>
      <c r="AH70" s="82"/>
      <c r="AI70" s="82"/>
      <c r="AJ70" s="82"/>
      <c r="AK70" s="82"/>
      <c r="AL70" s="82"/>
      <c r="AM70" s="82"/>
      <c r="AN70" s="82"/>
    </row>
    <row r="71" spans="1:40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1</v>
      </c>
      <c r="G71" s="13">
        <v>1</v>
      </c>
      <c r="H71" s="40" t="str">
        <f t="shared" si="30"/>
        <v>X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0</v>
      </c>
      <c r="K71" s="40">
        <f t="shared" si="31"/>
        <v>2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1</v>
      </c>
      <c r="N71" s="59" cm="1">
        <f t="array" ref="N71">SUMPRODUCT(--($C$4:$C$75="J"),--(($D$4:$D$75=L71)+($E$4:$E$75=L71)&gt;0),--($F$4:$F$75=$G$4:$G$75),--($F$4:$F$75&lt;&gt;""),--($G$4:$G$75&lt;&gt;""))</f>
        <v>1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4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4</v>
      </c>
      <c r="R71" s="60">
        <f t="shared" si="32"/>
        <v>0</v>
      </c>
      <c r="S71" s="60">
        <f t="shared" si="33"/>
        <v>4</v>
      </c>
      <c r="T71" s="71">
        <f t="shared" si="34"/>
        <v>400004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82"/>
      <c r="AH71" s="82"/>
      <c r="AI71" s="82"/>
      <c r="AJ71" s="82"/>
      <c r="AK71" s="82"/>
      <c r="AL71" s="82"/>
      <c r="AM71" s="82"/>
      <c r="AN71" s="82"/>
    </row>
    <row r="72" spans="1:40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1</v>
      </c>
      <c r="G72" s="13">
        <v>3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0</v>
      </c>
      <c r="J72" s="40">
        <f>IF(OR(H72="",'📊 Resultat &amp; Tabell'!M73=""),"",IF(H72='📊 Resultat &amp; Tabell'!M73,2,0))</f>
        <v>2</v>
      </c>
      <c r="K72" s="40">
        <f t="shared" si="31"/>
        <v>2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2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5</v>
      </c>
      <c r="R72" s="60">
        <f t="shared" si="32"/>
        <v>-3</v>
      </c>
      <c r="S72" s="60">
        <f t="shared" si="33"/>
        <v>1</v>
      </c>
      <c r="T72" s="71">
        <f t="shared" si="34"/>
        <v>97002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82"/>
      <c r="AH72" s="82"/>
      <c r="AI72" s="82"/>
      <c r="AJ72" s="82"/>
      <c r="AK72" s="82"/>
      <c r="AL72" s="82"/>
      <c r="AM72" s="82"/>
      <c r="AN72" s="82"/>
    </row>
    <row r="73" spans="1:40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2</v>
      </c>
      <c r="G73" s="13">
        <v>0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2</v>
      </c>
      <c r="J73" s="40">
        <f>IF(OR(H73="",'📊 Resultat &amp; Tabell'!M74=""),"",IF(H73='📊 Resultat &amp; Tabell'!M74,2,0))</f>
        <v>0</v>
      </c>
      <c r="K73" s="40">
        <f t="shared" si="31"/>
        <v>2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82"/>
      <c r="AH73" s="82"/>
      <c r="AI73" s="82"/>
      <c r="AJ73" s="82"/>
      <c r="AK73" s="82"/>
      <c r="AL73" s="82"/>
      <c r="AM73" s="82"/>
      <c r="AN73" s="82"/>
    </row>
    <row r="74" spans="1:40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1</v>
      </c>
      <c r="G74" s="13">
        <v>1</v>
      </c>
      <c r="H74" s="40" t="str">
        <f t="shared" si="30"/>
        <v>X</v>
      </c>
      <c r="I74" s="40">
        <f>IF(OR(F74="",G74="",'📊 Resultat &amp; Tabell'!K75="",'📊 Resultat &amp; Tabell'!L75=""),"",IF(F74='📊 Resultat &amp; Tabell'!K75,2,0)+IF(G74='📊 Resultat &amp; Tabell'!L75,2,0))</f>
        <v>0</v>
      </c>
      <c r="J74" s="40">
        <f>IF(OR(H74="",'📊 Resultat &amp; Tabell'!M75=""),"",IF(H74='📊 Resultat &amp; Tabell'!M75,2,0))</f>
        <v>0</v>
      </c>
      <c r="K74" s="40">
        <f t="shared" si="31"/>
        <v>0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82"/>
      <c r="AH74" s="82"/>
      <c r="AI74" s="82"/>
      <c r="AJ74" s="82"/>
      <c r="AK74" s="82"/>
      <c r="AL74" s="82"/>
      <c r="AM74" s="82"/>
      <c r="AN74" s="82"/>
    </row>
    <row r="75" spans="1:40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3</v>
      </c>
      <c r="G75" s="13">
        <v>1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2</v>
      </c>
      <c r="J75" s="40">
        <f>IF(OR(H75="",'📊 Resultat &amp; Tabell'!M76=""),"",IF(H75='📊 Resultat &amp; Tabell'!M76,2,0))</f>
        <v>2</v>
      </c>
      <c r="K75" s="40">
        <f t="shared" si="31"/>
        <v>4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82"/>
      <c r="AH75" s="82"/>
      <c r="AI75" s="82"/>
      <c r="AJ75" s="82"/>
      <c r="AK75" s="82"/>
      <c r="AL75" s="82"/>
      <c r="AM75" s="82"/>
      <c r="AN75" s="82"/>
    </row>
    <row r="76" spans="1:40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2</v>
      </c>
      <c r="G76" s="13">
        <v>1</v>
      </c>
      <c r="H76" s="40" t="str">
        <f t="shared" si="30"/>
        <v>1</v>
      </c>
      <c r="I76" s="40">
        <f>IF(OR(F76="",G76="",'📊 Resultat &amp; Tabell'!K77="",'📊 Resultat &amp; Tabell'!L77=""),"",IF(F76='📊 Resultat &amp; Tabell'!K77,2,0)+IF(G76='📊 Resultat &amp; Tabell'!L77,2,0))</f>
        <v>2</v>
      </c>
      <c r="J76" s="40">
        <f>IF(OR(H76="",'📊 Resultat &amp; Tabell'!M77=""),"",IF(H76='📊 Resultat &amp; Tabell'!M77,2,0))</f>
        <v>0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3</v>
      </c>
      <c r="N76" s="59" cm="1">
        <f t="array" ref="N76">SUMPRODUCT(--($C$4:$C$75="K"),--(($D$4:$D$75=L76)+($E$4:$E$75=L76)&gt;0),--($F$4:$F$75=$G$4:$G$75),--($F$4:$F$75&lt;&gt;""),--($G$4:$G$75&lt;&gt;""))</f>
        <v>0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9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1</v>
      </c>
      <c r="R76" s="60">
        <f t="shared" ref="R76:R79" si="35">P76-Q76</f>
        <v>8</v>
      </c>
      <c r="S76" s="60">
        <f t="shared" ref="S76:S79" si="36">M76*3+N76</f>
        <v>9</v>
      </c>
      <c r="T76" s="71">
        <f t="shared" ref="T76:T79" si="37">S76*100000+R76*1000+P76</f>
        <v>908009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82"/>
      <c r="AH76" s="82"/>
      <c r="AI76" s="82"/>
      <c r="AJ76" s="82"/>
      <c r="AK76" s="82"/>
      <c r="AL76" s="82"/>
      <c r="AM76" s="82"/>
      <c r="AN76" s="82"/>
    </row>
    <row r="77" spans="1:40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4</v>
      </c>
      <c r="J77" s="40">
        <f>IF(OR(H77="",'📊 Resultat &amp; Tabell'!M78=""),"",IF(H77='📊 Resultat &amp; Tabell'!M78,2,0))</f>
        <v>2</v>
      </c>
      <c r="K77" s="40">
        <f t="shared" si="31"/>
        <v>6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1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3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8</v>
      </c>
      <c r="R77" s="60">
        <f t="shared" si="35"/>
        <v>-5</v>
      </c>
      <c r="S77" s="60">
        <f t="shared" si="36"/>
        <v>1</v>
      </c>
      <c r="T77" s="71">
        <f t="shared" si="37"/>
        <v>95003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82"/>
      <c r="AH77" s="82"/>
      <c r="AI77" s="82"/>
      <c r="AJ77" s="82"/>
      <c r="AK77" s="82"/>
      <c r="AL77" s="82"/>
      <c r="AM77" s="82"/>
      <c r="AN77" s="82"/>
    </row>
    <row r="78" spans="1:40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3</v>
      </c>
      <c r="G78" s="13">
        <v>2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1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2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6</v>
      </c>
      <c r="R78" s="60">
        <f t="shared" si="35"/>
        <v>-4</v>
      </c>
      <c r="S78" s="60">
        <f t="shared" si="36"/>
        <v>1</v>
      </c>
      <c r="T78" s="71">
        <f t="shared" si="37"/>
        <v>96002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82"/>
      <c r="AH78" s="82"/>
      <c r="AI78" s="82"/>
      <c r="AJ78" s="82"/>
      <c r="AK78" s="82"/>
      <c r="AL78" s="82"/>
      <c r="AM78" s="82"/>
      <c r="AN78" s="82"/>
    </row>
    <row r="79" spans="1:40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3</v>
      </c>
      <c r="G79" s="13">
        <v>0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0</v>
      </c>
      <c r="J79" s="40">
        <f>IF(OR(H79="",'📊 Resultat &amp; Tabell'!M80=""),"",IF(H79='📊 Resultat &amp; Tabell'!M80,2,0))</f>
        <v>0</v>
      </c>
      <c r="K79" s="40">
        <f t="shared" si="31"/>
        <v>0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0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1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5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4</v>
      </c>
      <c r="R79" s="60">
        <f t="shared" si="35"/>
        <v>1</v>
      </c>
      <c r="S79" s="60">
        <f t="shared" si="36"/>
        <v>6</v>
      </c>
      <c r="T79" s="71">
        <f t="shared" si="37"/>
        <v>601005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82"/>
      <c r="AH79" s="82"/>
      <c r="AI79" s="82"/>
      <c r="AJ79" s="82"/>
      <c r="AK79" s="82"/>
      <c r="AL79" s="82"/>
      <c r="AM79" s="82"/>
      <c r="AN79" s="82"/>
    </row>
    <row r="80" spans="1:40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1</v>
      </c>
      <c r="G80" s="13">
        <v>1</v>
      </c>
      <c r="H80" s="40" t="str">
        <f t="shared" si="30"/>
        <v>X</v>
      </c>
      <c r="I80" s="40">
        <f>IF(OR(F80="",G80="",'📊 Resultat &amp; Tabell'!K81="",'📊 Resultat &amp; Tabell'!L81=""),"",IF(F80='📊 Resultat &amp; Tabell'!K81,2,0)+IF(G80='📊 Resultat &amp; Tabell'!L81,2,0))</f>
        <v>2</v>
      </c>
      <c r="J80" s="40">
        <f>IF(OR(H80="",'📊 Resultat &amp; Tabell'!M81=""),"",IF(H80='📊 Resultat &amp; Tabell'!M81,2,0))</f>
        <v>0</v>
      </c>
      <c r="K80" s="40">
        <f t="shared" si="31"/>
        <v>2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82"/>
      <c r="AH80" s="82"/>
      <c r="AI80" s="82"/>
      <c r="AJ80" s="82"/>
      <c r="AK80" s="82"/>
      <c r="AL80" s="82"/>
      <c r="AM80" s="82"/>
      <c r="AN80" s="82"/>
    </row>
    <row r="81" spans="1:40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4</v>
      </c>
      <c r="G81" s="13">
        <v>1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0</v>
      </c>
      <c r="J81" s="40">
        <f>IF(OR(H81="",'📊 Resultat &amp; Tabell'!M82=""),"",IF(H81='📊 Resultat &amp; Tabell'!M82,2,0))</f>
        <v>2</v>
      </c>
      <c r="K81" s="40">
        <f t="shared" si="31"/>
        <v>2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82"/>
      <c r="AH81" s="82"/>
      <c r="AI81" s="82"/>
      <c r="AJ81" s="82"/>
      <c r="AK81" s="82"/>
      <c r="AL81" s="82"/>
      <c r="AM81" s="82"/>
      <c r="AN81" s="82"/>
    </row>
    <row r="82" spans="1:40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3</v>
      </c>
      <c r="G82" s="13">
        <v>1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0</v>
      </c>
      <c r="J82" s="40">
        <f>IF(OR(H82="",'📊 Resultat &amp; Tabell'!M83=""),"",IF(H82='📊 Resultat &amp; Tabell'!M83,2,0))</f>
        <v>2</v>
      </c>
      <c r="K82" s="40">
        <f t="shared" si="31"/>
        <v>2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82"/>
      <c r="AH82" s="82"/>
      <c r="AI82" s="82"/>
      <c r="AJ82" s="82"/>
      <c r="AK82" s="82"/>
      <c r="AL82" s="82"/>
      <c r="AM82" s="82"/>
      <c r="AN82" s="82"/>
    </row>
    <row r="83" spans="1:40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2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2</v>
      </c>
      <c r="J83" s="40">
        <f>IF(OR(H83="",'📊 Resultat &amp; Tabell'!M84=""),"",IF(H83='📊 Resultat &amp; Tabell'!M84,2,0))</f>
        <v>2</v>
      </c>
      <c r="K83" s="40">
        <f t="shared" si="31"/>
        <v>4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1</v>
      </c>
      <c r="N83" s="59" cm="1">
        <f t="array" ref="N83">SUMPRODUCT(--($C$4:$C$75="L"),--(($D$4:$D$75=L83)+($E$4:$E$75=L83)&gt;0),--($F$4:$F$75=$G$4:$G$75),--($F$4:$F$75&lt;&gt;""),--($G$4:$G$75&lt;&gt;""))</f>
        <v>2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5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3</v>
      </c>
      <c r="R83" s="60">
        <f t="shared" ref="R83:R86" si="38">P83-Q83</f>
        <v>2</v>
      </c>
      <c r="S83" s="60">
        <f t="shared" ref="S83:S86" si="39">M83*3+N83</f>
        <v>5</v>
      </c>
      <c r="T83" s="71">
        <f t="shared" ref="T83:T86" si="40">S83*100000+R83*1000+P83</f>
        <v>502005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82"/>
      <c r="AH83" s="82"/>
      <c r="AI83" s="82"/>
      <c r="AJ83" s="82"/>
      <c r="AK83" s="82"/>
      <c r="AL83" s="82"/>
      <c r="AM83" s="82"/>
      <c r="AN83" s="82"/>
    </row>
    <row r="84" spans="1:40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3</v>
      </c>
      <c r="G84" s="13">
        <v>1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0</v>
      </c>
      <c r="J84" s="40">
        <f>IF(OR(H84="",'📊 Resultat &amp; Tabell'!M85=""),"",IF(H84='📊 Resultat &amp; Tabell'!M85,2,0))</f>
        <v>0</v>
      </c>
      <c r="K84" s="40">
        <f t="shared" si="31"/>
        <v>0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2</v>
      </c>
      <c r="N84" s="59" cm="1">
        <f t="array" ref="N84">SUMPRODUCT(--($C$4:$C$75="L"),--(($D$4:$D$75=L84)+($E$4:$E$75=L84)&gt;0),--($F$4:$F$75=$G$4:$G$75),--($F$4:$F$75&lt;&gt;""),--($G$4:$G$75&lt;&gt;""))</f>
        <v>1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0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8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4</v>
      </c>
      <c r="R84" s="60">
        <f t="shared" si="38"/>
        <v>4</v>
      </c>
      <c r="S84" s="60">
        <f t="shared" si="39"/>
        <v>7</v>
      </c>
      <c r="T84" s="71">
        <f t="shared" si="40"/>
        <v>704008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82"/>
      <c r="AH84" s="82"/>
      <c r="AI84" s="82"/>
      <c r="AJ84" s="82"/>
      <c r="AK84" s="82"/>
      <c r="AL84" s="82"/>
      <c r="AM84" s="82"/>
      <c r="AN84" s="82"/>
    </row>
    <row r="85" spans="1:40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1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2</v>
      </c>
      <c r="J85" s="40">
        <f>IF(OR(H85="",'📊 Resultat &amp; Tabell'!M86=""),"",IF(H85='📊 Resultat &amp; Tabell'!M86,2,0))</f>
        <v>2</v>
      </c>
      <c r="K85" s="40">
        <f t="shared" si="31"/>
        <v>4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0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2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2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6</v>
      </c>
      <c r="R85" s="60">
        <f t="shared" si="38"/>
        <v>-4</v>
      </c>
      <c r="S85" s="60">
        <f t="shared" si="39"/>
        <v>1</v>
      </c>
      <c r="T85" s="71">
        <f t="shared" si="40"/>
        <v>96002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82"/>
      <c r="AH85" s="82"/>
      <c r="AI85" s="82"/>
      <c r="AJ85" s="82"/>
      <c r="AK85" s="82"/>
      <c r="AL85" s="82"/>
      <c r="AM85" s="82"/>
      <c r="AN85" s="82"/>
    </row>
    <row r="86" spans="1:40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4</v>
      </c>
      <c r="G86" s="13">
        <v>1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0</v>
      </c>
      <c r="J86" s="40">
        <f>IF(OR(H86="",'📊 Resultat &amp; Tabell'!M87=""),"",IF(H86='📊 Resultat &amp; Tabell'!M87,2,0))</f>
        <v>2</v>
      </c>
      <c r="K86" s="40">
        <f t="shared" si="31"/>
        <v>2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2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1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3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5</v>
      </c>
      <c r="R86" s="60">
        <f t="shared" si="38"/>
        <v>-2</v>
      </c>
      <c r="S86" s="60">
        <f t="shared" si="39"/>
        <v>2</v>
      </c>
      <c r="T86" s="71">
        <f t="shared" si="40"/>
        <v>198003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82"/>
      <c r="AH86" s="82"/>
      <c r="AI86" s="82"/>
      <c r="AJ86" s="82"/>
      <c r="AK86" s="82"/>
      <c r="AL86" s="82"/>
      <c r="AM86" s="82"/>
      <c r="AN86" s="82"/>
    </row>
    <row r="87" spans="1:40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2</v>
      </c>
      <c r="G87" s="13">
        <v>1</v>
      </c>
      <c r="H87" s="40" t="str">
        <f t="shared" si="30"/>
        <v>1</v>
      </c>
      <c r="I87" s="40">
        <f>IF(OR(F87="",G87="",'📊 Resultat &amp; Tabell'!K88="",'📊 Resultat &amp; Tabell'!L88=""),"",IF(F87='📊 Resultat &amp; Tabell'!K88,2,0)+IF(G87='📊 Resultat &amp; Tabell'!L88,2,0))</f>
        <v>4</v>
      </c>
      <c r="J87" s="40">
        <f>IF(OR(H87="",'📊 Resultat &amp; Tabell'!M88=""),"",IF(H87='📊 Resultat &amp; Tabell'!M88,2,0))</f>
        <v>2</v>
      </c>
      <c r="K87" s="40">
        <f t="shared" si="31"/>
        <v>6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82"/>
      <c r="AH87" s="82"/>
      <c r="AI87" s="82"/>
      <c r="AJ87" s="82"/>
      <c r="AK87" s="82"/>
      <c r="AL87" s="82"/>
      <c r="AM87" s="82"/>
      <c r="AN87" s="82"/>
    </row>
    <row r="88" spans="1:40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1</v>
      </c>
      <c r="G88" s="13">
        <v>0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2</v>
      </c>
      <c r="J88" s="40">
        <f>IF(OR(H88="",'📊 Resultat &amp; Tabell'!M89=""),"",IF(H88='📊 Resultat &amp; Tabell'!M89,2,0))</f>
        <v>2</v>
      </c>
      <c r="K88" s="40">
        <f t="shared" si="31"/>
        <v>4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82"/>
      <c r="AH88" s="82"/>
      <c r="AI88" s="82"/>
      <c r="AJ88" s="82"/>
      <c r="AK88" s="82"/>
      <c r="AL88" s="82"/>
      <c r="AM88" s="82"/>
      <c r="AN88" s="82"/>
    </row>
    <row r="89" spans="1:40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2</v>
      </c>
      <c r="G89" s="13">
        <v>1</v>
      </c>
      <c r="H89" s="40" t="str">
        <f t="shared" si="30"/>
        <v>1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82"/>
      <c r="AH89" s="82"/>
      <c r="AI89" s="82"/>
      <c r="AJ89" s="82"/>
      <c r="AK89" s="82"/>
      <c r="AL89" s="82"/>
      <c r="AM89" s="82"/>
      <c r="AN89" s="82"/>
    </row>
    <row r="90" spans="1:40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3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82"/>
      <c r="AH90" s="82"/>
      <c r="AI90" s="82"/>
      <c r="AJ90" s="82"/>
      <c r="AK90" s="82"/>
      <c r="AL90" s="82"/>
      <c r="AM90" s="82"/>
      <c r="AN90" s="82"/>
    </row>
    <row r="91" spans="1:40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1</v>
      </c>
      <c r="H91" s="40" t="str">
        <f t="shared" si="30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82"/>
      <c r="AH91" s="82"/>
      <c r="AI91" s="82"/>
      <c r="AJ91" s="82"/>
      <c r="AK91" s="82"/>
      <c r="AL91" s="82"/>
      <c r="AM91" s="82"/>
      <c r="AN91" s="82"/>
    </row>
    <row r="92" spans="1:40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82"/>
      <c r="AH92" s="82"/>
      <c r="AI92" s="82"/>
      <c r="AJ92" s="82"/>
      <c r="AK92" s="82"/>
      <c r="AL92" s="82"/>
      <c r="AM92" s="82"/>
      <c r="AN92" s="82"/>
    </row>
    <row r="93" spans="1:40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82"/>
      <c r="AH93" s="82"/>
      <c r="AI93" s="82"/>
      <c r="AJ93" s="82"/>
      <c r="AK93" s="82"/>
      <c r="AL93" s="82"/>
      <c r="AM93" s="82"/>
      <c r="AN93" s="82"/>
    </row>
    <row r="94" spans="1:40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82"/>
      <c r="AH94" s="82"/>
      <c r="AI94" s="82"/>
      <c r="AJ94" s="82"/>
      <c r="AK94" s="82"/>
      <c r="AL94" s="82"/>
      <c r="AM94" s="82"/>
      <c r="AN94" s="82"/>
    </row>
    <row r="95" spans="1:40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82"/>
      <c r="AH95" s="82"/>
      <c r="AI95" s="82"/>
      <c r="AJ95" s="82"/>
      <c r="AK95" s="82"/>
      <c r="AL95" s="82"/>
      <c r="AM95" s="82"/>
      <c r="AN95" s="82"/>
    </row>
    <row r="96" spans="1:40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82"/>
      <c r="AH96" s="82"/>
      <c r="AI96" s="82"/>
      <c r="AJ96" s="82"/>
      <c r="AK96" s="82"/>
      <c r="AL96" s="82"/>
      <c r="AM96" s="82"/>
      <c r="AN96" s="82"/>
    </row>
    <row r="97" spans="1:40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82"/>
      <c r="AH97" s="82"/>
      <c r="AI97" s="82"/>
      <c r="AJ97" s="82"/>
      <c r="AK97" s="82"/>
      <c r="AL97" s="82"/>
      <c r="AM97" s="82"/>
      <c r="AN97" s="82"/>
    </row>
    <row r="98" spans="1:40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82"/>
      <c r="AH98" s="82"/>
      <c r="AI98" s="82"/>
      <c r="AJ98" s="82"/>
      <c r="AK98" s="82"/>
      <c r="AL98" s="82"/>
      <c r="AM98" s="82"/>
      <c r="AN98" s="82"/>
    </row>
    <row r="99" spans="1:40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82"/>
      <c r="AH99" s="82"/>
      <c r="AI99" s="82"/>
      <c r="AJ99" s="82"/>
      <c r="AK99" s="82"/>
      <c r="AL99" s="82"/>
      <c r="AM99" s="82"/>
      <c r="AN99" s="82"/>
    </row>
    <row r="100" spans="1:40">
      <c r="A100" s="76">
        <v>97</v>
      </c>
      <c r="B100" s="81" t="s">
        <v>193</v>
      </c>
      <c r="C100" s="76"/>
      <c r="D100" s="76"/>
      <c r="E100" s="76"/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82"/>
      <c r="AH100" s="82"/>
      <c r="AI100" s="82"/>
      <c r="AJ100" s="82"/>
      <c r="AK100" s="82"/>
      <c r="AL100" s="82"/>
      <c r="AM100" s="82"/>
      <c r="AN100" s="82"/>
    </row>
    <row r="101" spans="1:40">
      <c r="A101" s="33">
        <v>98</v>
      </c>
      <c r="B101" s="41" t="s">
        <v>193</v>
      </c>
      <c r="C101" s="33"/>
      <c r="D101" s="75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82"/>
      <c r="AH101" s="82"/>
      <c r="AI101" s="82"/>
      <c r="AJ101" s="82"/>
      <c r="AK101" s="82"/>
      <c r="AL101" s="82"/>
      <c r="AM101" s="82"/>
      <c r="AN101" s="82"/>
    </row>
    <row r="102" spans="1:40">
      <c r="A102" s="76">
        <v>99</v>
      </c>
      <c r="B102" s="81" t="s">
        <v>193</v>
      </c>
      <c r="C102" s="76"/>
      <c r="D102" s="76" t="str">
        <f>IF(OR(F94="",G94=""),"",IF(F94&gt;G94,D94,IF(F94&lt;G94,E94,"")))</f>
        <v/>
      </c>
      <c r="E102" s="76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82"/>
      <c r="AH102" s="82"/>
      <c r="AI102" s="82"/>
      <c r="AJ102" s="82"/>
      <c r="AK102" s="82"/>
      <c r="AL102" s="82"/>
      <c r="AM102" s="82"/>
      <c r="AN102" s="82"/>
    </row>
    <row r="103" spans="1:40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82"/>
      <c r="AH103" s="82"/>
      <c r="AI103" s="82"/>
      <c r="AJ103" s="82"/>
      <c r="AK103" s="82"/>
      <c r="AL103" s="82"/>
      <c r="AM103" s="82"/>
      <c r="AN103" s="82"/>
    </row>
    <row r="104" spans="1:40">
      <c r="A104" s="76">
        <v>101</v>
      </c>
      <c r="B104" s="81" t="s">
        <v>194</v>
      </c>
      <c r="C104" s="76"/>
      <c r="D104" s="76" t="str">
        <f>IF(OR(F100="",G100=""),"",IF(F100&gt;G100,D100,IF(F100&lt;G100,E100,"")))</f>
        <v/>
      </c>
      <c r="E104" s="76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82"/>
      <c r="AH104" s="82"/>
      <c r="AI104" s="82"/>
      <c r="AJ104" s="82"/>
      <c r="AK104" s="82"/>
      <c r="AL104" s="82"/>
      <c r="AM104" s="82"/>
      <c r="AN104" s="82"/>
    </row>
    <row r="105" spans="1:40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82"/>
      <c r="AH105" s="82"/>
      <c r="AI105" s="82"/>
      <c r="AJ105" s="82"/>
      <c r="AK105" s="82"/>
      <c r="AL105" s="82"/>
      <c r="AM105" s="82"/>
      <c r="AN105" s="82"/>
    </row>
    <row r="106" spans="1:40">
      <c r="A106" s="15">
        <v>103</v>
      </c>
      <c r="B106" s="38" t="s">
        <v>195</v>
      </c>
      <c r="C106" s="76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82"/>
      <c r="AH106" s="82"/>
      <c r="AI106" s="82"/>
      <c r="AJ106" s="82"/>
      <c r="AK106" s="82"/>
      <c r="AL106" s="82"/>
      <c r="AM106" s="82"/>
      <c r="AN106" s="82"/>
    </row>
    <row r="107" spans="1:40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82"/>
      <c r="AH107" s="82"/>
      <c r="AI107" s="82"/>
      <c r="AJ107" s="82"/>
      <c r="AK107" s="82"/>
      <c r="AL107" s="82"/>
      <c r="AM107" s="82"/>
      <c r="AN107" s="82"/>
    </row>
    <row r="108" spans="1:40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82"/>
      <c r="AH108" s="82"/>
      <c r="AI108" s="82"/>
      <c r="AJ108" s="82"/>
      <c r="AK108" s="82"/>
      <c r="AL108" s="82"/>
      <c r="AM108" s="82"/>
      <c r="AN108" s="82"/>
    </row>
    <row r="109" spans="1:40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82"/>
      <c r="AH109" s="82"/>
      <c r="AI109" s="82"/>
      <c r="AJ109" s="82"/>
      <c r="AK109" s="82"/>
      <c r="AL109" s="82"/>
      <c r="AM109" s="82"/>
      <c r="AN109" s="82"/>
    </row>
    <row r="110" spans="1:40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82"/>
      <c r="AH110" s="82"/>
      <c r="AI110" s="82"/>
      <c r="AJ110" s="82"/>
      <c r="AK110" s="82"/>
      <c r="AL110" s="82"/>
      <c r="AM110" s="82"/>
      <c r="AN110" s="82"/>
    </row>
    <row r="111" spans="1:40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82"/>
      <c r="AH111" s="82"/>
      <c r="AI111" s="82"/>
      <c r="AJ111" s="82"/>
      <c r="AK111" s="82"/>
      <c r="AL111" s="82"/>
      <c r="AM111" s="82"/>
      <c r="AN111" s="82"/>
    </row>
    <row r="112" spans="1:40">
      <c r="A112" s="14" t="s">
        <v>198</v>
      </c>
      <c r="B112" s="15">
        <f>SUM(K4:K107)</f>
        <v>226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82"/>
      <c r="AH112" s="82"/>
      <c r="AI112" s="82"/>
      <c r="AJ112" s="82"/>
      <c r="AK112" s="82"/>
      <c r="AL112" s="82"/>
      <c r="AM112" s="82"/>
      <c r="AN112" s="82"/>
    </row>
    <row r="113" spans="1:40">
      <c r="A113" s="12" t="s">
        <v>199</v>
      </c>
      <c r="B113" s="12" t="s">
        <v>171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82"/>
      <c r="AH113" s="82"/>
      <c r="AI113" s="82"/>
      <c r="AJ113" s="82"/>
      <c r="AK113" s="82"/>
      <c r="AL113" s="82"/>
      <c r="AM113" s="82"/>
      <c r="AN113" s="82"/>
    </row>
    <row r="114" spans="1:40">
      <c r="A114" s="15" t="s">
        <v>200</v>
      </c>
      <c r="B114" s="15" t="s">
        <v>306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82"/>
      <c r="AH114" s="82"/>
      <c r="AI114" s="82"/>
      <c r="AJ114" s="82"/>
      <c r="AK114" s="82"/>
      <c r="AL114" s="82"/>
      <c r="AM114" s="82"/>
      <c r="AN114" s="82"/>
    </row>
    <row r="115" spans="1:40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82"/>
      <c r="AH115" s="82"/>
      <c r="AI115" s="82"/>
      <c r="AJ115" s="82"/>
      <c r="AK115" s="82"/>
      <c r="AL115" s="82"/>
      <c r="AM115" s="82"/>
      <c r="AN115" s="82"/>
    </row>
    <row r="116" spans="1:40">
      <c r="A116" s="34" t="s">
        <v>203</v>
      </c>
      <c r="B116" s="35">
        <f>B112+D113+D114</f>
        <v>226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82"/>
      <c r="AH116" s="82"/>
      <c r="AI116" s="82"/>
      <c r="AJ116" s="82"/>
      <c r="AK116" s="82"/>
      <c r="AL116" s="82"/>
      <c r="AM116" s="82"/>
      <c r="AN116" s="82"/>
    </row>
  </sheetData>
  <mergeCells count="1">
    <mergeCell ref="A1:K1"/>
  </mergeCells>
  <dataValidations count="1">
    <dataValidation type="whole" allowBlank="1" sqref="F4:G107" xr:uid="{E1387FFA-CC58-492F-B205-91CD0BD43D8C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BE516642-98E0-414D-8CEA-14A26BE03A98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113667A9-E995-4F48-B79F-77635B9EA16D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E108CA54-DEDA-4B00-82B9-8AC7AE0C1F46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DF61BD87-6F90-40A7-B8F6-728EA5FDA3DC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6D621B9C-BDA6-4622-80EE-D8C1B3ECFF3E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609FDBB5-18A6-487D-8734-0C02B700C30E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D5FAE6B6-D405-4062-9683-3D7FC8F8373F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C6665E80-376C-4ED7-82B2-86C66B554EA5}"/>
  </hyperlinks>
  <pageMargins left="0.7" right="0.7" top="0.75" bottom="0.75" header="0.3" footer="0.3"/>
  <tableParts count="1">
    <tablePart r:id="rId9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CF175-A4EA-4D1F-90E5-111CA4E56E65}">
  <dimension ref="A1:AN116"/>
  <sheetViews>
    <sheetView topLeftCell="A77" workbookViewId="0">
      <selection activeCell="D99" sqref="D99:E99"/>
    </sheetView>
  </sheetViews>
  <sheetFormatPr defaultRowHeight="15"/>
  <cols>
    <col min="1" max="1" width="16" bestFit="1" customWidth="1"/>
    <col min="2" max="2" width="13.28515625" bestFit="1" customWidth="1"/>
    <col min="3" max="3" width="8.85546875" bestFit="1" customWidth="1"/>
    <col min="4" max="5" width="21.28515625" bestFit="1" customWidth="1"/>
    <col min="6" max="6" width="8.85546875" bestFit="1" customWidth="1"/>
    <col min="7" max="7" width="8.5703125" bestFit="1" customWidth="1"/>
    <col min="8" max="8" width="9.7109375" bestFit="1" customWidth="1"/>
    <col min="9" max="9" width="13.28515625" bestFit="1" customWidth="1"/>
    <col min="10" max="10" width="16.140625" bestFit="1" customWidth="1"/>
    <col min="11" max="11" width="14.85546875" bestFit="1" customWidth="1"/>
    <col min="12" max="12" width="22.28515625" bestFit="1" customWidth="1"/>
    <col min="13" max="13" width="3.5703125" bestFit="1" customWidth="1"/>
    <col min="14" max="17" width="4.5703125" bestFit="1" customWidth="1"/>
    <col min="18" max="19" width="4.7109375" bestFit="1" customWidth="1"/>
  </cols>
  <sheetData>
    <row r="1" spans="1:40" ht="24.75">
      <c r="A1" s="174"/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0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4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6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Tjeckien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Sydkorea</v>
      </c>
      <c r="AA4" s="72">
        <f>IF(COUNTIFS($C$4:$C$75,"A",$F$4:$F$75,"&lt;&gt;",$G$4:$G$75,"&lt;&gt;")=0,"",IFERROR(LARGE($T$6:$T$9,3),""))</f>
        <v>199003</v>
      </c>
      <c r="AB4" s="72">
        <f>IF(AA4="","",_xlfn.RANK.EQ(AA4,$AA$4:$AA$15,0))</f>
        <v>10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27.75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1</v>
      </c>
      <c r="H5" s="40" t="str">
        <f t="shared" si="0"/>
        <v>X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1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Schweiz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400004.00014000002</v>
      </c>
      <c r="AB5" s="72">
        <f t="shared" ref="AB5:AB15" si="2">IF(AA5="","",_xlfn.RANK.EQ(AA5,$AA$4:$AA$15,0))</f>
        <v>6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2</v>
      </c>
      <c r="G6" s="13">
        <v>1</v>
      </c>
      <c r="H6" s="40" t="str">
        <f t="shared" si="0"/>
        <v>1</v>
      </c>
      <c r="I6" s="40">
        <f>IF(OR(F6="",G6="",'📊 Resultat &amp; Tabell'!K7="",'📊 Resultat &amp; Tabell'!L7=""),"",IF(F6='📊 Resultat &amp; Tabell'!K7,2,0)+IF(G6='📊 Resultat &amp; Tabell'!L7,2,0))</f>
        <v>2</v>
      </c>
      <c r="J6" s="40">
        <f>IF(OR(H6="",'📊 Resultat &amp; Tabell'!M7=""),"",IF(H6='📊 Resultat &amp; Tabell'!M7,2,0))</f>
        <v>0</v>
      </c>
      <c r="K6" s="40">
        <f t="shared" si="1"/>
        <v>2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3</v>
      </c>
      <c r="N6" s="59" cm="1">
        <f t="array" ref="N6">SUMPRODUCT(--($C$4:$C$75="A"),--(($D$4:$D$75=L6)+($E$4:$E$75=L6)&gt;0),--($F$4:$F$75=$G$4:$G$75),--($F$4:$F$75&lt;&gt;""),--($G$4:$G$75&lt;&gt;""))</f>
        <v>0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6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4</v>
      </c>
      <c r="S6" s="60">
        <f>M6*3+N6</f>
        <v>9</v>
      </c>
      <c r="T6" s="71">
        <f>S6*100000+R6*1000+P6</f>
        <v>904006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Marocko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Skottland</v>
      </c>
      <c r="AA6" s="72" cm="1">
        <f t="array" ref="AA6">IF(COUNTIFS($C$4:$C$75,"C",$F$4:$F$75,"&lt;&gt;",$G$4:$G$75,"&lt;&gt;")=0,"",LARGE($T$20:$T$23+ROW($T$20:$T$23)/100000,3))</f>
        <v>299004.00023000001</v>
      </c>
      <c r="AB6" s="72">
        <f t="shared" si="2"/>
        <v>9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1</v>
      </c>
      <c r="H7" s="40" t="str">
        <f t="shared" si="0"/>
        <v>1</v>
      </c>
      <c r="I7" s="40">
        <f>IF(OR(F7="",G7="",'📊 Resultat &amp; Tabell'!K8="",'📊 Resultat &amp; Tabell'!L8=""),"",IF(F7='📊 Resultat &amp; Tabell'!K8,2,0)+IF(G7='📊 Resultat &amp; Tabell'!L8,2,0))</f>
        <v>0</v>
      </c>
      <c r="J7" s="40">
        <f>IF(OR(H7="",'📊 Resultat &amp; Tabell'!M8=""),"",IF(H7='📊 Resultat &amp; Tabell'!M8,2,0))</f>
        <v>2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1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2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2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5</v>
      </c>
      <c r="R7" s="60">
        <f t="shared" ref="R7:R9" si="3">P7-Q7</f>
        <v>-3</v>
      </c>
      <c r="S7" s="60">
        <f t="shared" ref="S7:S9" si="4">M7*3+N7</f>
        <v>1</v>
      </c>
      <c r="T7" s="71">
        <f t="shared" ref="T7:T9" si="5">S7*100000+R7*1000+P7</f>
        <v>97002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Turkiet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Paraguay</v>
      </c>
      <c r="AA7" s="72" cm="1">
        <f t="array" ref="AA7">IF(COUNTIFS($C$4:$C$75,"D",$F$4:$F$75,"&lt;&gt;",$G$4:$G$75,"&lt;&gt;")=0,"",LARGE($T$27:$T$30+ROW($T$27:$T$30)/100000,3))</f>
        <v>400004.00027999998</v>
      </c>
      <c r="AB7" s="72">
        <f t="shared" si="2"/>
        <v>5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2</v>
      </c>
      <c r="H8" s="40" t="str">
        <f t="shared" si="0"/>
        <v>2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2</v>
      </c>
      <c r="K8" s="40">
        <f t="shared" si="1"/>
        <v>2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0</v>
      </c>
      <c r="N8" s="59" cm="1">
        <f t="array" ref="N8">SUMPRODUCT(--($C$4:$C$75="A"),--(($D$4:$D$75=L8)+($E$4:$E$75=L8)&gt;0),--($F$4:$F$75=$G$4:$G$75),--($F$4:$F$75&lt;&gt;""),--($G$4:$G$75&lt;&gt;""))</f>
        <v>2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1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3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4</v>
      </c>
      <c r="R8" s="60">
        <f t="shared" si="3"/>
        <v>-1</v>
      </c>
      <c r="S8" s="60">
        <f t="shared" si="4"/>
        <v>2</v>
      </c>
      <c r="T8" s="71">
        <f t="shared" si="5"/>
        <v>199003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401004.00036000001</v>
      </c>
      <c r="AB8" s="72">
        <f t="shared" si="2"/>
        <v>2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1</v>
      </c>
      <c r="H9" s="40" t="str">
        <f t="shared" si="0"/>
        <v>X</v>
      </c>
      <c r="I9" s="40">
        <f>IF(OR(F9="",G9="",'📊 Resultat &amp; Tabell'!K10="",'📊 Resultat &amp; Tabell'!L10=""),"",IF(F9='📊 Resultat &amp; Tabell'!K10,2,0)+IF(G9='📊 Resultat &amp; Tabell'!L10,2,0))</f>
        <v>2</v>
      </c>
      <c r="J9" s="40">
        <f>IF(OR(H9="",'📊 Resultat &amp; Tabell'!M10=""),"",IF(H9='📊 Resultat &amp; Tabell'!M10,2,0))</f>
        <v>0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1</v>
      </c>
      <c r="N9" s="59" cm="1">
        <f t="array" ref="N9">SUMPRODUCT(--($C$4:$C$75="A"),--(($D$4:$D$75=L9)+($E$4:$E$75=L9)&gt;0),--($F$4:$F$75=$G$4:$G$75),--($F$4:$F$75&lt;&gt;""),--($G$4:$G$75&lt;&gt;""))</f>
        <v>1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4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4</v>
      </c>
      <c r="R9" s="60">
        <f t="shared" si="3"/>
        <v>0</v>
      </c>
      <c r="S9" s="60">
        <f t="shared" si="4"/>
        <v>4</v>
      </c>
      <c r="T9" s="71">
        <f t="shared" si="5"/>
        <v>400004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Japan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Sverige</v>
      </c>
      <c r="AA9" s="72" cm="1">
        <f t="array" ref="AA9">IF(COUNTIFS($C$4:$C$75,"F",$F$4:$F$75,"&lt;&gt;",$G$4:$G$75,"&lt;&gt;")=0,"",LARGE($T$41:$T$44+ROW($T$41:$T$44)/100000,3))</f>
        <v>401004.00043000001</v>
      </c>
      <c r="AB9" s="72">
        <f t="shared" si="2"/>
        <v>1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1</v>
      </c>
      <c r="G10" s="13">
        <v>1</v>
      </c>
      <c r="H10" s="40" t="str">
        <f t="shared" si="0"/>
        <v>X</v>
      </c>
      <c r="I10" s="40">
        <f>IF(OR(F10="",G10="",'📊 Resultat &amp; Tabell'!K11="",'📊 Resultat &amp; Tabell'!L11=""),"",IF(F10='📊 Resultat &amp; Tabell'!K11,2,0)+IF(G10='📊 Resultat &amp; Tabell'!L11,2,0))</f>
        <v>4</v>
      </c>
      <c r="J10" s="40">
        <f>IF(OR(H10="",'📊 Resultat &amp; Tabell'!M11=""),"",IF(H10='📊 Resultat &amp; Tabell'!M11,2,0))</f>
        <v>2</v>
      </c>
      <c r="K10" s="40">
        <f t="shared" si="1"/>
        <v>6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Iran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Egypten</v>
      </c>
      <c r="AA10" s="72" cm="1">
        <f t="array" ref="AA10">IF(COUNTIFS($C$4:$C$75,"G",$F$4:$F$75,"&lt;&gt;",$G$4:$G$75,"&lt;&gt;")=0,"",LARGE($T$48:$T$51+ROW($T$48:$T$51)/100000,3))</f>
        <v>399003.00049000001</v>
      </c>
      <c r="AB10" s="72">
        <f t="shared" si="2"/>
        <v>7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0</v>
      </c>
      <c r="G11" s="13">
        <v>2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0</v>
      </c>
      <c r="J11" s="40">
        <f>IF(OR(H11="",'📊 Resultat &amp; Tabell'!M12=""),"",IF(H11='📊 Resultat &amp; Tabell'!M12,2,0))</f>
        <v>0</v>
      </c>
      <c r="K11" s="40">
        <f t="shared" si="1"/>
        <v>0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95002.000570000004</v>
      </c>
      <c r="AB11" s="72">
        <f t="shared" si="2"/>
        <v>12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27.75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2</v>
      </c>
      <c r="G12" s="13">
        <v>1</v>
      </c>
      <c r="H12" s="40" t="str">
        <f t="shared" si="0"/>
        <v>1</v>
      </c>
      <c r="I12" s="40">
        <f>IF(OR(F12="",G12="",'📊 Resultat &amp; Tabell'!K13="",'📊 Resultat &amp; Tabell'!L13=""),"",IF(F12='📊 Resultat &amp; Tabell'!K13,2,0)+IF(G12='📊 Resultat &amp; Tabell'!L13,2,0))</f>
        <v>2</v>
      </c>
      <c r="J12" s="40">
        <f>IF(OR(H12="",'📊 Resultat &amp; Tabell'!M13=""),"",IF(H12='📊 Resultat &amp; Tabell'!M13,2,0))</f>
        <v>2</v>
      </c>
      <c r="K12" s="40">
        <f t="shared" si="1"/>
        <v>4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Senegal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Norge</v>
      </c>
      <c r="AA12" s="72" cm="1">
        <f t="array" ref="AA12">IF(COUNTIFS($C$4:$C$75,"I",$F$4:$F$75,"&lt;&gt;",$G$4:$G$75,"&lt;&gt;")=0,"",LARGE($T$62:$T$65+ROW($T$62:$T$65)/100000,3))</f>
        <v>400005.00065</v>
      </c>
      <c r="AB12" s="72">
        <f t="shared" si="2"/>
        <v>3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0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2</v>
      </c>
      <c r="J13" s="40">
        <f>IF(OR(H13="",'📊 Resultat &amp; Tabell'!M14=""),"",IF(H13='📊 Resultat &amp; Tabell'!M14,2,0))</f>
        <v>2</v>
      </c>
      <c r="K13" s="40">
        <f t="shared" si="1"/>
        <v>4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1</v>
      </c>
      <c r="N13" s="59" cm="1">
        <f t="array" ref="N13">SUMPRODUCT(--($C$4:$C$75="B"),--(($D$4:$D$75=L13)+($E$4:$E$75=L13)&gt;0),--($F$4:$F$75=$G$4:$G$75),--($F$4:$F$75&lt;&gt;""),--($G$4:$G$75&lt;&gt;""))</f>
        <v>2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4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2</v>
      </c>
      <c r="R13" s="60">
        <f>P13-Q13</f>
        <v>2</v>
      </c>
      <c r="S13" s="60">
        <f>M13*3+N13</f>
        <v>5</v>
      </c>
      <c r="T13" s="71">
        <f>S13*100000+R13*1000+P13</f>
        <v>502004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398003.00069999998</v>
      </c>
      <c r="AB13" s="72">
        <f t="shared" si="2"/>
        <v>8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1</v>
      </c>
      <c r="H14" s="40" t="str">
        <f t="shared" si="0"/>
        <v>X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0</v>
      </c>
      <c r="K14" s="40">
        <f t="shared" si="1"/>
        <v>2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1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4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4</v>
      </c>
      <c r="R14" s="60">
        <f t="shared" ref="R14:R16" si="6">P14-Q14</f>
        <v>0</v>
      </c>
      <c r="S14" s="60">
        <f t="shared" ref="S14:S16" si="7">M14*3+N14</f>
        <v>4</v>
      </c>
      <c r="T14" s="71">
        <f t="shared" ref="T14:T16" si="8">S14*100000+R14*1000+P14</f>
        <v>400004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Uzbekistan</v>
      </c>
      <c r="AA14" s="72" cm="1">
        <f t="array" ref="AA14">IF(COUNTIFS($C$4:$C$75,"K",$F$4:$F$75,"&lt;&gt;",$G$4:$G$75,"&lt;&gt;")=0,"",LARGE($T$76:$T$79+ROW($T$76:$T$79)/100000,3))</f>
        <v>97002.000780000002</v>
      </c>
      <c r="AB14" s="72">
        <f t="shared" si="2"/>
        <v>11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1</v>
      </c>
      <c r="H15" s="40" t="str">
        <f t="shared" si="0"/>
        <v>1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2</v>
      </c>
      <c r="K15" s="40">
        <f t="shared" si="1"/>
        <v>4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1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6</v>
      </c>
      <c r="R15" s="60">
        <f t="shared" si="6"/>
        <v>-5</v>
      </c>
      <c r="S15" s="60">
        <f t="shared" si="7"/>
        <v>0</v>
      </c>
      <c r="T15" s="71">
        <f t="shared" si="8"/>
        <v>-4999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Ghana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Kroatien</v>
      </c>
      <c r="AA15" s="72" cm="1">
        <f t="array" ref="AA15">IF(COUNTIFS($C$4:$C$75,"L",$F$4:$F$75,"&lt;&gt;",$G$4:$G$75,"&lt;&gt;")=0,"",LARGE($T$83:$T$86+ROW($T$83:$T$86)/100000,3))</f>
        <v>400004.00083999999</v>
      </c>
      <c r="AB15" s="72">
        <f t="shared" si="2"/>
        <v>4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2</v>
      </c>
      <c r="G16" s="13">
        <v>1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2</v>
      </c>
      <c r="J16" s="40">
        <f>IF(OR(H16="",'📊 Resultat &amp; Tabell'!M17=""),"",IF(H16='📊 Resultat &amp; Tabell'!M17,2,0))</f>
        <v>0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2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5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2</v>
      </c>
      <c r="R16" s="60">
        <f t="shared" si="6"/>
        <v>3</v>
      </c>
      <c r="S16" s="60">
        <f t="shared" si="7"/>
        <v>7</v>
      </c>
      <c r="T16" s="71">
        <f t="shared" si="8"/>
        <v>703005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1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2</v>
      </c>
      <c r="H18" s="40" t="str">
        <f t="shared" si="0"/>
        <v>2</v>
      </c>
      <c r="I18" s="40">
        <f>IF(OR(F18="",G18="",'📊 Resultat &amp; Tabell'!K19="",'📊 Resultat &amp; Tabell'!L19=""),"",IF(F18='📊 Resultat &amp; Tabell'!K19,2,0)+IF(G18='📊 Resultat &amp; Tabell'!L19,2,0))</f>
        <v>0</v>
      </c>
      <c r="J18" s="40">
        <f>IF(OR(H18="",'📊 Resultat &amp; Tabell'!M19=""),"",IF(H18='📊 Resultat &amp; Tabell'!M19,2,0))</f>
        <v>2</v>
      </c>
      <c r="K18" s="40">
        <f t="shared" si="1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27.75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4</v>
      </c>
      <c r="G19" s="13">
        <v>0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1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1</v>
      </c>
      <c r="G20" s="13">
        <v>3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2</v>
      </c>
      <c r="J20" s="40">
        <f>IF(OR(H20="",'📊 Resultat &amp; Tabell'!M21=""),"",IF(H20='📊 Resultat &amp; Tabell'!M21,2,0))</f>
        <v>2</v>
      </c>
      <c r="K20" s="40">
        <f t="shared" si="1"/>
        <v>4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9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2</v>
      </c>
      <c r="R20" s="60">
        <f t="shared" ref="R20:R23" si="9">P20-Q20</f>
        <v>7</v>
      </c>
      <c r="S20" s="60">
        <f t="shared" ref="S20:S23" si="10">M20*3+N20</f>
        <v>9</v>
      </c>
      <c r="T20" s="71">
        <f t="shared" ref="T20:T23" si="11">S20*100000+R20*1000+P20</f>
        <v>907009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3</v>
      </c>
      <c r="G21" s="13">
        <v>0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2</v>
      </c>
      <c r="N21" s="59" cm="1">
        <f t="array" ref="N21">SUMPRODUCT(--($C$4:$C$75="C"),--(($D$4:$D$75=L21)+($E$4:$E$75=L21)&gt;0),--($F$4:$F$75=$G$4:$G$75),--($F$4:$F$75&lt;&gt;""),--($G$4:$G$75&lt;&gt;""))</f>
        <v>0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1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6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3</v>
      </c>
      <c r="R21" s="60">
        <f t="shared" si="9"/>
        <v>3</v>
      </c>
      <c r="S21" s="60">
        <f t="shared" si="10"/>
        <v>6</v>
      </c>
      <c r="T21" s="71">
        <f t="shared" si="11"/>
        <v>603006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9</v>
      </c>
      <c r="R22" s="60">
        <f t="shared" si="9"/>
        <v>-9</v>
      </c>
      <c r="S22" s="60">
        <f t="shared" si="10"/>
        <v>0</v>
      </c>
      <c r="T22" s="71">
        <f t="shared" si="11"/>
        <v>-9000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2</v>
      </c>
      <c r="H23" s="40" t="str">
        <f t="shared" si="0"/>
        <v>2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1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2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5</v>
      </c>
      <c r="R23" s="60">
        <f t="shared" si="9"/>
        <v>-1</v>
      </c>
      <c r="S23" s="60">
        <f t="shared" si="10"/>
        <v>3</v>
      </c>
      <c r="T23" s="71">
        <f t="shared" si="11"/>
        <v>299004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1</v>
      </c>
      <c r="G24" s="13">
        <v>1</v>
      </c>
      <c r="H24" s="40" t="str">
        <f t="shared" si="0"/>
        <v>X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0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4</v>
      </c>
      <c r="J25" s="40">
        <f>IF(OR(H25="",'📊 Resultat &amp; Tabell'!M26=""),"",IF(H25='📊 Resultat &amp; Tabell'!M26,2,0))</f>
        <v>2</v>
      </c>
      <c r="K25" s="40">
        <f t="shared" si="1"/>
        <v>6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27.75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2</v>
      </c>
      <c r="H26" s="40" t="str">
        <f t="shared" si="0"/>
        <v>2</v>
      </c>
      <c r="I26" s="40">
        <f>IF(OR(F26="",G26="",'📊 Resultat &amp; Tabell'!K27="",'📊 Resultat &amp; Tabell'!L27=""),"",IF(F26='📊 Resultat &amp; Tabell'!K27,2,0)+IF(G26='📊 Resultat &amp; Tabell'!L27,2,0))</f>
        <v>2</v>
      </c>
      <c r="J26" s="40">
        <f>IF(OR(H26="",'📊 Resultat &amp; Tabell'!M27=""),"",IF(H26='📊 Resultat &amp; Tabell'!M27,2,0))</f>
        <v>0</v>
      </c>
      <c r="K26" s="40">
        <f t="shared" si="1"/>
        <v>2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2</v>
      </c>
      <c r="G27" s="13">
        <v>1</v>
      </c>
      <c r="H27" s="40" t="str">
        <f t="shared" si="0"/>
        <v>1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0</v>
      </c>
      <c r="K27" s="40">
        <f t="shared" si="1"/>
        <v>0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3</v>
      </c>
      <c r="N27" s="59" cm="1">
        <f t="array" ref="N27">SUMPRODUCT(--($C$4:$C$75="D"),--(($D$4:$D$75=L27)+($E$4:$E$75=L27)&gt;0),--($F$4:$F$75=$G$4:$G$75),--($F$4:$F$75&lt;&gt;""),--($G$4:$G$75&lt;&gt;""))</f>
        <v>0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6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2</v>
      </c>
      <c r="R27" s="60">
        <f t="shared" ref="R27:R30" si="12">P27-Q27</f>
        <v>4</v>
      </c>
      <c r="S27" s="60">
        <f t="shared" ref="S27:S30" si="13">M27*3+N27</f>
        <v>9</v>
      </c>
      <c r="T27" s="71">
        <f t="shared" ref="T27:T30" si="14">S27*100000+R27*1000+P27</f>
        <v>904006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4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1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1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4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4</v>
      </c>
      <c r="R28" s="60">
        <f t="shared" si="12"/>
        <v>0</v>
      </c>
      <c r="S28" s="60">
        <f t="shared" si="13"/>
        <v>4</v>
      </c>
      <c r="T28" s="71">
        <f t="shared" si="14"/>
        <v>400004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1</v>
      </c>
      <c r="H29" s="40" t="str">
        <f t="shared" si="0"/>
        <v>X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0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3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2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6</v>
      </c>
      <c r="R29" s="60">
        <f t="shared" si="12"/>
        <v>-4</v>
      </c>
      <c r="S29" s="60">
        <f t="shared" si="13"/>
        <v>0</v>
      </c>
      <c r="T29" s="71">
        <f t="shared" si="14"/>
        <v>-3998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3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1</v>
      </c>
      <c r="N30" s="59" cm="1">
        <f t="array" ref="N30">SUMPRODUCT(--($C$4:$C$75="D"),--(($D$4:$D$75=L30)+($E$4:$E$75=L30)&gt;0),--($F$4:$F$75=$G$4:$G$75),--($F$4:$F$75&lt;&gt;""),--($G$4:$G$75&lt;&gt;""))</f>
        <v>1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1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4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4</v>
      </c>
      <c r="R30" s="60">
        <f t="shared" si="12"/>
        <v>0</v>
      </c>
      <c r="S30" s="60">
        <f t="shared" si="13"/>
        <v>4</v>
      </c>
      <c r="T30" s="71">
        <f t="shared" si="14"/>
        <v>400004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1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4</v>
      </c>
      <c r="J31" s="40">
        <f>IF(OR(H31="",'📊 Resultat &amp; Tabell'!M32=""),"",IF(H31='📊 Resultat &amp; Tabell'!M32,2,0))</f>
        <v>2</v>
      </c>
      <c r="K31" s="40">
        <f t="shared" si="1"/>
        <v>6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2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 ht="27.75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0</v>
      </c>
      <c r="G33" s="13">
        <v>2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4</v>
      </c>
      <c r="J33" s="40">
        <f>IF(OR(H33="",'📊 Resultat &amp; Tabell'!M34=""),"",IF(H33='📊 Resultat &amp; Tabell'!M34,2,0))</f>
        <v>2</v>
      </c>
      <c r="K33" s="40">
        <f t="shared" si="1"/>
        <v>6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1</v>
      </c>
      <c r="G34" s="13">
        <v>1</v>
      </c>
      <c r="H34" s="40" t="str">
        <f t="shared" si="0"/>
        <v>X</v>
      </c>
      <c r="I34" s="40">
        <f>IF(OR(F34="",G34="",'📊 Resultat &amp; Tabell'!K35="",'📊 Resultat &amp; Tabell'!L35=""),"",IF(F34='📊 Resultat &amp; Tabell'!K35,2,0)+IF(G34='📊 Resultat &amp; Tabell'!L35,2,0))</f>
        <v>0</v>
      </c>
      <c r="J34" s="40">
        <f>IF(OR(H34="",'📊 Resultat &amp; Tabell'!M35=""),"",IF(H34='📊 Resultat &amp; Tabell'!M35,2,0))</f>
        <v>2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8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6</v>
      </c>
      <c r="S34" s="60">
        <f t="shared" ref="S34:S37" si="16">M34*3+N34</f>
        <v>9</v>
      </c>
      <c r="T34" s="71">
        <f t="shared" ref="T34:T37" si="17">S34*100000+R34*1000+P34</f>
        <v>906008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0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0</v>
      </c>
      <c r="J35" s="40">
        <f>IF(OR(H35="",'📊 Resultat &amp; Tabell'!M36=""),"",IF(H35='📊 Resultat &amp; Tabell'!M36,2,0))</f>
        <v>2</v>
      </c>
      <c r="K35" s="40">
        <f t="shared" si="1"/>
        <v>2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0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9</v>
      </c>
      <c r="R35" s="60">
        <f t="shared" si="15"/>
        <v>-9</v>
      </c>
      <c r="S35" s="60">
        <f t="shared" si="16"/>
        <v>0</v>
      </c>
      <c r="T35" s="71">
        <f t="shared" si="17"/>
        <v>-9000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2</v>
      </c>
      <c r="H36" s="40" t="str">
        <f t="shared" si="0"/>
        <v>2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2</v>
      </c>
      <c r="K36" s="40">
        <f t="shared" si="1"/>
        <v>2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4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3</v>
      </c>
      <c r="R36" s="60">
        <f t="shared" si="15"/>
        <v>1</v>
      </c>
      <c r="S36" s="60">
        <f t="shared" si="16"/>
        <v>4</v>
      </c>
      <c r="T36" s="71">
        <f t="shared" si="17"/>
        <v>401004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2</v>
      </c>
      <c r="G37" s="13">
        <v>1</v>
      </c>
      <c r="H37" s="40" t="str">
        <f t="shared" si="0"/>
        <v>1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2</v>
      </c>
      <c r="K37" s="40">
        <f t="shared" si="1"/>
        <v>4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5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2</v>
      </c>
      <c r="S37" s="60">
        <f t="shared" si="16"/>
        <v>4</v>
      </c>
      <c r="T37" s="71">
        <f t="shared" si="17"/>
        <v>402005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0</v>
      </c>
      <c r="G38" s="13">
        <v>3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2</v>
      </c>
      <c r="J38" s="40">
        <f>IF(OR(H38="",'📊 Resultat &amp; Tabell'!M39=""),"",IF(H38='📊 Resultat &amp; Tabell'!M39,2,0))</f>
        <v>2</v>
      </c>
      <c r="K38" s="40">
        <f t="shared" si="1"/>
        <v>4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1</v>
      </c>
      <c r="G39" s="13">
        <v>1</v>
      </c>
      <c r="H39" s="40" t="str">
        <f t="shared" si="0"/>
        <v>X</v>
      </c>
      <c r="I39" s="40">
        <f>IF(OR(F39="",G39="",'📊 Resultat &amp; Tabell'!K40="",'📊 Resultat &amp; Tabell'!L40=""),"",IF(F39='📊 Resultat &amp; Tabell'!K40,2,0)+IF(G39='📊 Resultat &amp; Tabell'!L40,2,0))</f>
        <v>4</v>
      </c>
      <c r="J39" s="40">
        <f>IF(OR(H39="",'📊 Resultat &amp; Tabell'!M40=""),"",IF(H39='📊 Resultat &amp; Tabell'!M40,2,0))</f>
        <v>2</v>
      </c>
      <c r="K39" s="40">
        <f t="shared" si="1"/>
        <v>6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27.75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2</v>
      </c>
      <c r="G40" s="13">
        <v>0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0</v>
      </c>
      <c r="J40" s="40">
        <f>IF(OR(H40="",'📊 Resultat &amp; Tabell'!M41=""),"",IF(H40='📊 Resultat &amp; Tabell'!M41,2,0))</f>
        <v>0</v>
      </c>
      <c r="K40" s="40">
        <f t="shared" si="1"/>
        <v>0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2</v>
      </c>
      <c r="G41" s="13">
        <v>1</v>
      </c>
      <c r="H41" s="40" t="str">
        <f t="shared" si="0"/>
        <v>1</v>
      </c>
      <c r="I41" s="40">
        <f>IF(OR(F41="",G41="",'📊 Resultat &amp; Tabell'!K42="",'📊 Resultat &amp; Tabell'!L42=""),"",IF(F41='📊 Resultat &amp; Tabell'!K42,2,0)+IF(G41='📊 Resultat &amp; Tabell'!L42,2,0))</f>
        <v>2</v>
      </c>
      <c r="J41" s="40">
        <f>IF(OR(H41="",'📊 Resultat &amp; Tabell'!M42=""),"",IF(H41='📊 Resultat &amp; Tabell'!M42,2,0))</f>
        <v>0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2</v>
      </c>
      <c r="N41" s="59" cm="1">
        <f t="array" ref="N41">SUMPRODUCT(--($C$4:$C$75="F"),--(($D$4:$D$75=L41)+($E$4:$E$75=L41)&gt;0),--($F$4:$F$75=$G$4:$G$75),--($F$4:$F$75&lt;&gt;""),--($G$4:$G$75&lt;&gt;""))</f>
        <v>1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6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2</v>
      </c>
      <c r="R41" s="60">
        <f t="shared" ref="R41:R44" si="18">P41-Q41</f>
        <v>4</v>
      </c>
      <c r="S41" s="60">
        <f t="shared" ref="S41:S44" si="19">M41*3+N41</f>
        <v>7</v>
      </c>
      <c r="T41" s="71">
        <f t="shared" ref="T41:T44" si="20">S41*100000+R41*1000+P41</f>
        <v>704006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1</v>
      </c>
      <c r="G42" s="13">
        <v>2</v>
      </c>
      <c r="H42" s="40" t="str">
        <f t="shared" si="0"/>
        <v>2</v>
      </c>
      <c r="I42" s="40">
        <f>IF(OR(F42="",G42="",'📊 Resultat &amp; Tabell'!K43="",'📊 Resultat &amp; Tabell'!L43=""),"",IF(F42='📊 Resultat &amp; Tabell'!K43,2,0)+IF(G42='📊 Resultat &amp; Tabell'!L43,2,0))</f>
        <v>2</v>
      </c>
      <c r="J42" s="40">
        <f>IF(OR(H42="",'📊 Resultat &amp; Tabell'!M43=""),"",IF(H42='📊 Resultat &amp; Tabell'!M43,2,0))</f>
        <v>2</v>
      </c>
      <c r="K42" s="40">
        <f t="shared" si="1"/>
        <v>4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1</v>
      </c>
      <c r="N42" s="59" cm="1">
        <f t="array" ref="N42">SUMPRODUCT(--($C$4:$C$75="F"),--(($D$4:$D$75=L42)+($E$4:$E$75=L42)&gt;0),--($F$4:$F$75=$G$4:$G$75),--($F$4:$F$75&lt;&gt;""),--($G$4:$G$75&lt;&gt;""))</f>
        <v>2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0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4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3</v>
      </c>
      <c r="R42" s="60">
        <f t="shared" si="18"/>
        <v>1</v>
      </c>
      <c r="S42" s="60">
        <f t="shared" si="19"/>
        <v>5</v>
      </c>
      <c r="T42" s="71">
        <f t="shared" si="20"/>
        <v>501004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1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0</v>
      </c>
      <c r="J43" s="40">
        <f>IF(OR(H43="",'📊 Resultat &amp; Tabell'!M44=""),"",IF(H43='📊 Resultat &amp; Tabell'!M44,2,0))</f>
        <v>0</v>
      </c>
      <c r="K43" s="40">
        <f t="shared" si="1"/>
        <v>0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1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4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3</v>
      </c>
      <c r="R43" s="60">
        <f t="shared" si="18"/>
        <v>1</v>
      </c>
      <c r="S43" s="60">
        <f t="shared" si="19"/>
        <v>4</v>
      </c>
      <c r="T43" s="71">
        <f t="shared" si="20"/>
        <v>401004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3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3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1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7</v>
      </c>
      <c r="R44" s="60">
        <f t="shared" si="18"/>
        <v>-6</v>
      </c>
      <c r="S44" s="60">
        <f t="shared" si="19"/>
        <v>0</v>
      </c>
      <c r="T44" s="71">
        <f t="shared" si="20"/>
        <v>-5999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1</v>
      </c>
      <c r="H45" s="40" t="str">
        <f t="shared" si="0"/>
        <v>X</v>
      </c>
      <c r="I45" s="40">
        <f>IF(OR(F45="",G45="",'📊 Resultat &amp; Tabell'!K46="",'📊 Resultat &amp; Tabell'!L46=""),"",IF(F45='📊 Resultat &amp; Tabell'!K46,2,0)+IF(G45='📊 Resultat &amp; Tabell'!L46,2,0))</f>
        <v>4</v>
      </c>
      <c r="J45" s="40">
        <f>IF(OR(H45="",'📊 Resultat &amp; Tabell'!M46=""),"",IF(H45='📊 Resultat &amp; Tabell'!M46,2,0))</f>
        <v>2</v>
      </c>
      <c r="K45" s="40">
        <f t="shared" si="1"/>
        <v>6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3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27.75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0</v>
      </c>
      <c r="G47" s="13">
        <v>2</v>
      </c>
      <c r="H47" s="40" t="str">
        <f t="shared" si="0"/>
        <v>2</v>
      </c>
      <c r="I47" s="40">
        <f>IF(OR(F47="",G47="",'📊 Resultat &amp; Tabell'!K48="",'📊 Resultat &amp; Tabell'!L48=""),"",IF(F47='📊 Resultat &amp; Tabell'!K48,2,0)+IF(G47='📊 Resultat &amp; Tabell'!L48,2,0))</f>
        <v>0</v>
      </c>
      <c r="J47" s="40">
        <f>IF(OR(H47="",'📊 Resultat &amp; Tabell'!M48=""),"",IF(H47='📊 Resultat &amp; Tabell'!M48,2,0))</f>
        <v>0</v>
      </c>
      <c r="K47" s="40">
        <f t="shared" si="1"/>
        <v>0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2</v>
      </c>
      <c r="G48" s="13">
        <v>0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7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1</v>
      </c>
      <c r="R48" s="60">
        <f t="shared" ref="R48:R51" si="21">P48-Q48</f>
        <v>6</v>
      </c>
      <c r="S48" s="60">
        <f t="shared" ref="S48:S51" si="22">M48*3+N48</f>
        <v>9</v>
      </c>
      <c r="T48" s="71">
        <f t="shared" ref="T48:T51" si="23">S48*100000+R48*1000+P48</f>
        <v>906007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4</v>
      </c>
      <c r="G49" s="13">
        <v>1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2</v>
      </c>
      <c r="J49" s="40">
        <f>IF(OR(H49="",'📊 Resultat &amp; Tabell'!M50=""),"",IF(H49='📊 Resultat &amp; Tabell'!M50,2,0))</f>
        <v>2</v>
      </c>
      <c r="K49" s="40">
        <f t="shared" si="1"/>
        <v>4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1</v>
      </c>
      <c r="N49" s="59" cm="1">
        <f t="array" ref="N49">SUMPRODUCT(--($C$4:$C$75="G"),--(($D$4:$D$75=L49)+($E$4:$E$75=L49)&gt;0),--($F$4:$F$75=$G$4:$G$75),--($F$4:$F$75&lt;&gt;""),--($G$4:$G$75&lt;&gt;""))</f>
        <v>1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3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4</v>
      </c>
      <c r="R49" s="60">
        <f t="shared" si="21"/>
        <v>-1</v>
      </c>
      <c r="S49" s="60">
        <f t="shared" si="22"/>
        <v>4</v>
      </c>
      <c r="T49" s="71">
        <f t="shared" si="23"/>
        <v>399003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1</v>
      </c>
      <c r="N50" s="59" cm="1">
        <f t="array" ref="N50">SUMPRODUCT(--($C$4:$C$75="G"),--(($D$4:$D$75=L50)+($E$4:$E$75=L50)&gt;0),--($F$4:$F$75=$G$4:$G$75),--($F$4:$F$75&lt;&gt;""),--($G$4:$G$75&lt;&gt;""))</f>
        <v>1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1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4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4</v>
      </c>
      <c r="R50" s="60">
        <f t="shared" si="21"/>
        <v>0</v>
      </c>
      <c r="S50" s="60">
        <f t="shared" si="22"/>
        <v>4</v>
      </c>
      <c r="T50" s="71">
        <f t="shared" si="23"/>
        <v>400004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1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0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3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2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7</v>
      </c>
      <c r="R51" s="60">
        <f t="shared" si="21"/>
        <v>-5</v>
      </c>
      <c r="S51" s="60">
        <f t="shared" si="22"/>
        <v>0</v>
      </c>
      <c r="T51" s="71">
        <f t="shared" si="23"/>
        <v>-4998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1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2</v>
      </c>
      <c r="J52" s="40">
        <f>IF(OR(H52="",'📊 Resultat &amp; Tabell'!M53=""),"",IF(H52='📊 Resultat &amp; Tabell'!M53,2,0))</f>
        <v>2</v>
      </c>
      <c r="K52" s="40">
        <f t="shared" si="1"/>
        <v>4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2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27.75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2</v>
      </c>
      <c r="G54" s="13">
        <v>2</v>
      </c>
      <c r="H54" s="40" t="str">
        <f t="shared" si="0"/>
        <v>X</v>
      </c>
      <c r="I54" s="40">
        <f>IF(OR(F54="",G54="",'📊 Resultat &amp; Tabell'!K55="",'📊 Resultat &amp; Tabell'!L55=""),"",IF(F54='📊 Resultat &amp; Tabell'!K55,2,0)+IF(G54='📊 Resultat &amp; Tabell'!L55,2,0))</f>
        <v>2</v>
      </c>
      <c r="J54" s="40">
        <f>IF(OR(H54="",'📊 Resultat &amp; Tabell'!M55=""),"",IF(H54='📊 Resultat &amp; Tabell'!M55,2,0))</f>
        <v>0</v>
      </c>
      <c r="K54" s="40">
        <f t="shared" si="1"/>
        <v>2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4</v>
      </c>
      <c r="G55" s="13">
        <v>0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2</v>
      </c>
      <c r="J55" s="40">
        <f>IF(OR(H55="",'📊 Resultat &amp; Tabell'!M56=""),"",IF(H55='📊 Resultat &amp; Tabell'!M56,2,0))</f>
        <v>2</v>
      </c>
      <c r="K55" s="40">
        <f t="shared" si="1"/>
        <v>4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9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2</v>
      </c>
      <c r="R55" s="60">
        <f t="shared" ref="R55:R58" si="24">P55-Q55</f>
        <v>7</v>
      </c>
      <c r="S55" s="60">
        <f t="shared" ref="S55:S58" si="25">M55*3+N55</f>
        <v>9</v>
      </c>
      <c r="T55" s="71">
        <f t="shared" ref="T55:T58" si="26">S55*100000+R55*1000+P55</f>
        <v>907009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3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2</v>
      </c>
      <c r="K56" s="40">
        <f t="shared" si="1"/>
        <v>4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6</v>
      </c>
      <c r="R56" s="60">
        <f t="shared" si="24"/>
        <v>-5</v>
      </c>
      <c r="S56" s="60">
        <f t="shared" si="25"/>
        <v>1</v>
      </c>
      <c r="T56" s="71">
        <f t="shared" si="26"/>
        <v>95001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2</v>
      </c>
      <c r="G57" s="13">
        <v>0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2</v>
      </c>
      <c r="J57" s="40">
        <f>IF(OR(H57="",'📊 Resultat &amp; Tabell'!M58=""),"",IF(H57='📊 Resultat &amp; Tabell'!M58,2,0))</f>
        <v>2</v>
      </c>
      <c r="K57" s="40">
        <f t="shared" si="1"/>
        <v>4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2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7</v>
      </c>
      <c r="R57" s="60">
        <f t="shared" si="24"/>
        <v>-5</v>
      </c>
      <c r="S57" s="60">
        <f t="shared" si="25"/>
        <v>1</v>
      </c>
      <c r="T57" s="71">
        <f t="shared" si="26"/>
        <v>95002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0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4</v>
      </c>
      <c r="J58" s="40">
        <f>IF(OR(H58="",'📊 Resultat &amp; Tabell'!M59=""),"",IF(H58='📊 Resultat &amp; Tabell'!M59,2,0))</f>
        <v>2</v>
      </c>
      <c r="K58" s="40">
        <f t="shared" si="1"/>
        <v>6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5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2</v>
      </c>
      <c r="R58" s="60">
        <f t="shared" si="24"/>
        <v>3</v>
      </c>
      <c r="S58" s="60">
        <f t="shared" si="25"/>
        <v>6</v>
      </c>
      <c r="T58" s="71">
        <f t="shared" si="26"/>
        <v>603005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2</v>
      </c>
      <c r="H60" s="40" t="str">
        <f t="shared" si="0"/>
        <v>2</v>
      </c>
      <c r="I60" s="40">
        <f>IF(OR(F60="",G60="",'📊 Resultat &amp; Tabell'!K61="",'📊 Resultat &amp; Tabell'!L61=""),"",IF(F60='📊 Resultat &amp; Tabell'!K61,2,0)+IF(G60='📊 Resultat &amp; Tabell'!L61,2,0))</f>
        <v>4</v>
      </c>
      <c r="J60" s="40">
        <f>IF(OR(H60="",'📊 Resultat &amp; Tabell'!M61=""),"",IF(H60='📊 Resultat &amp; Tabell'!M61,2,0))</f>
        <v>2</v>
      </c>
      <c r="K60" s="40">
        <f t="shared" si="1"/>
        <v>6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27.75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1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9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2</v>
      </c>
      <c r="R62" s="60">
        <f t="shared" ref="R62:R65" si="27">P62-Q62</f>
        <v>7</v>
      </c>
      <c r="S62" s="60">
        <f t="shared" ref="S62:S65" si="28">M62*3+N62</f>
        <v>9</v>
      </c>
      <c r="T62" s="71">
        <f t="shared" ref="T62:T65" si="29">S62*100000+R62*1000+P62</f>
        <v>907009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1</v>
      </c>
      <c r="H63" s="40" t="str">
        <f t="shared" si="0"/>
        <v>X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2</v>
      </c>
      <c r="K63" s="40">
        <f t="shared" si="1"/>
        <v>2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1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5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4</v>
      </c>
      <c r="R63" s="60">
        <f t="shared" si="27"/>
        <v>1</v>
      </c>
      <c r="S63" s="60">
        <f t="shared" si="28"/>
        <v>4</v>
      </c>
      <c r="T63" s="71">
        <f t="shared" si="29"/>
        <v>401005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3</v>
      </c>
      <c r="G64" s="13">
        <v>0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0</v>
      </c>
      <c r="J64" s="40">
        <f>IF(OR(H64="",'📊 Resultat &amp; Tabell'!M65=""),"",IF(H64='📊 Resultat &amp; Tabell'!M65,2,0))</f>
        <v>0</v>
      </c>
      <c r="K64" s="40">
        <f t="shared" si="1"/>
        <v>0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0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8</v>
      </c>
      <c r="R64" s="60">
        <f t="shared" si="27"/>
        <v>-8</v>
      </c>
      <c r="S64" s="60">
        <f t="shared" si="28"/>
        <v>0</v>
      </c>
      <c r="T64" s="71">
        <f t="shared" si="29"/>
        <v>-8000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1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2</v>
      </c>
      <c r="J65" s="40">
        <f>IF(OR(H65="",'📊 Resultat &amp; Tabell'!M66=""),"",IF(H65='📊 Resultat &amp; Tabell'!M66,2,0))</f>
        <v>2</v>
      </c>
      <c r="K65" s="40">
        <f t="shared" si="1"/>
        <v>4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1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5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5</v>
      </c>
      <c r="R65" s="60">
        <f t="shared" si="27"/>
        <v>0</v>
      </c>
      <c r="S65" s="60">
        <f t="shared" si="28"/>
        <v>4</v>
      </c>
      <c r="T65" s="71">
        <f t="shared" si="29"/>
        <v>400005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1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0</v>
      </c>
      <c r="J66" s="40">
        <f>IF(OR(H66="",'📊 Resultat &amp; Tabell'!M67=""),"",IF(H66='📊 Resultat &amp; Tabell'!M67,2,0))</f>
        <v>2</v>
      </c>
      <c r="K66" s="40">
        <f t="shared" si="1"/>
        <v>2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2</v>
      </c>
      <c r="G67" s="13">
        <v>0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1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27.75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1</v>
      </c>
      <c r="H68" s="40" t="str">
        <f t="shared" ref="H68:H107" si="30">IF(OR(F68="",G68=""),"",IF(F68&gt;G68,"1",IF(F68&lt;G68,"2","X")))</f>
        <v>X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2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1</v>
      </c>
      <c r="H69" s="40" t="str">
        <f t="shared" si="30"/>
        <v>X</v>
      </c>
      <c r="I69" s="40">
        <f>IF(OR(F69="",G69="",'📊 Resultat &amp; Tabell'!K70="",'📊 Resultat &amp; Tabell'!L70=""),"",IF(F69='📊 Resultat &amp; Tabell'!K70,2,0)+IF(G69='📊 Resultat &amp; Tabell'!L70,2,0))</f>
        <v>2</v>
      </c>
      <c r="J69" s="40">
        <f>IF(OR(H69="",'📊 Resultat &amp; Tabell'!M70=""),"",IF(H69='📊 Resultat &amp; Tabell'!M70,2,0))</f>
        <v>0</v>
      </c>
      <c r="K69" s="40">
        <f t="shared" si="31"/>
        <v>2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1</v>
      </c>
      <c r="R69" s="60">
        <f t="shared" ref="R69:R72" si="32">P69-Q69</f>
        <v>7</v>
      </c>
      <c r="S69" s="60">
        <f t="shared" ref="S69:S72" si="33">M69*3+N69</f>
        <v>9</v>
      </c>
      <c r="T69" s="71">
        <f t="shared" ref="T69:T72" si="34">S69*100000+R69*1000+P69</f>
        <v>907008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1</v>
      </c>
      <c r="N70" s="59" cm="1">
        <f t="array" ref="N70">SUMPRODUCT(--($C$4:$C$75="J"),--(($D$4:$D$75=L70)+($E$4:$E$75=L70)&gt;0),--($F$4:$F$75=$G$4:$G$75),--($F$4:$F$75&lt;&gt;""),--($G$4:$G$75&lt;&gt;""))</f>
        <v>1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1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3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5</v>
      </c>
      <c r="R70" s="60">
        <f t="shared" si="32"/>
        <v>-2</v>
      </c>
      <c r="S70" s="60">
        <f t="shared" si="33"/>
        <v>4</v>
      </c>
      <c r="T70" s="71">
        <f t="shared" si="34"/>
        <v>398003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2</v>
      </c>
      <c r="G71" s="13">
        <v>0</v>
      </c>
      <c r="H71" s="40" t="str">
        <f t="shared" si="30"/>
        <v>1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2</v>
      </c>
      <c r="K71" s="40">
        <f t="shared" si="31"/>
        <v>4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1</v>
      </c>
      <c r="N71" s="59" cm="1">
        <f t="array" ref="N71">SUMPRODUCT(--($C$4:$C$75="J"),--(($D$4:$D$75=L71)+($E$4:$E$75=L71)&gt;0),--($F$4:$F$75=$G$4:$G$75),--($F$4:$F$75&lt;&gt;""),--($G$4:$G$75&lt;&gt;""))</f>
        <v>1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4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1</v>
      </c>
      <c r="S71" s="60">
        <f t="shared" si="33"/>
        <v>4</v>
      </c>
      <c r="T71" s="71">
        <f t="shared" si="34"/>
        <v>401004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1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0</v>
      </c>
      <c r="J72" s="40">
        <f>IF(OR(H72="",'📊 Resultat &amp; Tabell'!M73=""),"",IF(H72='📊 Resultat &amp; Tabell'!M73,2,0))</f>
        <v>2</v>
      </c>
      <c r="K72" s="40">
        <f t="shared" si="31"/>
        <v>2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0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3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1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7</v>
      </c>
      <c r="R72" s="60">
        <f t="shared" si="32"/>
        <v>-6</v>
      </c>
      <c r="S72" s="60">
        <f t="shared" si="33"/>
        <v>0</v>
      </c>
      <c r="T72" s="71">
        <f t="shared" si="34"/>
        <v>-5999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2</v>
      </c>
      <c r="G73" s="13">
        <v>1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0</v>
      </c>
      <c r="J73" s="40">
        <f>IF(OR(H73="",'📊 Resultat &amp; Tabell'!M74=""),"",IF(H73='📊 Resultat &amp; Tabell'!M74,2,0))</f>
        <v>0</v>
      </c>
      <c r="K73" s="40">
        <f t="shared" si="31"/>
        <v>0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3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27.75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1</v>
      </c>
      <c r="G75" s="13">
        <v>1</v>
      </c>
      <c r="H75" s="40" t="str">
        <f t="shared" si="30"/>
        <v>X</v>
      </c>
      <c r="I75" s="40">
        <f>IF(OR(F75="",G75="",'📊 Resultat &amp; Tabell'!K76="",'📊 Resultat &amp; Tabell'!L76=""),"",IF(F75='📊 Resultat &amp; Tabell'!K76,2,0)+IF(G75='📊 Resultat &amp; Tabell'!L76,2,0))</f>
        <v>2</v>
      </c>
      <c r="J75" s="40">
        <f>IF(OR(H75="",'📊 Resultat &amp; Tabell'!M76=""),"",IF(H75='📊 Resultat &amp; Tabell'!M76,2,0))</f>
        <v>0</v>
      </c>
      <c r="K75" s="40">
        <f t="shared" si="31"/>
        <v>2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1</v>
      </c>
      <c r="G76" s="13">
        <v>2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0</v>
      </c>
      <c r="J76" s="40">
        <f>IF(OR(H76="",'📊 Resultat &amp; Tabell'!M77=""),"",IF(H76='📊 Resultat &amp; Tabell'!M77,2,0))</f>
        <v>2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2</v>
      </c>
      <c r="N76" s="59" cm="1">
        <f t="array" ref="N76">SUMPRODUCT(--($C$4:$C$75="K"),--(($D$4:$D$75=L76)+($E$4:$E$75=L76)&gt;0),--($F$4:$F$75=$G$4:$G$75),--($F$4:$F$75&lt;&gt;""),--($G$4:$G$75&lt;&gt;""))</f>
        <v>1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6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1</v>
      </c>
      <c r="R76" s="60">
        <f t="shared" ref="R76:R79" si="35">P76-Q76</f>
        <v>5</v>
      </c>
      <c r="S76" s="60">
        <f t="shared" ref="S76:S79" si="36">M76*3+N76</f>
        <v>7</v>
      </c>
      <c r="T76" s="71">
        <f t="shared" ref="T76:T79" si="37">S76*100000+R76*1000+P76</f>
        <v>705006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3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2</v>
      </c>
      <c r="J77" s="40">
        <f>IF(OR(H77="",'📊 Resultat &amp; Tabell'!M78=""),"",IF(H77='📊 Resultat &amp; Tabell'!M78,2,0))</f>
        <v>2</v>
      </c>
      <c r="K77" s="40">
        <f t="shared" si="31"/>
        <v>4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1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2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6</v>
      </c>
      <c r="R77" s="60">
        <f t="shared" si="35"/>
        <v>-4</v>
      </c>
      <c r="S77" s="60">
        <f t="shared" si="36"/>
        <v>1</v>
      </c>
      <c r="T77" s="71">
        <f t="shared" si="37"/>
        <v>96002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2</v>
      </c>
      <c r="G78" s="13">
        <v>0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1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2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5</v>
      </c>
      <c r="R78" s="60">
        <f t="shared" si="35"/>
        <v>-3</v>
      </c>
      <c r="S78" s="60">
        <f t="shared" si="36"/>
        <v>1</v>
      </c>
      <c r="T78" s="71">
        <f t="shared" si="37"/>
        <v>97002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2</v>
      </c>
      <c r="G79" s="13">
        <v>1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1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0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5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3</v>
      </c>
      <c r="R79" s="60">
        <f t="shared" si="35"/>
        <v>2</v>
      </c>
      <c r="S79" s="60">
        <f t="shared" si="36"/>
        <v>7</v>
      </c>
      <c r="T79" s="71">
        <f t="shared" si="37"/>
        <v>702005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1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4</v>
      </c>
      <c r="J80" s="40">
        <f>IF(OR(H80="",'📊 Resultat &amp; Tabell'!M81=""),"",IF(H80='📊 Resultat &amp; Tabell'!M81,2,0))</f>
        <v>2</v>
      </c>
      <c r="K80" s="40">
        <f t="shared" si="31"/>
        <v>6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3</v>
      </c>
      <c r="G81" s="13">
        <v>1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2</v>
      </c>
      <c r="J81" s="40">
        <f>IF(OR(H81="",'📊 Resultat &amp; Tabell'!M82=""),"",IF(H81='📊 Resultat &amp; Tabell'!M82,2,0))</f>
        <v>2</v>
      </c>
      <c r="K81" s="40">
        <f t="shared" si="31"/>
        <v>4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27.75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2</v>
      </c>
      <c r="G82" s="13">
        <v>1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3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7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2</v>
      </c>
      <c r="R83" s="60">
        <f t="shared" ref="R83:R86" si="38">P83-Q83</f>
        <v>5</v>
      </c>
      <c r="S83" s="60">
        <f t="shared" ref="S83:S86" si="39">M83*3+N83</f>
        <v>9</v>
      </c>
      <c r="T83" s="71">
        <f t="shared" ref="T83:T86" si="40">S83*100000+R83*1000+P83</f>
        <v>905007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2</v>
      </c>
      <c r="G84" s="13">
        <v>1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2</v>
      </c>
      <c r="J84" s="40">
        <f>IF(OR(H84="",'📊 Resultat &amp; Tabell'!M85=""),"",IF(H84='📊 Resultat &amp; Tabell'!M85,2,0))</f>
        <v>0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1</v>
      </c>
      <c r="N84" s="59" cm="1">
        <f t="array" ref="N84">SUMPRODUCT(--($C$4:$C$75="L"),--(($D$4:$D$75=L84)+($E$4:$E$75=L84)&gt;0),--($F$4:$F$75=$G$4:$G$75),--($F$4:$F$75&lt;&gt;""),--($G$4:$G$75&lt;&gt;""))</f>
        <v>1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4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4</v>
      </c>
      <c r="R84" s="60">
        <f t="shared" si="38"/>
        <v>0</v>
      </c>
      <c r="S84" s="60">
        <f t="shared" si="39"/>
        <v>4</v>
      </c>
      <c r="T84" s="71">
        <f t="shared" si="40"/>
        <v>400004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0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4</v>
      </c>
      <c r="J85" s="40">
        <f>IF(OR(H85="",'📊 Resultat &amp; Tabell'!M86=""),"",IF(H85='📊 Resultat &amp; Tabell'!M86,2,0))</f>
        <v>2</v>
      </c>
      <c r="K85" s="40">
        <f t="shared" si="31"/>
        <v>6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1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1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4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3</v>
      </c>
      <c r="R85" s="60">
        <f t="shared" si="38"/>
        <v>1</v>
      </c>
      <c r="S85" s="60">
        <f t="shared" si="39"/>
        <v>4</v>
      </c>
      <c r="T85" s="71">
        <f t="shared" si="40"/>
        <v>401004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2</v>
      </c>
      <c r="G86" s="13">
        <v>1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0</v>
      </c>
      <c r="J86" s="40">
        <f>IF(OR(H86="",'📊 Resultat &amp; Tabell'!M87=""),"",IF(H86='📊 Resultat &amp; Tabell'!M87,2,0))</f>
        <v>2</v>
      </c>
      <c r="K86" s="40">
        <f t="shared" si="31"/>
        <v>2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0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3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1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7</v>
      </c>
      <c r="R86" s="60">
        <f t="shared" si="38"/>
        <v>-6</v>
      </c>
      <c r="S86" s="60">
        <f t="shared" si="39"/>
        <v>0</v>
      </c>
      <c r="T86" s="71">
        <f t="shared" si="40"/>
        <v>-5999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1</v>
      </c>
      <c r="G87" s="13">
        <v>1</v>
      </c>
      <c r="H87" s="40" t="str">
        <f t="shared" si="30"/>
        <v>X</v>
      </c>
      <c r="I87" s="40">
        <f>IF(OR(F87="",G87="",'📊 Resultat &amp; Tabell'!K88="",'📊 Resultat &amp; Tabell'!L88=""),"",IF(F87='📊 Resultat &amp; Tabell'!K88,2,0)+IF(G87='📊 Resultat &amp; Tabell'!L88,2,0))</f>
        <v>2</v>
      </c>
      <c r="J87" s="40">
        <f>IF(OR(H87="",'📊 Resultat &amp; Tabell'!M88=""),"",IF(H87='📊 Resultat &amp; Tabell'!M88,2,0))</f>
        <v>0</v>
      </c>
      <c r="K87" s="40">
        <f t="shared" si="31"/>
        <v>2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1</v>
      </c>
      <c r="G88" s="13">
        <v>0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2</v>
      </c>
      <c r="J88" s="40">
        <f>IF(OR(H88="",'📊 Resultat &amp; Tabell'!M89=""),"",IF(H88='📊 Resultat &amp; Tabell'!M89,2,0))</f>
        <v>2</v>
      </c>
      <c r="K88" s="40">
        <f t="shared" si="31"/>
        <v>4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2</v>
      </c>
      <c r="G89" s="13">
        <v>1</v>
      </c>
      <c r="H89" s="40" t="str">
        <f t="shared" si="30"/>
        <v>1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3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1</v>
      </c>
      <c r="H91" s="40" t="str">
        <f t="shared" si="30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>
        <v>1</v>
      </c>
      <c r="G92" s="13">
        <v>2</v>
      </c>
      <c r="H92" s="40" t="str">
        <f t="shared" si="30"/>
        <v>2</v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>
        <v>0</v>
      </c>
      <c r="G93" s="13">
        <v>3</v>
      </c>
      <c r="H93" s="40" t="str">
        <f t="shared" si="30"/>
        <v>2</v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>
        <v>2</v>
      </c>
      <c r="G94" s="13">
        <v>1</v>
      </c>
      <c r="H94" s="40" t="str">
        <f t="shared" si="30"/>
        <v>1</v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>
        <v>1</v>
      </c>
      <c r="G95" s="13">
        <v>2</v>
      </c>
      <c r="H95" s="40" t="str">
        <f t="shared" si="30"/>
        <v>2</v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>
        <v>1</v>
      </c>
      <c r="G96" s="13">
        <v>2</v>
      </c>
      <c r="H96" s="40" t="str">
        <f t="shared" si="30"/>
        <v>2</v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>
        <v>1</v>
      </c>
      <c r="G97" s="13">
        <v>1</v>
      </c>
      <c r="H97" s="40" t="str">
        <f t="shared" si="30"/>
        <v>X</v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76" t="str">
        <f>IF(OR(F92="",G92=""),"",IF(F92&gt;G92,D92,IF(F92&lt;G92,E92,"")))</f>
        <v>Marocko</v>
      </c>
      <c r="E100" s="76" t="str">
        <f>IF(OR(F93="",G93=""),"",IF(F93&gt;G93,D93,IF(F93&lt;G93,E93,"")))</f>
        <v>Frankrike</v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5" t="str">
        <f>IF(OR(F96="",G96=""),"",IF(F96&gt;G96,D96,IF(F96&lt;G96,E96,"")))</f>
        <v>Spanien</v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76" t="str">
        <f>IF(OR(F94="",G94=""),"",IF(F94&gt;G94,D94,IF(F94&lt;G94,E94,"")))</f>
        <v>Brasilien</v>
      </c>
      <c r="E102" s="76" t="str">
        <f>IF(OR(F95="",G95=""),"",IF(F95&gt;G95,D95,IF(F95&lt;G95,E95,"")))</f>
        <v>England</v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76" t="str">
        <f>IF(OR(F100="",G100=""),"",IF(F100&gt;G100,D100,IF(F100&lt;G100,E100,"")))</f>
        <v/>
      </c>
      <c r="E104" s="76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244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161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299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244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35141F0E-51C4-4848-BB08-CE7E998F6CB2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0F6CA5D0-0B5A-4815-A894-5B56DDF03A70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19C81FB4-7B9A-4C4B-94C9-9730A6426F27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494A0B93-2AB7-4F6A-86E3-958A4B4F598D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1E45B39E-9910-4A68-A92E-BC2C37D2273D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79002F72-12FE-40A4-837E-4ACA69AAC995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B687105C-A6C5-43F5-908F-0B6D8B37286A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85A704D7-F435-41C9-BF3A-173DF2EFB339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207E8A78-EA59-4FE7-BF03-4BC3FB8C4E8A}"/>
  </hyperlinks>
  <pageMargins left="0.7" right="0.7" top="0.75" bottom="0.75" header="0.3" footer="0.3"/>
  <tableParts count="1">
    <tablePart r:id="rId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44632-BDA5-4646-B587-CCB28123A1E1}">
  <sheetPr>
    <pageSetUpPr fitToPage="1"/>
  </sheetPr>
  <dimension ref="A1:AN116"/>
  <sheetViews>
    <sheetView showGridLines="0" topLeftCell="A75" workbookViewId="0">
      <selection activeCell="D99" sqref="D99:E99"/>
    </sheetView>
  </sheetViews>
  <sheetFormatPr defaultRowHeight="15"/>
  <cols>
    <col min="1" max="1" width="16" bestFit="1" customWidth="1"/>
    <col min="2" max="2" width="17" customWidth="1"/>
    <col min="3" max="3" width="8" customWidth="1"/>
    <col min="4" max="4" width="20" customWidth="1"/>
    <col min="5" max="5" width="21.7109375" bestFit="1" customWidth="1"/>
    <col min="6" max="6" width="14.42578125" customWidth="1"/>
    <col min="7" max="7" width="15.42578125" customWidth="1"/>
    <col min="8" max="8" width="9" customWidth="1"/>
    <col min="9" max="9" width="19.42578125" customWidth="1"/>
    <col min="10" max="10" width="18.5703125" customWidth="1"/>
    <col min="11" max="11" width="20.85546875" customWidth="1"/>
    <col min="12" max="12" width="22.28515625" bestFit="1" customWidth="1"/>
    <col min="14" max="14" width="20" customWidth="1"/>
    <col min="15" max="19" width="8" customWidth="1"/>
    <col min="20" max="20" width="12.7109375" customWidth="1"/>
    <col min="21" max="21" width="8" customWidth="1"/>
    <col min="22" max="23" width="13" bestFit="1" customWidth="1"/>
    <col min="24" max="24" width="16.42578125" customWidth="1"/>
    <col min="26" max="26" width="30" customWidth="1"/>
    <col min="27" max="27" width="13" bestFit="1" customWidth="1"/>
    <col min="28" max="29" width="11.42578125" bestFit="1" customWidth="1"/>
  </cols>
  <sheetData>
    <row r="1" spans="1:40" ht="27.95" customHeight="1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 ht="21.95" customHeight="1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0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4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6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Sydkorea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Tjeckien</v>
      </c>
      <c r="AA4" s="72">
        <f>IF(COUNTIFS($C$4:$C$75,"A",$F$4:$F$75,"&lt;&gt;",$G$4:$G$75,"&lt;&gt;")=0,"",IFERROR(LARGE($T$6:$T$9,3),""))</f>
        <v>400003</v>
      </c>
      <c r="AB4" s="72">
        <f>IF(AA4="","",_xlfn.RANK.EQ(AA4,$AA$4:$AA$15,0))</f>
        <v>3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6.5" customHeight="1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1</v>
      </c>
      <c r="H5" s="40" t="str">
        <f t="shared" si="0"/>
        <v>X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1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Bosnien och Hercegovina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Schweiz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Kanada</v>
      </c>
      <c r="AA5" s="72" cm="1">
        <f t="array" ref="AA5">IF(COUNTIFS($C$4:$C$75,"B",$F$4:$F$75,"&lt;&gt;",$G$4:$G$75,"&lt;&gt;")=0,"",LARGE($T$13:$T$16+ROW($T$13:$T$16)/100000,3))</f>
        <v>297003.00013</v>
      </c>
      <c r="AB5" s="72">
        <f t="shared" ref="AB5:AB15" si="2">IF(AA5="","",_xlfn.RANK.EQ(AA5,$AA$4:$AA$15,0))</f>
        <v>8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1</v>
      </c>
      <c r="G6" s="13">
        <v>0</v>
      </c>
      <c r="H6" s="40" t="str">
        <f t="shared" si="0"/>
        <v>1</v>
      </c>
      <c r="I6" s="40">
        <f>IF(OR(F6="",G6="",'📊 Resultat &amp; Tabell'!K7="",'📊 Resultat &amp; Tabell'!L7=""),"",IF(F6='📊 Resultat &amp; Tabell'!K7,2,0)+IF(G6='📊 Resultat &amp; Tabell'!L7,2,0))</f>
        <v>2</v>
      </c>
      <c r="J6" s="40">
        <f>IF(OR(H6="",'📊 Resultat &amp; Tabell'!M7=""),"",IF(H6='📊 Resultat &amp; Tabell'!M7,2,0))</f>
        <v>0</v>
      </c>
      <c r="K6" s="40">
        <f t="shared" si="1"/>
        <v>2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1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5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3</v>
      </c>
      <c r="S6" s="60">
        <f>M6*3+N6</f>
        <v>7</v>
      </c>
      <c r="T6" s="71">
        <f>S6*100000+R6*1000+P6</f>
        <v>703005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Marocko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Skottland</v>
      </c>
      <c r="AA6" s="72" cm="1">
        <f t="array" ref="AA6">IF(COUNTIFS($C$4:$C$75,"C",$F$4:$F$75,"&lt;&gt;",$G$4:$G$75,"&lt;&gt;")=0,"",LARGE($T$20:$T$23+ROW($T$20:$T$23)/100000,3))</f>
        <v>400004.00023000001</v>
      </c>
      <c r="AB6" s="72">
        <f t="shared" si="2"/>
        <v>2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1</v>
      </c>
      <c r="G7" s="13">
        <v>1</v>
      </c>
      <c r="H7" s="40" t="str">
        <f t="shared" si="0"/>
        <v>X</v>
      </c>
      <c r="I7" s="40">
        <f>IF(OR(F7="",G7="",'📊 Resultat &amp; Tabell'!K8="",'📊 Resultat &amp; Tabell'!L8=""),"",IF(F7='📊 Resultat &amp; Tabell'!K8,2,0)+IF(G7='📊 Resultat &amp; Tabell'!L8,2,0))</f>
        <v>2</v>
      </c>
      <c r="J7" s="40">
        <f>IF(OR(H7="",'📊 Resultat &amp; Tabell'!M8=""),"",IF(H7='📊 Resultat &amp; Tabell'!M8,2,0))</f>
        <v>0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3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1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5</v>
      </c>
      <c r="R7" s="60">
        <f t="shared" ref="R7:R9" si="3">P7-Q7</f>
        <v>-4</v>
      </c>
      <c r="S7" s="60">
        <f t="shared" ref="S7:S9" si="4">M7*3+N7</f>
        <v>0</v>
      </c>
      <c r="T7" s="71">
        <f t="shared" ref="T7:T9" si="5">S7*100000+R7*1000+P7</f>
        <v>-3999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Turkiet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Paraguay</v>
      </c>
      <c r="AA7" s="72" cm="1">
        <f t="array" ref="AA7">IF(COUNTIFS($C$4:$C$75,"D",$F$4:$F$75,"&lt;&gt;",$G$4:$G$75,"&lt;&gt;")=0,"",LARGE($T$27:$T$30+ROW($T$27:$T$30)/100000,3))</f>
        <v>399003.00027999998</v>
      </c>
      <c r="AB7" s="72">
        <f t="shared" si="2"/>
        <v>4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2</v>
      </c>
      <c r="H8" s="40" t="str">
        <f t="shared" si="0"/>
        <v>2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2</v>
      </c>
      <c r="K8" s="40">
        <f t="shared" si="1"/>
        <v>2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1</v>
      </c>
      <c r="N8" s="59" cm="1">
        <f t="array" ref="N8">SUMPRODUCT(--($C$4:$C$75="A"),--(($D$4:$D$75=L8)+($E$4:$E$75=L8)&gt;0),--($F$4:$F$75=$G$4:$G$75),--($F$4:$F$75&lt;&gt;""),--($G$4:$G$75&lt;&gt;""))</f>
        <v>2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0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4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3</v>
      </c>
      <c r="R8" s="60">
        <f t="shared" si="3"/>
        <v>1</v>
      </c>
      <c r="S8" s="60">
        <f t="shared" si="4"/>
        <v>5</v>
      </c>
      <c r="T8" s="71">
        <f t="shared" si="5"/>
        <v>501004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Elfenbenskusten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Ecuador</v>
      </c>
      <c r="AA8" s="72" cm="1">
        <f t="array" ref="AA8">IF(COUNTIFS($C$4:$C$75,"E",$F$4:$F$75,"&lt;&gt;",$G$4:$G$75,"&lt;&gt;")=0,"",LARGE($T$34:$T$37+ROW($T$34:$T$37)/100000,3))</f>
        <v>399002.00037000002</v>
      </c>
      <c r="AB8" s="72">
        <f t="shared" si="2"/>
        <v>6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2</v>
      </c>
      <c r="H9" s="40" t="str">
        <f t="shared" si="0"/>
        <v>2</v>
      </c>
      <c r="I9" s="40">
        <f>IF(OR(F9="",G9="",'📊 Resultat &amp; Tabell'!K10="",'📊 Resultat &amp; Tabell'!L10=""),"",IF(F9='📊 Resultat &amp; Tabell'!K10,2,0)+IF(G9='📊 Resultat &amp; Tabell'!L10,2,0))</f>
        <v>2</v>
      </c>
      <c r="J9" s="40">
        <f>IF(OR(H9="",'📊 Resultat &amp; Tabell'!M10=""),"",IF(H9='📊 Resultat &amp; Tabell'!M10,2,0))</f>
        <v>0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1</v>
      </c>
      <c r="N9" s="59" cm="1">
        <f t="array" ref="N9">SUMPRODUCT(--($C$4:$C$75="A"),--(($D$4:$D$75=L9)+($E$4:$E$75=L9)&gt;0),--($F$4:$F$75=$G$4:$G$75),--($F$4:$F$75&lt;&gt;""),--($G$4:$G$75&lt;&gt;""))</f>
        <v>1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3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3</v>
      </c>
      <c r="R9" s="60">
        <f t="shared" si="3"/>
        <v>0</v>
      </c>
      <c r="S9" s="60">
        <f t="shared" si="4"/>
        <v>4</v>
      </c>
      <c r="T9" s="71">
        <f t="shared" si="5"/>
        <v>400003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Sverige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Nederländerna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Tunisien</v>
      </c>
      <c r="AA9" s="72" cm="1">
        <f t="array" ref="AA9">IF(COUNTIFS($C$4:$C$75,"F",$F$4:$F$75,"&lt;&gt;",$G$4:$G$75,"&lt;&gt;")=0,"",LARGE($T$41:$T$44+ROW($T$41:$T$44)/100000,3))</f>
        <v>97002.000440000003</v>
      </c>
      <c r="AB9" s="72">
        <f t="shared" si="2"/>
        <v>11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1</v>
      </c>
      <c r="G10" s="13">
        <v>3</v>
      </c>
      <c r="H10" s="40" t="str">
        <f t="shared" si="0"/>
        <v>2</v>
      </c>
      <c r="I10" s="40">
        <f>IF(OR(F10="",G10="",'📊 Resultat &amp; Tabell'!K11="",'📊 Resultat &amp; Tabell'!L11=""),"",IF(F10='📊 Resultat &amp; Tabell'!K11,2,0)+IF(G10='📊 Resultat &amp; Tabell'!L11,2,0))</f>
        <v>2</v>
      </c>
      <c r="J10" s="40">
        <f>IF(OR(H10="",'📊 Resultat &amp; Tabell'!M11=""),"",IF(H10='📊 Resultat &amp; Tabell'!M11,2,0))</f>
        <v>0</v>
      </c>
      <c r="K10" s="40">
        <f t="shared" si="1"/>
        <v>2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399002.00050000002</v>
      </c>
      <c r="AB10" s="72">
        <f t="shared" si="2"/>
        <v>5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0</v>
      </c>
      <c r="G11" s="13">
        <v>2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0</v>
      </c>
      <c r="J11" s="40">
        <f>IF(OR(H11="",'📊 Resultat &amp; Tabell'!M12=""),"",IF(H11='📊 Resultat &amp; Tabell'!M12,2,0))</f>
        <v>0</v>
      </c>
      <c r="K11" s="40">
        <f t="shared" si="1"/>
        <v>0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95002.000570000004</v>
      </c>
      <c r="AB11" s="72">
        <f t="shared" si="2"/>
        <v>12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4.25" customHeight="1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1</v>
      </c>
      <c r="G12" s="13">
        <v>1</v>
      </c>
      <c r="H12" s="40" t="str">
        <f t="shared" si="0"/>
        <v>X</v>
      </c>
      <c r="I12" s="40">
        <f>IF(OR(F12="",G12="",'📊 Resultat &amp; Tabell'!K13="",'📊 Resultat &amp; Tabell'!L13=""),"",IF(F12='📊 Resultat &amp; Tabell'!K13,2,0)+IF(G12='📊 Resultat &amp; Tabell'!L13,2,0))</f>
        <v>2</v>
      </c>
      <c r="J12" s="40">
        <f>IF(OR(H12="",'📊 Resultat &amp; Tabell'!M13=""),"",IF(H12='📊 Resultat &amp; Tabell'!M13,2,0))</f>
        <v>0</v>
      </c>
      <c r="K12" s="40">
        <f t="shared" si="1"/>
        <v>2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Senegal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Norge</v>
      </c>
      <c r="AA12" s="72" cm="1">
        <f t="array" ref="AA12">IF(COUNTIFS($C$4:$C$75,"I",$F$4:$F$75,"&lt;&gt;",$G$4:$G$75,"&lt;&gt;")=0,"",LARGE($T$62:$T$65+ROW($T$62:$T$65)/100000,3))</f>
        <v>401004.00065</v>
      </c>
      <c r="AB12" s="72">
        <f t="shared" si="2"/>
        <v>1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2</v>
      </c>
      <c r="G13" s="13">
        <v>1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0</v>
      </c>
      <c r="J13" s="40">
        <f>IF(OR(H13="",'📊 Resultat &amp; Tabell'!M14=""),"",IF(H13='📊 Resultat &amp; Tabell'!M14,2,0))</f>
        <v>2</v>
      </c>
      <c r="K13" s="40">
        <f t="shared" si="1"/>
        <v>2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1</v>
      </c>
      <c r="N13" s="59" cm="1">
        <f t="array" ref="N13">SUMPRODUCT(--($C$4:$C$75="B"),--(($D$4:$D$75=L13)+($E$4:$E$75=L13)&gt;0),--($F$4:$F$75=$G$4:$G$75),--($F$4:$F$75&lt;&gt;""),--($G$4:$G$75&lt;&gt;""))</f>
        <v>0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2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3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6</v>
      </c>
      <c r="R13" s="60">
        <f>P13-Q13</f>
        <v>-3</v>
      </c>
      <c r="S13" s="60">
        <f>M13*3+N13</f>
        <v>3</v>
      </c>
      <c r="T13" s="71">
        <f>S13*100000+R13*1000+P13</f>
        <v>297003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198003.0007</v>
      </c>
      <c r="AB13" s="72">
        <f t="shared" si="2"/>
        <v>9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2</v>
      </c>
      <c r="G14" s="13">
        <v>0</v>
      </c>
      <c r="H14" s="40" t="str">
        <f t="shared" si="0"/>
        <v>1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2</v>
      </c>
      <c r="K14" s="40">
        <f t="shared" si="1"/>
        <v>4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2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0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6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2</v>
      </c>
      <c r="R14" s="60">
        <f t="shared" ref="R14:R16" si="6">P14-Q14</f>
        <v>4</v>
      </c>
      <c r="S14" s="60">
        <f t="shared" ref="S14:S16" si="7">M14*3+N14</f>
        <v>7</v>
      </c>
      <c r="T14" s="71">
        <f t="shared" ref="T14:T16" si="8">S14*100000+R14*1000+P14</f>
        <v>704006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Kongo-Kinshasa</v>
      </c>
      <c r="AA14" s="72" cm="1">
        <f t="array" ref="AA14">IF(COUNTIFS($C$4:$C$75,"K",$F$4:$F$75,"&lt;&gt;",$G$4:$G$75,"&lt;&gt;")=0,"",LARGE($T$76:$T$79+ROW($T$76:$T$79)/100000,3))</f>
        <v>97004.000769999999</v>
      </c>
      <c r="AB14" s="72">
        <f t="shared" si="2"/>
        <v>10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0</v>
      </c>
      <c r="H15" s="40" t="str">
        <f t="shared" si="0"/>
        <v>1</v>
      </c>
      <c r="I15" s="40">
        <f>IF(OR(F15="",G15="",'📊 Resultat &amp; Tabell'!K16="",'📊 Resultat &amp; Tabell'!L16=""),"",IF(F15='📊 Resultat &amp; Tabell'!K16,2,0)+IF(G15='📊 Resultat &amp; Tabell'!L16,2,0))</f>
        <v>0</v>
      </c>
      <c r="J15" s="40">
        <f>IF(OR(H15="",'📊 Resultat &amp; Tabell'!M16=""),"",IF(H15='📊 Resultat &amp; Tabell'!M16,2,0))</f>
        <v>2</v>
      </c>
      <c r="K15" s="40">
        <f t="shared" si="1"/>
        <v>2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1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6</v>
      </c>
      <c r="R15" s="60">
        <f t="shared" si="6"/>
        <v>-5</v>
      </c>
      <c r="S15" s="60">
        <f t="shared" si="7"/>
        <v>0</v>
      </c>
      <c r="T15" s="71">
        <f t="shared" si="8"/>
        <v>-4999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299004.00085000001</v>
      </c>
      <c r="AB15" s="72">
        <f t="shared" si="2"/>
        <v>7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2</v>
      </c>
      <c r="G16" s="13">
        <v>1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2</v>
      </c>
      <c r="J16" s="40">
        <f>IF(OR(H16="",'📊 Resultat &amp; Tabell'!M17=""),"",IF(H16='📊 Resultat &amp; Tabell'!M17,2,0))</f>
        <v>0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2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5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1</v>
      </c>
      <c r="R16" s="60">
        <f t="shared" si="6"/>
        <v>4</v>
      </c>
      <c r="S16" s="60">
        <f t="shared" si="7"/>
        <v>7</v>
      </c>
      <c r="T16" s="71">
        <f t="shared" si="8"/>
        <v>704005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1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1</v>
      </c>
      <c r="H18" s="40" t="str">
        <f t="shared" si="0"/>
        <v>X</v>
      </c>
      <c r="I18" s="40">
        <f>IF(OR(F18="",G18="",'📊 Resultat &amp; Tabell'!K19="",'📊 Resultat &amp; Tabell'!L19=""),"",IF(F18='📊 Resultat &amp; Tabell'!K19,2,0)+IF(G18='📊 Resultat &amp; Tabell'!L19,2,0))</f>
        <v>2</v>
      </c>
      <c r="J18" s="40">
        <f>IF(OR(H18="",'📊 Resultat &amp; Tabell'!M19=""),"",IF(H18='📊 Resultat &amp; Tabell'!M19,2,0))</f>
        <v>0</v>
      </c>
      <c r="K18" s="40">
        <f t="shared" si="1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2.75" customHeight="1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4</v>
      </c>
      <c r="G19" s="13">
        <v>0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2</v>
      </c>
      <c r="J19" s="40">
        <f>IF(OR(H19="",'📊 Resultat &amp; Tabell'!M20=""),"",IF(H19='📊 Resultat &amp; Tabell'!M20,2,0))</f>
        <v>2</v>
      </c>
      <c r="K19" s="40">
        <f t="shared" si="1"/>
        <v>4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1</v>
      </c>
      <c r="G20" s="13">
        <v>3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2</v>
      </c>
      <c r="J20" s="40">
        <f>IF(OR(H20="",'📊 Resultat &amp; Tabell'!M21=""),"",IF(H20='📊 Resultat &amp; Tabell'!M21,2,0))</f>
        <v>2</v>
      </c>
      <c r="K20" s="40">
        <f t="shared" si="1"/>
        <v>4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9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2</v>
      </c>
      <c r="R20" s="60">
        <f t="shared" ref="R20:R23" si="9">P20-Q20</f>
        <v>7</v>
      </c>
      <c r="S20" s="60">
        <f t="shared" ref="S20:S23" si="10">M20*3+N20</f>
        <v>9</v>
      </c>
      <c r="T20" s="71">
        <f t="shared" ref="T20:T23" si="11">S20*100000+R20*1000+P20</f>
        <v>907009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0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1</v>
      </c>
      <c r="N21" s="59" cm="1">
        <f t="array" ref="N21">SUMPRODUCT(--($C$4:$C$75="C"),--(($D$4:$D$75=L21)+($E$4:$E$75=L21)&gt;0),--($F$4:$F$75=$G$4:$G$75),--($F$4:$F$75&lt;&gt;""),--($G$4:$G$75&lt;&gt;""))</f>
        <v>1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1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4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3</v>
      </c>
      <c r="R21" s="60">
        <f t="shared" si="9"/>
        <v>1</v>
      </c>
      <c r="S21" s="60">
        <f t="shared" si="10"/>
        <v>4</v>
      </c>
      <c r="T21" s="71">
        <f t="shared" si="11"/>
        <v>401004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0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0</v>
      </c>
      <c r="J22" s="40">
        <f>IF(OR(H22="",'📊 Resultat &amp; Tabell'!M23=""),"",IF(H22='📊 Resultat &amp; Tabell'!M23,2,0))</f>
        <v>2</v>
      </c>
      <c r="K22" s="40">
        <f t="shared" si="1"/>
        <v>2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8</v>
      </c>
      <c r="R22" s="60">
        <f t="shared" si="9"/>
        <v>-8</v>
      </c>
      <c r="S22" s="60">
        <f t="shared" si="10"/>
        <v>0</v>
      </c>
      <c r="T22" s="71">
        <f t="shared" si="11"/>
        <v>-8000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2</v>
      </c>
      <c r="H23" s="40" t="str">
        <f t="shared" si="0"/>
        <v>2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1</v>
      </c>
      <c r="N23" s="59" cm="1">
        <f t="array" ref="N23">SUMPRODUCT(--($C$4:$C$75="C"),--(($D$4:$D$75=L23)+($E$4:$E$75=L23)&gt;0),--($F$4:$F$75=$G$4:$G$75),--($F$4:$F$75&lt;&gt;""),--($G$4:$G$75&lt;&gt;""))</f>
        <v>1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1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4</v>
      </c>
      <c r="R23" s="60">
        <f t="shared" si="9"/>
        <v>0</v>
      </c>
      <c r="S23" s="60">
        <f t="shared" si="10"/>
        <v>4</v>
      </c>
      <c r="T23" s="71">
        <f t="shared" si="11"/>
        <v>400004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1</v>
      </c>
      <c r="G24" s="13">
        <v>1</v>
      </c>
      <c r="H24" s="40" t="str">
        <f t="shared" si="0"/>
        <v>X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1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2</v>
      </c>
      <c r="J25" s="40">
        <f>IF(OR(H25="",'📊 Resultat &amp; Tabell'!M26=""),"",IF(H25='📊 Resultat &amp; Tabell'!M26,2,0))</f>
        <v>2</v>
      </c>
      <c r="K25" s="40">
        <f t="shared" si="1"/>
        <v>4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3.5" customHeight="1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1</v>
      </c>
      <c r="H26" s="40" t="str">
        <f t="shared" si="0"/>
        <v>X</v>
      </c>
      <c r="I26" s="40">
        <f>IF(OR(F26="",G26="",'📊 Resultat &amp; Tabell'!K27="",'📊 Resultat &amp; Tabell'!L27=""),"",IF(F26='📊 Resultat &amp; Tabell'!K27,2,0)+IF(G26='📊 Resultat &amp; Tabell'!L27,2,0))</f>
        <v>0</v>
      </c>
      <c r="J26" s="40">
        <f>IF(OR(H26="",'📊 Resultat &amp; Tabell'!M27=""),"",IF(H26='📊 Resultat &amp; Tabell'!M27,2,0))</f>
        <v>0</v>
      </c>
      <c r="K26" s="40">
        <f t="shared" si="1"/>
        <v>0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2</v>
      </c>
      <c r="G27" s="13">
        <v>1</v>
      </c>
      <c r="H27" s="40" t="str">
        <f t="shared" si="0"/>
        <v>1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0</v>
      </c>
      <c r="K27" s="40">
        <f t="shared" si="1"/>
        <v>0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2</v>
      </c>
      <c r="N27" s="59" cm="1">
        <f t="array" ref="N27">SUMPRODUCT(--($C$4:$C$75="D"),--(($D$4:$D$75=L27)+($E$4:$E$75=L27)&gt;0),--($F$4:$F$75=$G$4:$G$75),--($F$4:$F$75&lt;&gt;""),--($G$4:$G$75&lt;&gt;""))</f>
        <v>1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5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2</v>
      </c>
      <c r="R27" s="60">
        <f t="shared" ref="R27:R30" si="12">P27-Q27</f>
        <v>3</v>
      </c>
      <c r="S27" s="60">
        <f t="shared" ref="S27:S30" si="13">M27*3+N27</f>
        <v>7</v>
      </c>
      <c r="T27" s="71">
        <f t="shared" ref="T27:T30" si="14">S27*100000+R27*1000+P27</f>
        <v>703005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4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1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1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3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4</v>
      </c>
      <c r="R28" s="60">
        <f t="shared" si="12"/>
        <v>-1</v>
      </c>
      <c r="S28" s="60">
        <f t="shared" si="13"/>
        <v>4</v>
      </c>
      <c r="T28" s="71">
        <f t="shared" si="14"/>
        <v>399003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1</v>
      </c>
      <c r="H29" s="40" t="str">
        <f t="shared" si="0"/>
        <v>X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0</v>
      </c>
      <c r="N29" s="59" cm="1">
        <f t="array" ref="N29">SUMPRODUCT(--($C$4:$C$75="D"),--(($D$4:$D$75=L29)+($E$4:$E$75=L29)&gt;0),--($F$4:$F$75=$G$4:$G$75),--($F$4:$F$75&lt;&gt;""),--($G$4:$G$75&lt;&gt;""))</f>
        <v>0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3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3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6</v>
      </c>
      <c r="R29" s="60">
        <f t="shared" si="12"/>
        <v>-3</v>
      </c>
      <c r="S29" s="60">
        <f t="shared" si="13"/>
        <v>0</v>
      </c>
      <c r="T29" s="71">
        <f t="shared" si="14"/>
        <v>-2997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1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1</v>
      </c>
      <c r="N30" s="59" cm="1">
        <f t="array" ref="N30">SUMPRODUCT(--($C$4:$C$75="D"),--(($D$4:$D$75=L30)+($E$4:$E$75=L30)&gt;0),--($F$4:$F$75=$G$4:$G$75),--($F$4:$F$75&lt;&gt;""),--($G$4:$G$75&lt;&gt;""))</f>
        <v>2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4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3</v>
      </c>
      <c r="R30" s="60">
        <f t="shared" si="12"/>
        <v>1</v>
      </c>
      <c r="S30" s="60">
        <f t="shared" si="13"/>
        <v>5</v>
      </c>
      <c r="T30" s="71">
        <f t="shared" si="14"/>
        <v>501004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1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4</v>
      </c>
      <c r="J31" s="40">
        <f>IF(OR(H31="",'📊 Resultat &amp; Tabell'!M32=""),"",IF(H31='📊 Resultat &amp; Tabell'!M32,2,0))</f>
        <v>2</v>
      </c>
      <c r="K31" s="40">
        <f t="shared" si="1"/>
        <v>6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0</v>
      </c>
      <c r="G32" s="13">
        <v>2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 ht="14.25" customHeight="1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0</v>
      </c>
      <c r="G33" s="13">
        <v>2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4</v>
      </c>
      <c r="J33" s="40">
        <f>IF(OR(H33="",'📊 Resultat &amp; Tabell'!M34=""),"",IF(H33='📊 Resultat &amp; Tabell'!M34,2,0))</f>
        <v>2</v>
      </c>
      <c r="K33" s="40">
        <f t="shared" si="1"/>
        <v>6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4</v>
      </c>
      <c r="G34" s="13">
        <v>0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0</v>
      </c>
      <c r="J34" s="40">
        <f>IF(OR(H34="",'📊 Resultat &amp; Tabell'!M35=""),"",IF(H34='📊 Resultat &amp; Tabell'!M35,2,0))</f>
        <v>0</v>
      </c>
      <c r="K34" s="40">
        <f t="shared" si="1"/>
        <v>0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8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1</v>
      </c>
      <c r="R34" s="60">
        <f t="shared" ref="R34:R37" si="15">P34-Q34</f>
        <v>7</v>
      </c>
      <c r="S34" s="60">
        <f t="shared" ref="S34:S37" si="16">M34*3+N34</f>
        <v>9</v>
      </c>
      <c r="T34" s="71">
        <f t="shared" ref="T34:T37" si="17">S34*100000+R34*1000+P34</f>
        <v>907008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1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2</v>
      </c>
      <c r="J35" s="40">
        <f>IF(OR(H35="",'📊 Resultat &amp; Tabell'!M36=""),"",IF(H35='📊 Resultat &amp; Tabell'!M36,2,0))</f>
        <v>2</v>
      </c>
      <c r="K35" s="40">
        <f t="shared" si="1"/>
        <v>4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0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7</v>
      </c>
      <c r="R35" s="60">
        <f t="shared" si="15"/>
        <v>-7</v>
      </c>
      <c r="S35" s="60">
        <f t="shared" si="16"/>
        <v>0</v>
      </c>
      <c r="T35" s="71">
        <f t="shared" si="17"/>
        <v>-7000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1</v>
      </c>
      <c r="H36" s="40" t="str">
        <f t="shared" si="0"/>
        <v>X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0</v>
      </c>
      <c r="K36" s="40">
        <f t="shared" si="1"/>
        <v>0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4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3</v>
      </c>
      <c r="R36" s="60">
        <f t="shared" si="15"/>
        <v>1</v>
      </c>
      <c r="S36" s="60">
        <f t="shared" si="16"/>
        <v>4</v>
      </c>
      <c r="T36" s="71">
        <f t="shared" si="17"/>
        <v>401004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1</v>
      </c>
      <c r="G37" s="13">
        <v>2</v>
      </c>
      <c r="H37" s="40" t="str">
        <f t="shared" si="0"/>
        <v>2</v>
      </c>
      <c r="I37" s="40">
        <f>IF(OR(F37="",G37="",'📊 Resultat &amp; Tabell'!K38="",'📊 Resultat &amp; Tabell'!L38=""),"",IF(F37='📊 Resultat &amp; Tabell'!K38,2,0)+IF(G37='📊 Resultat &amp; Tabell'!L38,2,0))</f>
        <v>0</v>
      </c>
      <c r="J37" s="40">
        <f>IF(OR(H37="",'📊 Resultat &amp; Tabell'!M38=""),"",IF(H37='📊 Resultat &amp; Tabell'!M38,2,0))</f>
        <v>0</v>
      </c>
      <c r="K37" s="40">
        <f t="shared" si="1"/>
        <v>0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2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-1</v>
      </c>
      <c r="S37" s="60">
        <f t="shared" si="16"/>
        <v>4</v>
      </c>
      <c r="T37" s="71">
        <f t="shared" si="17"/>
        <v>399002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0</v>
      </c>
      <c r="G38" s="13">
        <v>2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0</v>
      </c>
      <c r="J38" s="40">
        <f>IF(OR(H38="",'📊 Resultat &amp; Tabell'!M39=""),"",IF(H38='📊 Resultat &amp; Tabell'!M39,2,0))</f>
        <v>2</v>
      </c>
      <c r="K38" s="40">
        <f t="shared" si="1"/>
        <v>2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0</v>
      </c>
      <c r="G39" s="13">
        <v>3</v>
      </c>
      <c r="H39" s="40" t="str">
        <f t="shared" si="0"/>
        <v>2</v>
      </c>
      <c r="I39" s="40">
        <f>IF(OR(F39="",G39="",'📊 Resultat &amp; Tabell'!K40="",'📊 Resultat &amp; Tabell'!L40=""),"",IF(F39='📊 Resultat &amp; Tabell'!K40,2,0)+IF(G39='📊 Resultat &amp; Tabell'!L40,2,0))</f>
        <v>0</v>
      </c>
      <c r="J39" s="40">
        <f>IF(OR(H39="",'📊 Resultat &amp; Tabell'!M40=""),"",IF(H39='📊 Resultat &amp; Tabell'!M40,2,0))</f>
        <v>0</v>
      </c>
      <c r="K39" s="40">
        <f t="shared" si="1"/>
        <v>0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" customHeight="1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2</v>
      </c>
      <c r="G40" s="13">
        <v>1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2</v>
      </c>
      <c r="J40" s="40">
        <f>IF(OR(H40="",'📊 Resultat &amp; Tabell'!M41=""),"",IF(H40='📊 Resultat &amp; Tabell'!M41,2,0))</f>
        <v>0</v>
      </c>
      <c r="K40" s="40">
        <f t="shared" si="1"/>
        <v>2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1</v>
      </c>
      <c r="G41" s="13">
        <v>0</v>
      </c>
      <c r="H41" s="40" t="str">
        <f t="shared" si="0"/>
        <v>1</v>
      </c>
      <c r="I41" s="40">
        <f>IF(OR(F41="",G41="",'📊 Resultat &amp; Tabell'!K42="",'📊 Resultat &amp; Tabell'!L42=""),"",IF(F41='📊 Resultat &amp; Tabell'!K42,2,0)+IF(G41='📊 Resultat &amp; Tabell'!L42,2,0))</f>
        <v>0</v>
      </c>
      <c r="J41" s="40">
        <f>IF(OR(H41="",'📊 Resultat &amp; Tabell'!M42=""),"",IF(H41='📊 Resultat &amp; Tabell'!M42,2,0))</f>
        <v>0</v>
      </c>
      <c r="K41" s="40">
        <f t="shared" si="1"/>
        <v>0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2</v>
      </c>
      <c r="N41" s="59" cm="1">
        <f t="array" ref="N41">SUMPRODUCT(--($C$4:$C$75="F"),--(($D$4:$D$75=L41)+($E$4:$E$75=L41)&gt;0),--($F$4:$F$75=$G$4:$G$75),--($F$4:$F$75&lt;&gt;""),--($G$4:$G$75&lt;&gt;""))</f>
        <v>0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1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7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2</v>
      </c>
      <c r="R41" s="60">
        <f t="shared" ref="R41:R44" si="18">P41-Q41</f>
        <v>5</v>
      </c>
      <c r="S41" s="60">
        <f t="shared" ref="S41:S44" si="19">M41*3+N41</f>
        <v>6</v>
      </c>
      <c r="T41" s="71">
        <f t="shared" ref="T41:T44" si="20">S41*100000+R41*1000+P41</f>
        <v>605007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0</v>
      </c>
      <c r="G42" s="13">
        <v>2</v>
      </c>
      <c r="H42" s="40" t="str">
        <f t="shared" si="0"/>
        <v>2</v>
      </c>
      <c r="I42" s="40">
        <f>IF(OR(F42="",G42="",'📊 Resultat &amp; Tabell'!K43="",'📊 Resultat &amp; Tabell'!L43=""),"",IF(F42='📊 Resultat &amp; Tabell'!K43,2,0)+IF(G42='📊 Resultat &amp; Tabell'!L43,2,0))</f>
        <v>0</v>
      </c>
      <c r="J42" s="40">
        <f>IF(OR(H42="",'📊 Resultat &amp; Tabell'!M43=""),"",IF(H42='📊 Resultat &amp; Tabell'!M43,2,0))</f>
        <v>2</v>
      </c>
      <c r="K42" s="40">
        <f t="shared" si="1"/>
        <v>2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0</v>
      </c>
      <c r="N42" s="59" cm="1">
        <f t="array" ref="N42">SUMPRODUCT(--($C$4:$C$75="F"),--(($D$4:$D$75=L42)+($E$4:$E$75=L42)&gt;0),--($F$4:$F$75=$G$4:$G$75),--($F$4:$F$75&lt;&gt;""),--($G$4:$G$75&lt;&gt;""))</f>
        <v>1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2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1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8</v>
      </c>
      <c r="R42" s="60">
        <f t="shared" si="18"/>
        <v>-7</v>
      </c>
      <c r="S42" s="60">
        <f t="shared" si="19"/>
        <v>1</v>
      </c>
      <c r="T42" s="71">
        <f t="shared" si="20"/>
        <v>93001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2</v>
      </c>
      <c r="G43" s="13">
        <v>0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2</v>
      </c>
      <c r="J43" s="40">
        <f>IF(OR(H43="",'📊 Resultat &amp; Tabell'!M44=""),"",IF(H43='📊 Resultat &amp; Tabell'!M44,2,0))</f>
        <v>0</v>
      </c>
      <c r="K43" s="40">
        <f t="shared" si="1"/>
        <v>2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3</v>
      </c>
      <c r="N43" s="59" cm="1">
        <f t="array" ref="N43">SUMPRODUCT(--($C$4:$C$75="F"),--(($D$4:$D$75=L43)+($E$4:$E$75=L43)&gt;0),--($F$4:$F$75=$G$4:$G$75),--($F$4:$F$75&lt;&gt;""),--($G$4:$G$75&lt;&gt;""))</f>
        <v>0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0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7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2</v>
      </c>
      <c r="R43" s="60">
        <f t="shared" si="18"/>
        <v>5</v>
      </c>
      <c r="S43" s="60">
        <f t="shared" si="19"/>
        <v>9</v>
      </c>
      <c r="T43" s="71">
        <f t="shared" si="20"/>
        <v>905007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3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1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2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2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5</v>
      </c>
      <c r="R44" s="60">
        <f t="shared" si="18"/>
        <v>-3</v>
      </c>
      <c r="S44" s="60">
        <f t="shared" si="19"/>
        <v>1</v>
      </c>
      <c r="T44" s="71">
        <f t="shared" si="20"/>
        <v>97002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1</v>
      </c>
      <c r="H45" s="40" t="str">
        <f t="shared" si="0"/>
        <v>X</v>
      </c>
      <c r="I45" s="40">
        <f>IF(OR(F45="",G45="",'📊 Resultat &amp; Tabell'!K46="",'📊 Resultat &amp; Tabell'!L46=""),"",IF(F45='📊 Resultat &amp; Tabell'!K46,2,0)+IF(G45='📊 Resultat &amp; Tabell'!L46,2,0))</f>
        <v>4</v>
      </c>
      <c r="J45" s="40">
        <f>IF(OR(H45="",'📊 Resultat &amp; Tabell'!M46=""),"",IF(H45='📊 Resultat &amp; Tabell'!M46,2,0))</f>
        <v>2</v>
      </c>
      <c r="K45" s="40">
        <f t="shared" si="1"/>
        <v>6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3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" customHeight="1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0</v>
      </c>
      <c r="G47" s="13">
        <v>2</v>
      </c>
      <c r="H47" s="40" t="str">
        <f t="shared" si="0"/>
        <v>2</v>
      </c>
      <c r="I47" s="40">
        <f>IF(OR(F47="",G47="",'📊 Resultat &amp; Tabell'!K48="",'📊 Resultat &amp; Tabell'!L48=""),"",IF(F47='📊 Resultat &amp; Tabell'!K48,2,0)+IF(G47='📊 Resultat &amp; Tabell'!L48,2,0))</f>
        <v>0</v>
      </c>
      <c r="J47" s="40">
        <f>IF(OR(H47="",'📊 Resultat &amp; Tabell'!M48=""),"",IF(H47='📊 Resultat &amp; Tabell'!M48,2,0))</f>
        <v>0</v>
      </c>
      <c r="K47" s="40">
        <f t="shared" si="1"/>
        <v>0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2</v>
      </c>
      <c r="G48" s="13">
        <v>0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7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1</v>
      </c>
      <c r="R48" s="60">
        <f t="shared" ref="R48:R51" si="21">P48-Q48</f>
        <v>6</v>
      </c>
      <c r="S48" s="60">
        <f t="shared" ref="S48:S51" si="22">M48*3+N48</f>
        <v>9</v>
      </c>
      <c r="T48" s="71">
        <f t="shared" ref="T48:T51" si="23">S48*100000+R48*1000+P48</f>
        <v>906007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4</v>
      </c>
      <c r="G49" s="13">
        <v>1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2</v>
      </c>
      <c r="J49" s="40">
        <f>IF(OR(H49="",'📊 Resultat &amp; Tabell'!M50=""),"",IF(H49='📊 Resultat &amp; Tabell'!M50,2,0))</f>
        <v>2</v>
      </c>
      <c r="K49" s="40">
        <f t="shared" si="1"/>
        <v>4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1</v>
      </c>
      <c r="N49" s="59" cm="1">
        <f t="array" ref="N49">SUMPRODUCT(--($C$4:$C$75="G"),--(($D$4:$D$75=L49)+($E$4:$E$75=L49)&gt;0),--($F$4:$F$75=$G$4:$G$75),--($F$4:$F$75&lt;&gt;""),--($G$4:$G$75&lt;&gt;""))</f>
        <v>1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4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3</v>
      </c>
      <c r="R49" s="60">
        <f t="shared" si="21"/>
        <v>1</v>
      </c>
      <c r="S49" s="60">
        <f t="shared" si="22"/>
        <v>4</v>
      </c>
      <c r="T49" s="71">
        <f t="shared" si="23"/>
        <v>401004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2</v>
      </c>
      <c r="H50" s="40" t="str">
        <f t="shared" si="0"/>
        <v>2</v>
      </c>
      <c r="I50" s="40">
        <f>IF(OR(F50="",G50="",'📊 Resultat &amp; Tabell'!K51="",'📊 Resultat &amp; Tabell'!L51=""),"",IF(F50='📊 Resultat &amp; Tabell'!K51,2,0)+IF(G50='📊 Resultat &amp; Tabell'!L51,2,0))</f>
        <v>0</v>
      </c>
      <c r="J50" s="40">
        <f>IF(OR(H50="",'📊 Resultat &amp; Tabell'!M51=""),"",IF(H50='📊 Resultat &amp; Tabell'!M51,2,0))</f>
        <v>2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1</v>
      </c>
      <c r="N50" s="59" cm="1">
        <f t="array" ref="N50">SUMPRODUCT(--($C$4:$C$75="G"),--(($D$4:$D$75=L50)+($E$4:$E$75=L50)&gt;0),--($F$4:$F$75=$G$4:$G$75),--($F$4:$F$75&lt;&gt;""),--($G$4:$G$75&lt;&gt;""))</f>
        <v>1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1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2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3</v>
      </c>
      <c r="R50" s="60">
        <f t="shared" si="21"/>
        <v>-1</v>
      </c>
      <c r="S50" s="60">
        <f t="shared" si="22"/>
        <v>4</v>
      </c>
      <c r="T50" s="71">
        <f t="shared" si="23"/>
        <v>399002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1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0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3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0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6</v>
      </c>
      <c r="R51" s="60">
        <f t="shared" si="21"/>
        <v>-6</v>
      </c>
      <c r="S51" s="60">
        <f t="shared" si="22"/>
        <v>0</v>
      </c>
      <c r="T51" s="71">
        <f t="shared" si="23"/>
        <v>-6000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1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2</v>
      </c>
      <c r="J52" s="40">
        <f>IF(OR(H52="",'📊 Resultat &amp; Tabell'!M53=""),"",IF(H52='📊 Resultat &amp; Tabell'!M53,2,0))</f>
        <v>2</v>
      </c>
      <c r="K52" s="40">
        <f t="shared" si="1"/>
        <v>4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2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1</v>
      </c>
      <c r="G54" s="13">
        <v>1</v>
      </c>
      <c r="H54" s="40" t="str">
        <f t="shared" si="0"/>
        <v>X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0</v>
      </c>
      <c r="K54" s="40">
        <f t="shared" si="1"/>
        <v>0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4</v>
      </c>
      <c r="G55" s="13">
        <v>0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2</v>
      </c>
      <c r="J55" s="40">
        <f>IF(OR(H55="",'📊 Resultat &amp; Tabell'!M56=""),"",IF(H55='📊 Resultat &amp; Tabell'!M56,2,0))</f>
        <v>2</v>
      </c>
      <c r="K55" s="40">
        <f t="shared" si="1"/>
        <v>4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3</v>
      </c>
      <c r="N55" s="59" cm="1">
        <f t="array" ref="N55">SUMPRODUCT(--($C$4:$C$75="H"),--(($D$4:$D$75=L55)+($E$4:$E$75=L55)&gt;0),--($F$4:$F$75=$G$4:$G$75),--($F$4:$F$75&lt;&gt;""),--($G$4:$G$75&lt;&gt;""))</f>
        <v>0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9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2</v>
      </c>
      <c r="R55" s="60">
        <f t="shared" ref="R55:R58" si="24">P55-Q55</f>
        <v>7</v>
      </c>
      <c r="S55" s="60">
        <f t="shared" ref="S55:S58" si="25">M55*3+N55</f>
        <v>9</v>
      </c>
      <c r="T55" s="71">
        <f t="shared" ref="T55:T58" si="26">S55*100000+R55*1000+P55</f>
        <v>907009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2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2</v>
      </c>
      <c r="K56" s="40">
        <f t="shared" si="1"/>
        <v>4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1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2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1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6</v>
      </c>
      <c r="R56" s="60">
        <f t="shared" si="24"/>
        <v>-5</v>
      </c>
      <c r="S56" s="60">
        <f t="shared" si="25"/>
        <v>1</v>
      </c>
      <c r="T56" s="71">
        <f t="shared" si="26"/>
        <v>95001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3</v>
      </c>
      <c r="G57" s="13">
        <v>0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2</v>
      </c>
      <c r="J57" s="40">
        <f>IF(OR(H57="",'📊 Resultat &amp; Tabell'!M58=""),"",IF(H57='📊 Resultat &amp; Tabell'!M58,2,0))</f>
        <v>2</v>
      </c>
      <c r="K57" s="40">
        <f t="shared" si="1"/>
        <v>4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1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2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7</v>
      </c>
      <c r="R57" s="60">
        <f t="shared" si="24"/>
        <v>-5</v>
      </c>
      <c r="S57" s="60">
        <f t="shared" si="25"/>
        <v>1</v>
      </c>
      <c r="T57" s="71">
        <f t="shared" si="26"/>
        <v>95002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1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2</v>
      </c>
      <c r="J58" s="40">
        <f>IF(OR(H58="",'📊 Resultat &amp; Tabell'!M59=""),"",IF(H58='📊 Resultat &amp; Tabell'!M59,2,0))</f>
        <v>2</v>
      </c>
      <c r="K58" s="40">
        <f t="shared" si="1"/>
        <v>4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0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5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2</v>
      </c>
      <c r="R58" s="60">
        <f t="shared" si="24"/>
        <v>3</v>
      </c>
      <c r="S58" s="60">
        <f t="shared" si="25"/>
        <v>6</v>
      </c>
      <c r="T58" s="71">
        <f t="shared" si="26"/>
        <v>603005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1</v>
      </c>
      <c r="H60" s="40" t="str">
        <f t="shared" si="0"/>
        <v>X</v>
      </c>
      <c r="I60" s="40">
        <f>IF(OR(F60="",G60="",'📊 Resultat &amp; Tabell'!K61="",'📊 Resultat &amp; Tabell'!L61=""),"",IF(F60='📊 Resultat &amp; Tabell'!K61,2,0)+IF(G60='📊 Resultat &amp; Tabell'!L61,2,0))</f>
        <v>2</v>
      </c>
      <c r="J60" s="40">
        <f>IF(OR(H60="",'📊 Resultat &amp; Tabell'!M61=""),"",IF(H60='📊 Resultat &amp; Tabell'!M61,2,0))</f>
        <v>0</v>
      </c>
      <c r="K60" s="40">
        <f t="shared" si="1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1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3</v>
      </c>
      <c r="N62" s="59" cm="1">
        <f t="array" ref="N62">SUMPRODUCT(--($C$4:$C$75="I"),--(($D$4:$D$75=L62)+($E$4:$E$75=L62)&gt;0),--($F$4:$F$75=$G$4:$G$75),--($F$4:$F$75&lt;&gt;""),--($G$4:$G$75&lt;&gt;""))</f>
        <v>0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8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2</v>
      </c>
      <c r="R62" s="60">
        <f t="shared" ref="R62:R65" si="27">P62-Q62</f>
        <v>6</v>
      </c>
      <c r="S62" s="60">
        <f t="shared" ref="S62:S65" si="28">M62*3+N62</f>
        <v>9</v>
      </c>
      <c r="T62" s="71">
        <f t="shared" ref="T62:T65" si="29">S62*100000+R62*1000+P62</f>
        <v>906008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1</v>
      </c>
      <c r="H63" s="40" t="str">
        <f t="shared" si="0"/>
        <v>X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2</v>
      </c>
      <c r="K63" s="40">
        <f t="shared" si="1"/>
        <v>2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1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5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3</v>
      </c>
      <c r="R63" s="60">
        <f t="shared" si="27"/>
        <v>2</v>
      </c>
      <c r="S63" s="60">
        <f t="shared" si="28"/>
        <v>4</v>
      </c>
      <c r="T63" s="71">
        <f t="shared" si="29"/>
        <v>402005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3</v>
      </c>
      <c r="G64" s="13">
        <v>1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2</v>
      </c>
      <c r="J64" s="40">
        <f>IF(OR(H64="",'📊 Resultat &amp; Tabell'!M65=""),"",IF(H64='📊 Resultat &amp; Tabell'!M65,2,0))</f>
        <v>0</v>
      </c>
      <c r="K64" s="40">
        <f t="shared" si="1"/>
        <v>2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0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9</v>
      </c>
      <c r="R64" s="60">
        <f t="shared" si="27"/>
        <v>-9</v>
      </c>
      <c r="S64" s="60">
        <f t="shared" si="28"/>
        <v>0</v>
      </c>
      <c r="T64" s="71">
        <f t="shared" si="29"/>
        <v>-9000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1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2</v>
      </c>
      <c r="J65" s="40">
        <f>IF(OR(H65="",'📊 Resultat &amp; Tabell'!M66=""),"",IF(H65='📊 Resultat &amp; Tabell'!M66,2,0))</f>
        <v>2</v>
      </c>
      <c r="K65" s="40">
        <f t="shared" si="1"/>
        <v>4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1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1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4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3</v>
      </c>
      <c r="R65" s="60">
        <f t="shared" si="27"/>
        <v>1</v>
      </c>
      <c r="S65" s="60">
        <f t="shared" si="28"/>
        <v>4</v>
      </c>
      <c r="T65" s="71">
        <f t="shared" si="29"/>
        <v>401004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1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0</v>
      </c>
      <c r="J66" s="40">
        <f>IF(OR(H66="",'📊 Resultat &amp; Tabell'!M67=""),"",IF(H66='📊 Resultat &amp; Tabell'!M67,2,0))</f>
        <v>2</v>
      </c>
      <c r="K66" s="40">
        <f t="shared" si="1"/>
        <v>2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2</v>
      </c>
      <c r="G67" s="13">
        <v>0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1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" customHeight="1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1</v>
      </c>
      <c r="H68" s="40" t="str">
        <f t="shared" ref="H68:H107" si="30">IF(OR(F68="",G68=""),"",IF(F68&gt;G68,"1",IF(F68&lt;G68,"2","X")))</f>
        <v>X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2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2</v>
      </c>
      <c r="G69" s="13">
        <v>2</v>
      </c>
      <c r="H69" s="40" t="str">
        <f t="shared" si="30"/>
        <v>X</v>
      </c>
      <c r="I69" s="40">
        <f>IF(OR(F69="",G69="",'📊 Resultat &amp; Tabell'!K70="",'📊 Resultat &amp; Tabell'!L70=""),"",IF(F69='📊 Resultat &amp; Tabell'!K70,2,0)+IF(G69='📊 Resultat &amp; Tabell'!L70,2,0))</f>
        <v>0</v>
      </c>
      <c r="J69" s="40">
        <f>IF(OR(H69="",'📊 Resultat &amp; Tabell'!M70=""),"",IF(H69='📊 Resultat &amp; Tabell'!M70,2,0))</f>
        <v>0</v>
      </c>
      <c r="K69" s="40">
        <f t="shared" si="31"/>
        <v>0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2</v>
      </c>
      <c r="R69" s="60">
        <f t="shared" ref="R69:R72" si="32">P69-Q69</f>
        <v>6</v>
      </c>
      <c r="S69" s="60">
        <f t="shared" ref="S69:S72" si="33">M69*3+N69</f>
        <v>9</v>
      </c>
      <c r="T69" s="71">
        <f t="shared" ref="T69:T72" si="34">S69*100000+R69*1000+P69</f>
        <v>906008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2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1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3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5</v>
      </c>
      <c r="R70" s="60">
        <f t="shared" si="32"/>
        <v>-2</v>
      </c>
      <c r="S70" s="60">
        <f t="shared" si="33"/>
        <v>2</v>
      </c>
      <c r="T70" s="71">
        <f t="shared" si="34"/>
        <v>198003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2</v>
      </c>
      <c r="G71" s="13">
        <v>0</v>
      </c>
      <c r="H71" s="40" t="str">
        <f t="shared" si="30"/>
        <v>1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2</v>
      </c>
      <c r="K71" s="40">
        <f t="shared" si="31"/>
        <v>4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1</v>
      </c>
      <c r="N71" s="59" cm="1">
        <f t="array" ref="N71">SUMPRODUCT(--($C$4:$C$75="J"),--(($D$4:$D$75=L71)+($E$4:$E$75=L71)&gt;0),--($F$4:$F$75=$G$4:$G$75),--($F$4:$F$75&lt;&gt;""),--($G$4:$G$75&lt;&gt;""))</f>
        <v>1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4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1</v>
      </c>
      <c r="S71" s="60">
        <f t="shared" si="33"/>
        <v>4</v>
      </c>
      <c r="T71" s="71">
        <f t="shared" si="34"/>
        <v>401004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1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6</v>
      </c>
      <c r="R72" s="60">
        <f t="shared" si="32"/>
        <v>-5</v>
      </c>
      <c r="S72" s="60">
        <f t="shared" si="33"/>
        <v>1</v>
      </c>
      <c r="T72" s="71">
        <f t="shared" si="34"/>
        <v>95001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3</v>
      </c>
      <c r="G73" s="13">
        <v>1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0</v>
      </c>
      <c r="J73" s="40">
        <f>IF(OR(H73="",'📊 Resultat &amp; Tabell'!M74=""),"",IF(H73='📊 Resultat &amp; Tabell'!M74,2,0))</f>
        <v>0</v>
      </c>
      <c r="K73" s="40">
        <f t="shared" si="31"/>
        <v>0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4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2.75" customHeight="1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1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4</v>
      </c>
      <c r="J75" s="40">
        <f>IF(OR(H75="",'📊 Resultat &amp; Tabell'!M76=""),"",IF(H75='📊 Resultat &amp; Tabell'!M76,2,0))</f>
        <v>2</v>
      </c>
      <c r="K75" s="40">
        <f t="shared" si="31"/>
        <v>6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1</v>
      </c>
      <c r="G76" s="13">
        <v>3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0</v>
      </c>
      <c r="J76" s="40">
        <f>IF(OR(H76="",'📊 Resultat &amp; Tabell'!M77=""),"",IF(H76='📊 Resultat &amp; Tabell'!M77,2,0))</f>
        <v>2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2</v>
      </c>
      <c r="N76" s="59" cm="1">
        <f t="array" ref="N76">SUMPRODUCT(--($C$4:$C$75="K"),--(($D$4:$D$75=L76)+($E$4:$E$75=L76)&gt;0),--($F$4:$F$75=$G$4:$G$75),--($F$4:$F$75&lt;&gt;""),--($G$4:$G$75&lt;&gt;""))</f>
        <v>1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6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2</v>
      </c>
      <c r="R76" s="60">
        <f t="shared" ref="R76:R79" si="35">P76-Q76</f>
        <v>4</v>
      </c>
      <c r="S76" s="60">
        <f t="shared" ref="S76:S79" si="36">M76*3+N76</f>
        <v>7</v>
      </c>
      <c r="T76" s="71">
        <f t="shared" ref="T76:T79" si="37">S76*100000+R76*1000+P76</f>
        <v>704006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4</v>
      </c>
      <c r="J77" s="40">
        <f>IF(OR(H77="",'📊 Resultat &amp; Tabell'!M78=""),"",IF(H77='📊 Resultat &amp; Tabell'!M78,2,0))</f>
        <v>2</v>
      </c>
      <c r="K77" s="40">
        <f t="shared" si="31"/>
        <v>6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1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2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4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7</v>
      </c>
      <c r="R77" s="60">
        <f t="shared" si="35"/>
        <v>-3</v>
      </c>
      <c r="S77" s="60">
        <f t="shared" si="36"/>
        <v>1</v>
      </c>
      <c r="T77" s="71">
        <f t="shared" si="37"/>
        <v>97004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3</v>
      </c>
      <c r="G78" s="13">
        <v>0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0</v>
      </c>
      <c r="N78" s="59" cm="1">
        <f t="array" ref="N78">SUMPRODUCT(--($C$4:$C$75="K"),--(($D$4:$D$75=L78)+($E$4:$E$75=L78)&gt;0),--($F$4:$F$75=$G$4:$G$75),--($F$4:$F$75&lt;&gt;""),--($G$4:$G$75&lt;&gt;""))</f>
        <v>1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3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6</v>
      </c>
      <c r="R78" s="60">
        <f t="shared" si="35"/>
        <v>-3</v>
      </c>
      <c r="S78" s="60">
        <f t="shared" si="36"/>
        <v>1</v>
      </c>
      <c r="T78" s="71">
        <f t="shared" si="37"/>
        <v>97003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3</v>
      </c>
      <c r="G79" s="13">
        <v>1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1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0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5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3</v>
      </c>
      <c r="R79" s="60">
        <f t="shared" si="35"/>
        <v>2</v>
      </c>
      <c r="S79" s="60">
        <f t="shared" si="36"/>
        <v>7</v>
      </c>
      <c r="T79" s="71">
        <f t="shared" si="37"/>
        <v>702005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0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2</v>
      </c>
      <c r="J80" s="40">
        <f>IF(OR(H80="",'📊 Resultat &amp; Tabell'!M81=""),"",IF(H80='📊 Resultat &amp; Tabell'!M81,2,0))</f>
        <v>2</v>
      </c>
      <c r="K80" s="40">
        <f t="shared" si="31"/>
        <v>4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1</v>
      </c>
      <c r="G81" s="13">
        <v>2</v>
      </c>
      <c r="H81" s="40" t="str">
        <f t="shared" si="30"/>
        <v>2</v>
      </c>
      <c r="I81" s="40">
        <f>IF(OR(F81="",G81="",'📊 Resultat &amp; Tabell'!K82="",'📊 Resultat &amp; Tabell'!L82=""),"",IF(F81='📊 Resultat &amp; Tabell'!K82,2,0)+IF(G81='📊 Resultat &amp; Tabell'!L82,2,0))</f>
        <v>0</v>
      </c>
      <c r="J81" s="40">
        <f>IF(OR(H81="",'📊 Resultat &amp; Tabell'!M82=""),"",IF(H81='📊 Resultat &amp; Tabell'!M82,2,0))</f>
        <v>0</v>
      </c>
      <c r="K81" s="40">
        <f t="shared" si="31"/>
        <v>0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2</v>
      </c>
      <c r="G82" s="13">
        <v>0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4</v>
      </c>
      <c r="J82" s="40">
        <f>IF(OR(H82="",'📊 Resultat &amp; Tabell'!M83=""),"",IF(H82='📊 Resultat &amp; Tabell'!M83,2,0))</f>
        <v>2</v>
      </c>
      <c r="K82" s="40">
        <f t="shared" si="31"/>
        <v>6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4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9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2</v>
      </c>
      <c r="R83" s="60">
        <f t="shared" ref="R83:R86" si="38">P83-Q83</f>
        <v>7</v>
      </c>
      <c r="S83" s="60">
        <f t="shared" ref="S83:S86" si="39">M83*3+N83</f>
        <v>9</v>
      </c>
      <c r="T83" s="71">
        <f t="shared" ref="T83:T86" si="40">S83*100000+R83*1000+P83</f>
        <v>907009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3</v>
      </c>
      <c r="G84" s="13">
        <v>1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0</v>
      </c>
      <c r="J84" s="40">
        <f>IF(OR(H84="",'📊 Resultat &amp; Tabell'!M85=""),"",IF(H84='📊 Resultat &amp; Tabell'!M85,2,0))</f>
        <v>0</v>
      </c>
      <c r="K84" s="40">
        <f t="shared" si="31"/>
        <v>0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2</v>
      </c>
      <c r="N84" s="59" cm="1">
        <f t="array" ref="N84">SUMPRODUCT(--($C$4:$C$75="L"),--(($D$4:$D$75=L84)+($E$4:$E$75=L84)&gt;0),--($F$4:$F$75=$G$4:$G$75),--($F$4:$F$75&lt;&gt;""),--($G$4:$G$75&lt;&gt;""))</f>
        <v>0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5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3</v>
      </c>
      <c r="R84" s="60">
        <f t="shared" si="38"/>
        <v>2</v>
      </c>
      <c r="S84" s="60">
        <f t="shared" si="39"/>
        <v>6</v>
      </c>
      <c r="T84" s="71">
        <f t="shared" si="40"/>
        <v>602005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1</v>
      </c>
      <c r="G85" s="13">
        <v>1</v>
      </c>
      <c r="H85" s="40" t="str">
        <f t="shared" si="30"/>
        <v>X</v>
      </c>
      <c r="I85" s="40">
        <f>IF(OR(F85="",G85="",'📊 Resultat &amp; Tabell'!K86="",'📊 Resultat &amp; Tabell'!L86=""),"",IF(F85='📊 Resultat &amp; Tabell'!K86,2,0)+IF(G85='📊 Resultat &amp; Tabell'!L86,2,0))</f>
        <v>0</v>
      </c>
      <c r="J85" s="40">
        <f>IF(OR(H85="",'📊 Resultat &amp; Tabell'!M86=""),"",IF(H85='📊 Resultat &amp; Tabell'!M86,2,0))</f>
        <v>0</v>
      </c>
      <c r="K85" s="40">
        <f t="shared" si="31"/>
        <v>0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1</v>
      </c>
      <c r="N85" s="59" cm="1">
        <f t="array" ref="N85">SUMPRODUCT(--($C$4:$C$75="L"),--(($D$4:$D$75=L85)+($E$4:$E$75=L85)&gt;0),--($F$4:$F$75=$G$4:$G$75),--($F$4:$F$75&lt;&gt;""),--($G$4:$G$75&lt;&gt;""))</f>
        <v>0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2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4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5</v>
      </c>
      <c r="R85" s="60">
        <f t="shared" si="38"/>
        <v>-1</v>
      </c>
      <c r="S85" s="60">
        <f t="shared" si="39"/>
        <v>3</v>
      </c>
      <c r="T85" s="71">
        <f t="shared" si="40"/>
        <v>299004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2</v>
      </c>
      <c r="G86" s="13">
        <v>0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2</v>
      </c>
      <c r="J86" s="40">
        <f>IF(OR(H86="",'📊 Resultat &amp; Tabell'!M87=""),"",IF(H86='📊 Resultat &amp; Tabell'!M87,2,0))</f>
        <v>2</v>
      </c>
      <c r="K86" s="40">
        <f t="shared" si="31"/>
        <v>4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0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3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0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8</v>
      </c>
      <c r="R86" s="60">
        <f t="shared" si="38"/>
        <v>-8</v>
      </c>
      <c r="S86" s="60">
        <f t="shared" si="39"/>
        <v>0</v>
      </c>
      <c r="T86" s="71">
        <f t="shared" si="40"/>
        <v>-8000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3</v>
      </c>
      <c r="G87" s="13">
        <v>1</v>
      </c>
      <c r="H87" s="40" t="str">
        <f t="shared" si="30"/>
        <v>1</v>
      </c>
      <c r="I87" s="40">
        <f>IF(OR(F87="",G87="",'📊 Resultat &amp; Tabell'!K88="",'📊 Resultat &amp; Tabell'!L88=""),"",IF(F87='📊 Resultat &amp; Tabell'!K88,2,0)+IF(G87='📊 Resultat &amp; Tabell'!L88,2,0))</f>
        <v>2</v>
      </c>
      <c r="J87" s="40">
        <f>IF(OR(H87="",'📊 Resultat &amp; Tabell'!M88=""),"",IF(H87='📊 Resultat &amp; Tabell'!M88,2,0))</f>
        <v>2</v>
      </c>
      <c r="K87" s="40">
        <f t="shared" si="31"/>
        <v>4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2</v>
      </c>
      <c r="G88" s="13">
        <v>0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4</v>
      </c>
      <c r="J88" s="40">
        <f>IF(OR(H88="",'📊 Resultat &amp; Tabell'!M89=""),"",IF(H88='📊 Resultat &amp; Tabell'!M89,2,0))</f>
        <v>2</v>
      </c>
      <c r="K88" s="40">
        <f t="shared" si="31"/>
        <v>6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2</v>
      </c>
      <c r="G89" s="13">
        <v>0</v>
      </c>
      <c r="H89" s="40" t="str">
        <f t="shared" si="30"/>
        <v>1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4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0</v>
      </c>
      <c r="H91" s="40" t="str">
        <f t="shared" si="30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>
        <v>0</v>
      </c>
      <c r="G92" s="13">
        <v>2</v>
      </c>
      <c r="H92" s="40" t="str">
        <f t="shared" si="30"/>
        <v>2</v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>
        <v>0</v>
      </c>
      <c r="G93" s="13">
        <v>3</v>
      </c>
      <c r="H93" s="40" t="str">
        <f t="shared" si="30"/>
        <v>2</v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>
        <v>2</v>
      </c>
      <c r="G94" s="13">
        <v>0</v>
      </c>
      <c r="H94" s="40" t="str">
        <f t="shared" si="30"/>
        <v>1</v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>
        <v>1</v>
      </c>
      <c r="G95" s="13">
        <v>2</v>
      </c>
      <c r="H95" s="40" t="str">
        <f t="shared" si="30"/>
        <v>2</v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>
        <v>1</v>
      </c>
      <c r="G96" s="13">
        <v>1</v>
      </c>
      <c r="H96" s="40" t="str">
        <f t="shared" si="30"/>
        <v>X</v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>
        <v>1</v>
      </c>
      <c r="G97" s="13">
        <v>1</v>
      </c>
      <c r="H97" s="40" t="str">
        <f t="shared" si="30"/>
        <v>X</v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76" t="str">
        <f>IF(OR(F92="",G92=""),"",IF(F92&gt;G92,D92,IF(F92&lt;G92,E92,"")))</f>
        <v>Marocko</v>
      </c>
      <c r="E100" s="76" t="str">
        <f>IF(OR(F93="",G93=""),"",IF(F93&gt;G93,D93,IF(F93&lt;G93,E93,"")))</f>
        <v>Frankrike</v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5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76" t="str">
        <f>IF(OR(F94="",G94=""),"",IF(F94&gt;G94,D94,IF(F94&lt;G94,E94,"")))</f>
        <v>Brasilien</v>
      </c>
      <c r="E102" s="76" t="str">
        <f>IF(OR(F95="",G95=""),"",IF(F95&gt;G95,D95,IF(F95&lt;G95,E95,"")))</f>
        <v>England</v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76" t="str">
        <f>IF(OR(F100="",G100=""),"",IF(F100&gt;G100,D100,IF(F100&lt;G100,E100,"")))</f>
        <v/>
      </c>
      <c r="E104" s="76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210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85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300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210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6F6844B2-FA8A-8745-B196-1E4F77A15408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B22EAEF6-F1B9-3B40-8870-7085E279986F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736E0011-F932-4E43-928E-3FC67A800217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CBCDB60B-0425-E642-87C3-9D0C9D295B29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1959125F-E46B-F04C-88AD-F0DE0A472B74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1297C30F-2C29-4743-B1E3-275969223607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EACD1F79-8E2D-8743-A6A5-7012E3B06DE7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DAB517A0-126D-8B48-81C6-6BEEA9B68BB7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F08DB8E2-45AD-8F4A-A2EC-19CCB5FCC1F0}"/>
  </hyperlinks>
  <pageMargins left="0.7" right="0.7" top="0.75" bottom="0.75" header="0.3" footer="0.3"/>
  <tableParts count="1">
    <tablePart r:id="rId9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7F6DB-B1AE-4822-819E-CA117A15C410}">
  <dimension ref="A1:AN116"/>
  <sheetViews>
    <sheetView topLeftCell="A72" workbookViewId="0">
      <selection activeCell="D99" sqref="D99:E99"/>
    </sheetView>
  </sheetViews>
  <sheetFormatPr defaultRowHeight="15"/>
  <cols>
    <col min="1" max="1" width="16" bestFit="1" customWidth="1"/>
    <col min="2" max="2" width="13.28515625" bestFit="1" customWidth="1"/>
    <col min="3" max="3" width="8.85546875" bestFit="1" customWidth="1"/>
    <col min="4" max="5" width="21.28515625" bestFit="1" customWidth="1"/>
    <col min="6" max="6" width="8.85546875" bestFit="1" customWidth="1"/>
    <col min="7" max="7" width="8.5703125" bestFit="1" customWidth="1"/>
    <col min="8" max="8" width="9.7109375" bestFit="1" customWidth="1"/>
    <col min="9" max="9" width="13.28515625" bestFit="1" customWidth="1"/>
    <col min="10" max="10" width="16.140625" bestFit="1" customWidth="1"/>
    <col min="11" max="11" width="14.85546875" bestFit="1" customWidth="1"/>
    <col min="12" max="12" width="22.28515625" bestFit="1" customWidth="1"/>
    <col min="13" max="13" width="3.5703125" bestFit="1" customWidth="1"/>
    <col min="14" max="17" width="4.5703125" bestFit="1" customWidth="1"/>
    <col min="18" max="19" width="4.7109375" bestFit="1" customWidth="1"/>
    <col min="20" max="20" width="11" customWidth="1"/>
  </cols>
  <sheetData>
    <row r="1" spans="1:40" ht="24.75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82"/>
      <c r="AN1" s="82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  <c r="AN2" s="82"/>
    </row>
    <row r="3" spans="1:40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1</v>
      </c>
      <c r="G4" s="13">
        <v>2</v>
      </c>
      <c r="H4" s="40" t="str">
        <f t="shared" ref="H4:H67" si="0">IF(OR(F4="",G4=""),"",IF(F4&gt;G4,"1",IF(F4&lt;G4,"2","X")))</f>
        <v>2</v>
      </c>
      <c r="I4" s="40">
        <f>IF(OR(F4="",G4="",'📊 Resultat &amp; Tabell'!K5="",'📊 Resultat &amp; Tabell'!L5=""),"",IF(F4='📊 Resultat &amp; Tabell'!K5,2,0)+IF(G4='📊 Resultat &amp; Tabell'!L5,2,0))</f>
        <v>0</v>
      </c>
      <c r="J4" s="40">
        <f>IF(OR(H4="",'📊 Resultat &amp; Tabell'!M5=""),"",IF(H4='📊 Resultat &amp; Tabell'!M5,2,0))</f>
        <v>0</v>
      </c>
      <c r="K4" s="40">
        <f t="shared" ref="K4:K67" si="1">IF(AND(I4="",J4=""),"",N(I4)+N(J4))</f>
        <v>0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Sydkorea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Tjeckien</v>
      </c>
      <c r="AA4" s="72">
        <f>IF(COUNTIFS($C$4:$C$75,"A",$F$4:$F$75,"&lt;&gt;",$G$4:$G$75,"&lt;&gt;")=0,"",IFERROR(LARGE($T$6:$T$9,3),""))</f>
        <v>399005</v>
      </c>
      <c r="AB4" s="72">
        <f>IF(AA4="","",_xlfn.RANK.EQ(AA4,$AA$4:$AA$15,0))</f>
        <v>4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2</v>
      </c>
      <c r="G5" s="13">
        <v>2</v>
      </c>
      <c r="H5" s="40" t="str">
        <f t="shared" si="0"/>
        <v>X</v>
      </c>
      <c r="I5" s="40">
        <f>IF(OR(F5="",G5="",'📊 Resultat &amp; Tabell'!K6="",'📊 Resultat &amp; Tabell'!L6=""),"",IF(F5='📊 Resultat &amp; Tabell'!K6,2,0)+IF(G5='📊 Resultat &amp; Tabell'!L6,2,0))</f>
        <v>2</v>
      </c>
      <c r="J5" s="40">
        <f>IF(OR(H5="",'📊 Resultat &amp; Tabell'!M6=""),"",IF(H5='📊 Resultat &amp; Tabell'!M6,2,0))</f>
        <v>0</v>
      </c>
      <c r="K5" s="40">
        <f t="shared" si="1"/>
        <v>2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Qatar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399004.00014000002</v>
      </c>
      <c r="AB5" s="72">
        <f t="shared" ref="AB5:AB15" si="2">IF(AA5="","",_xlfn.RANK.EQ(AA5,$AA$4:$AA$15,0))</f>
        <v>6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2</v>
      </c>
      <c r="G6" s="13">
        <v>1</v>
      </c>
      <c r="H6" s="40" t="str">
        <f t="shared" si="0"/>
        <v>1</v>
      </c>
      <c r="I6" s="40">
        <f>IF(OR(F6="",G6="",'📊 Resultat &amp; Tabell'!K7="",'📊 Resultat &amp; Tabell'!L7=""),"",IF(F6='📊 Resultat &amp; Tabell'!K7,2,0)+IF(G6='📊 Resultat &amp; Tabell'!L7,2,0))</f>
        <v>2</v>
      </c>
      <c r="J6" s="40">
        <f>IF(OR(H6="",'📊 Resultat &amp; Tabell'!M7=""),"",IF(H6='📊 Resultat &amp; Tabell'!M7,2,0))</f>
        <v>0</v>
      </c>
      <c r="K6" s="40">
        <f t="shared" si="1"/>
        <v>2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0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1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6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4</v>
      </c>
      <c r="R6" s="60">
        <f>P6-Q6</f>
        <v>2</v>
      </c>
      <c r="S6" s="60">
        <f>M6*3+N6</f>
        <v>6</v>
      </c>
      <c r="T6" s="71">
        <f>S6*100000+R6*1000+P6</f>
        <v>602006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Haiti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Skottland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Brasilien</v>
      </c>
      <c r="AA6" s="72" cm="1">
        <f t="array" ref="AA6">IF(COUNTIFS($C$4:$C$75,"C",$F$4:$F$75,"&lt;&gt;",$G$4:$G$75,"&lt;&gt;")=0,"",LARGE($T$20:$T$23+ROW($T$20:$T$23)/100000,3))</f>
        <v>98004.000199999995</v>
      </c>
      <c r="AB6" s="72">
        <f t="shared" si="2"/>
        <v>12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1</v>
      </c>
      <c r="H7" s="40" t="str">
        <f t="shared" si="0"/>
        <v>1</v>
      </c>
      <c r="I7" s="40">
        <f>IF(OR(F7="",G7="",'📊 Resultat &amp; Tabell'!K8="",'📊 Resultat &amp; Tabell'!L8=""),"",IF(F7='📊 Resultat &amp; Tabell'!K8,2,0)+IF(G7='📊 Resultat &amp; Tabell'!L8,2,0))</f>
        <v>0</v>
      </c>
      <c r="J7" s="40">
        <f>IF(OR(H7="",'📊 Resultat &amp; Tabell'!M8=""),"",IF(H7='📊 Resultat &amp; Tabell'!M8,2,0))</f>
        <v>2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1</v>
      </c>
      <c r="N7" s="59" cm="1">
        <f t="array" ref="N7">SUMPRODUCT(--($C$4:$C$75="A"),--(($D$4:$D$75=L7)+($E$4:$E$75=L7)&gt;0),--($F$4:$F$75=$G$4:$G$75),--($F$4:$F$75&lt;&gt;""),--($G$4:$G$75&lt;&gt;""))</f>
        <v>0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2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4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5</v>
      </c>
      <c r="R7" s="60">
        <f t="shared" ref="R7:R9" si="3">P7-Q7</f>
        <v>-1</v>
      </c>
      <c r="S7" s="60">
        <f t="shared" ref="S7:S9" si="4">M7*3+N7</f>
        <v>3</v>
      </c>
      <c r="T7" s="71">
        <f t="shared" ref="T7:T9" si="5">S7*100000+R7*1000+P7</f>
        <v>299004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Australien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USA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Paraguay</v>
      </c>
      <c r="AA7" s="72" cm="1">
        <f t="array" ref="AA7">IF(COUNTIFS($C$4:$C$75,"D",$F$4:$F$75,"&lt;&gt;",$G$4:$G$75,"&lt;&gt;")=0,"",LARGE($T$27:$T$30+ROW($T$27:$T$30)/100000,3))</f>
        <v>400006.00027999998</v>
      </c>
      <c r="AB7" s="72">
        <f t="shared" si="2"/>
        <v>1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3</v>
      </c>
      <c r="H8" s="40" t="str">
        <f t="shared" si="0"/>
        <v>2</v>
      </c>
      <c r="I8" s="40">
        <f>IF(OR(F8="",G8="",'📊 Resultat &amp; Tabell'!K9="",'📊 Resultat &amp; Tabell'!L9=""),"",IF(F8='📊 Resultat &amp; Tabell'!K9,2,0)+IF(G8='📊 Resultat &amp; Tabell'!L9,2,0))</f>
        <v>2</v>
      </c>
      <c r="J8" s="40">
        <f>IF(OR(H8="",'📊 Resultat &amp; Tabell'!M9=""),"",IF(H8='📊 Resultat &amp; Tabell'!M9,2,0))</f>
        <v>2</v>
      </c>
      <c r="K8" s="40">
        <f t="shared" si="1"/>
        <v>4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1</v>
      </c>
      <c r="N8" s="59" cm="1">
        <f t="array" ref="N8">SUMPRODUCT(--($C$4:$C$75="A"),--(($D$4:$D$75=L8)+($E$4:$E$75=L8)&gt;0),--($F$4:$F$75=$G$4:$G$75),--($F$4:$F$75&lt;&gt;""),--($G$4:$G$75&lt;&gt;""))</f>
        <v>1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1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5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5</v>
      </c>
      <c r="R8" s="60">
        <f t="shared" si="3"/>
        <v>0</v>
      </c>
      <c r="S8" s="60">
        <f t="shared" si="4"/>
        <v>4</v>
      </c>
      <c r="T8" s="71">
        <f t="shared" si="5"/>
        <v>400005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Elfenbenskusten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Curaçao</v>
      </c>
      <c r="AA8" s="72" cm="1">
        <f t="array" ref="AA8">IF(COUNTIFS($C$4:$C$75,"E",$F$4:$F$75,"&lt;&gt;",$G$4:$G$75,"&lt;&gt;")=0,"",LARGE($T$34:$T$37+ROW($T$34:$T$37)/100000,3))</f>
        <v>399004.00034999999</v>
      </c>
      <c r="AB8" s="72">
        <f t="shared" si="2"/>
        <v>5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2</v>
      </c>
      <c r="H9" s="40" t="str">
        <f t="shared" si="0"/>
        <v>2</v>
      </c>
      <c r="I9" s="40">
        <f>IF(OR(F9="",G9="",'📊 Resultat &amp; Tabell'!K10="",'📊 Resultat &amp; Tabell'!L10=""),"",IF(F9='📊 Resultat &amp; Tabell'!K10,2,0)+IF(G9='📊 Resultat &amp; Tabell'!L10,2,0))</f>
        <v>2</v>
      </c>
      <c r="J9" s="40">
        <f>IF(OR(H9="",'📊 Resultat &amp; Tabell'!M10=""),"",IF(H9='📊 Resultat &amp; Tabell'!M10,2,0))</f>
        <v>0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1</v>
      </c>
      <c r="N9" s="59" cm="1">
        <f t="array" ref="N9">SUMPRODUCT(--($C$4:$C$75="A"),--(($D$4:$D$75=L9)+($E$4:$E$75=L9)&gt;0),--($F$4:$F$75=$G$4:$G$75),--($F$4:$F$75&lt;&gt;""),--($G$4:$G$75&lt;&gt;""))</f>
        <v>1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1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5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6</v>
      </c>
      <c r="R9" s="60">
        <f t="shared" si="3"/>
        <v>-1</v>
      </c>
      <c r="S9" s="60">
        <f t="shared" si="4"/>
        <v>4</v>
      </c>
      <c r="T9" s="71">
        <f t="shared" si="5"/>
        <v>399005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Sverige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Japan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Nederländerna</v>
      </c>
      <c r="AA9" s="72" cm="1">
        <f t="array" ref="AA9">IF(COUNTIFS($C$4:$C$75,"F",$F$4:$F$75,"&lt;&gt;",$G$4:$G$75,"&lt;&gt;")=0,"",LARGE($T$41:$T$44+ROW($T$41:$T$44)/100000,3))</f>
        <v>300004.00040999998</v>
      </c>
      <c r="AB9" s="72">
        <f t="shared" si="2"/>
        <v>8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3</v>
      </c>
      <c r="G10" s="13">
        <v>1</v>
      </c>
      <c r="H10" s="40" t="str">
        <f t="shared" si="0"/>
        <v>1</v>
      </c>
      <c r="I10" s="40">
        <f>IF(OR(F10="",G10="",'📊 Resultat &amp; Tabell'!K11="",'📊 Resultat &amp; Tabell'!L11=""),"",IF(F10='📊 Resultat &amp; Tabell'!K11,2,0)+IF(G10='📊 Resultat &amp; Tabell'!L11,2,0))</f>
        <v>2</v>
      </c>
      <c r="J10" s="40">
        <f>IF(OR(H10="",'📊 Resultat &amp; Tabell'!M11=""),"",IF(H10='📊 Resultat &amp; Tabell'!M11,2,0))</f>
        <v>0</v>
      </c>
      <c r="K10" s="40">
        <f t="shared" si="1"/>
        <v>2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Nya Zeeland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299002.00050000002</v>
      </c>
      <c r="AB10" s="72">
        <f t="shared" si="2"/>
        <v>9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2</v>
      </c>
      <c r="G11" s="13">
        <v>1</v>
      </c>
      <c r="H11" s="40" t="str">
        <f t="shared" si="0"/>
        <v>1</v>
      </c>
      <c r="I11" s="40">
        <f>IF(OR(F11="",G11="",'📊 Resultat &amp; Tabell'!K12="",'📊 Resultat &amp; Tabell'!L12=""),"",IF(F11='📊 Resultat &amp; Tabell'!K12,2,0)+IF(G11='📊 Resultat &amp; Tabell'!L12,2,0))</f>
        <v>2</v>
      </c>
      <c r="J11" s="40">
        <f>IF(OR(H11="",'📊 Resultat &amp; Tabell'!M12=""),"",IF(H11='📊 Resultat &amp; Tabell'!M12,2,0))</f>
        <v>0</v>
      </c>
      <c r="K11" s="40">
        <f t="shared" si="1"/>
        <v>2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Kap Verde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Spanien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300005.00056999997</v>
      </c>
      <c r="AB11" s="72">
        <f t="shared" si="2"/>
        <v>7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1</v>
      </c>
      <c r="G12" s="13">
        <v>2</v>
      </c>
      <c r="H12" s="40" t="str">
        <f t="shared" si="0"/>
        <v>2</v>
      </c>
      <c r="I12" s="40">
        <f>IF(OR(F12="",G12="",'📊 Resultat &amp; Tabell'!K13="",'📊 Resultat &amp; Tabell'!L13=""),"",IF(F12='📊 Resultat &amp; Tabell'!K13,2,0)+IF(G12='📊 Resultat &amp; Tabell'!L13,2,0))</f>
        <v>0</v>
      </c>
      <c r="J12" s="40">
        <f>IF(OR(H12="",'📊 Resultat &amp; Tabell'!M13=""),"",IF(H12='📊 Resultat &amp; Tabell'!M13,2,0))</f>
        <v>0</v>
      </c>
      <c r="K12" s="40">
        <f t="shared" si="1"/>
        <v>0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Irak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399005.00063000002</v>
      </c>
      <c r="AB12" s="72">
        <f t="shared" si="2"/>
        <v>3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1</v>
      </c>
      <c r="G13" s="13">
        <v>2</v>
      </c>
      <c r="H13" s="40" t="str">
        <f t="shared" si="0"/>
        <v>2</v>
      </c>
      <c r="I13" s="40">
        <f>IF(OR(F13="",G13="",'📊 Resultat &amp; Tabell'!K14="",'📊 Resultat &amp; Tabell'!L14=""),"",IF(F13='📊 Resultat &amp; Tabell'!K14,2,0)+IF(G13='📊 Resultat &amp; Tabell'!L14,2,0))</f>
        <v>0</v>
      </c>
      <c r="J13" s="40">
        <f>IF(OR(H13="",'📊 Resultat &amp; Tabell'!M14=""),"",IF(H13='📊 Resultat &amp; Tabell'!M14,2,0))</f>
        <v>0</v>
      </c>
      <c r="K13" s="40">
        <f t="shared" si="1"/>
        <v>0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1</v>
      </c>
      <c r="N13" s="59" cm="1">
        <f t="array" ref="N13">SUMPRODUCT(--($C$4:$C$75="B"),--(($D$4:$D$75=L13)+($E$4:$E$75=L13)&gt;0),--($F$4:$F$75=$G$4:$G$75),--($F$4:$F$75&lt;&gt;""),--($G$4:$G$75&lt;&gt;""))</f>
        <v>1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1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6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5</v>
      </c>
      <c r="R13" s="60">
        <f>P13-Q13</f>
        <v>1</v>
      </c>
      <c r="S13" s="60">
        <f>M13*3+N13</f>
        <v>4</v>
      </c>
      <c r="T13" s="71">
        <f>S13*100000+R13*1000+P13</f>
        <v>401006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Algeriet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Österrike</v>
      </c>
      <c r="AA13" s="72" cm="1">
        <f t="array" ref="AA13">IF(COUNTIFS($C$4:$C$75,"J",$F$4:$F$75,"&lt;&gt;",$G$4:$G$75,"&lt;&gt;")=0,"",LARGE($T$69:$T$72+ROW($T$69:$T$72)/100000,3))</f>
        <v>199004.00070999999</v>
      </c>
      <c r="AB13" s="72">
        <f t="shared" si="2"/>
        <v>11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2</v>
      </c>
      <c r="G14" s="13">
        <v>2</v>
      </c>
      <c r="H14" s="40" t="str">
        <f t="shared" si="0"/>
        <v>X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0</v>
      </c>
      <c r="K14" s="40">
        <f t="shared" si="1"/>
        <v>2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1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1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4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5</v>
      </c>
      <c r="R14" s="60">
        <f t="shared" ref="R14:R16" si="6">P14-Q14</f>
        <v>-1</v>
      </c>
      <c r="S14" s="60">
        <f t="shared" ref="S14:S16" si="7">M14*3+N14</f>
        <v>4</v>
      </c>
      <c r="T14" s="71">
        <f t="shared" ref="T14:T16" si="8">S14*100000+R14*1000+P14</f>
        <v>399004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Uzbekistan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Portugal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Colombia</v>
      </c>
      <c r="AA14" s="72" cm="1">
        <f t="array" ref="AA14">IF(COUNTIFS($C$4:$C$75,"K",$F$4:$F$75,"&lt;&gt;",$G$4:$G$75,"&lt;&gt;")=0,"",LARGE($T$76:$T$79+ROW($T$76:$T$79)/100000,3))</f>
        <v>199004.00078999999</v>
      </c>
      <c r="AB14" s="72">
        <f t="shared" si="2"/>
        <v>10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1</v>
      </c>
      <c r="G15" s="13">
        <v>1</v>
      </c>
      <c r="H15" s="40" t="str">
        <f t="shared" si="0"/>
        <v>X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0</v>
      </c>
      <c r="K15" s="40">
        <f t="shared" si="1"/>
        <v>2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2</v>
      </c>
      <c r="N15" s="59" cm="1">
        <f t="array" ref="N15">SUMPRODUCT(--($C$4:$C$75="B"),--(($D$4:$D$75=L15)+($E$4:$E$75=L15)&gt;0),--($F$4:$F$75=$G$4:$G$75),--($F$4:$F$75&lt;&gt;""),--($G$4:$G$75&lt;&gt;""))</f>
        <v>1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0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5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3</v>
      </c>
      <c r="R15" s="60">
        <f t="shared" si="6"/>
        <v>2</v>
      </c>
      <c r="S15" s="60">
        <f t="shared" si="7"/>
        <v>7</v>
      </c>
      <c r="T15" s="71">
        <f t="shared" si="8"/>
        <v>702005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Panama</v>
      </c>
      <c r="AA15" s="72" cm="1">
        <f t="array" ref="AA15">IF(COUNTIFS($C$4:$C$75,"L",$F$4:$F$75,"&lt;&gt;",$G$4:$G$75,"&lt;&gt;")=0,"",LARGE($T$83:$T$86+ROW($T$83:$T$86)/100000,3))</f>
        <v>400005.00085999997</v>
      </c>
      <c r="AB15" s="72">
        <f t="shared" si="2"/>
        <v>2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2</v>
      </c>
      <c r="G16" s="13">
        <v>2</v>
      </c>
      <c r="H16" s="40" t="str">
        <f t="shared" si="0"/>
        <v>X</v>
      </c>
      <c r="I16" s="40">
        <f>IF(OR(F16="",G16="",'📊 Resultat &amp; Tabell'!K17="",'📊 Resultat &amp; Tabell'!L17=""),"",IF(F16='📊 Resultat &amp; Tabell'!K17,2,0)+IF(G16='📊 Resultat &amp; Tabell'!L17,2,0))</f>
        <v>0</v>
      </c>
      <c r="J16" s="40">
        <f>IF(OR(H16="",'📊 Resultat &amp; Tabell'!M17=""),"",IF(H16='📊 Resultat &amp; Tabell'!M17,2,0))</f>
        <v>2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0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2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4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6</v>
      </c>
      <c r="R16" s="60">
        <f t="shared" si="6"/>
        <v>-2</v>
      </c>
      <c r="S16" s="60">
        <f t="shared" si="7"/>
        <v>1</v>
      </c>
      <c r="T16" s="71">
        <f t="shared" si="8"/>
        <v>98004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1</v>
      </c>
      <c r="G17" s="13">
        <v>0</v>
      </c>
      <c r="H17" s="40" t="str">
        <f t="shared" si="0"/>
        <v>1</v>
      </c>
      <c r="I17" s="40">
        <f>IF(OR(F17="",G17="",'📊 Resultat &amp; Tabell'!K18="",'📊 Resultat &amp; Tabell'!L18=""),"",IF(F17='📊 Resultat &amp; Tabell'!K18,2,0)+IF(G17='📊 Resultat &amp; Tabell'!L18,2,0))</f>
        <v>0</v>
      </c>
      <c r="J17" s="40">
        <f>IF(OR(H17="",'📊 Resultat &amp; Tabell'!M18=""),"",IF(H17='📊 Resultat &amp; Tabell'!M18,2,0))</f>
        <v>0</v>
      </c>
      <c r="K17" s="40">
        <f t="shared" si="1"/>
        <v>0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2</v>
      </c>
      <c r="G18" s="13">
        <v>1</v>
      </c>
      <c r="H18" s="40" t="str">
        <f t="shared" si="0"/>
        <v>1</v>
      </c>
      <c r="I18" s="40">
        <f>IF(OR(F18="",G18="",'📊 Resultat &amp; Tabell'!K19="",'📊 Resultat &amp; Tabell'!L19=""),"",IF(F18='📊 Resultat &amp; Tabell'!K19,2,0)+IF(G18='📊 Resultat &amp; Tabell'!L19,2,0))</f>
        <v>2</v>
      </c>
      <c r="J18" s="40">
        <f>IF(OR(H18="",'📊 Resultat &amp; Tabell'!M19=""),"",IF(H18='📊 Resultat &amp; Tabell'!M19,2,0))</f>
        <v>0</v>
      </c>
      <c r="K18" s="40">
        <f t="shared" si="1"/>
        <v>2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1</v>
      </c>
      <c r="G19" s="13">
        <v>2</v>
      </c>
      <c r="H19" s="40" t="str">
        <f t="shared" si="0"/>
        <v>2</v>
      </c>
      <c r="I19" s="40">
        <f>IF(OR(F19="",G19="",'📊 Resultat &amp; Tabell'!K20="",'📊 Resultat &amp; Tabell'!L20=""),"",IF(F19='📊 Resultat &amp; Tabell'!K20,2,0)+IF(G19='📊 Resultat &amp; Tabell'!L20,2,0))</f>
        <v>0</v>
      </c>
      <c r="J19" s="40">
        <f>IF(OR(H19="",'📊 Resultat &amp; Tabell'!M20=""),"",IF(H19='📊 Resultat &amp; Tabell'!M20,2,0))</f>
        <v>0</v>
      </c>
      <c r="K19" s="40">
        <f t="shared" si="1"/>
        <v>0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2</v>
      </c>
      <c r="G20" s="13">
        <v>1</v>
      </c>
      <c r="H20" s="40" t="str">
        <f t="shared" si="0"/>
        <v>1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0</v>
      </c>
      <c r="K20" s="40">
        <f t="shared" si="1"/>
        <v>0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0</v>
      </c>
      <c r="N20" s="59" cm="1">
        <f t="array" ref="N20">SUMPRODUCT(--($C$4:$C$75="C"),--(($D$4:$D$75=L20)+($E$4:$E$75=L20)&gt;0),--($F$4:$F$75=$G$4:$G$75),--($F$4:$F$75&lt;&gt;""),--($G$4:$G$75&lt;&gt;""))</f>
        <v>1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2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4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6</v>
      </c>
      <c r="R20" s="60">
        <f t="shared" ref="R20:R23" si="9">P20-Q20</f>
        <v>-2</v>
      </c>
      <c r="S20" s="60">
        <f t="shared" ref="S20:S23" si="10">M20*3+N20</f>
        <v>1</v>
      </c>
      <c r="T20" s="71">
        <f t="shared" ref="T20:T23" si="11">S20*100000+R20*1000+P20</f>
        <v>98004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0</v>
      </c>
      <c r="G21" s="13">
        <v>1</v>
      </c>
      <c r="H21" s="40" t="str">
        <f t="shared" si="0"/>
        <v>2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0</v>
      </c>
      <c r="K21" s="40">
        <f t="shared" si="1"/>
        <v>0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0</v>
      </c>
      <c r="N21" s="59" cm="1">
        <f t="array" ref="N21">SUMPRODUCT(--($C$4:$C$75="C"),--(($D$4:$D$75=L21)+($E$4:$E$75=L21)&gt;0),--($F$4:$F$75=$G$4:$G$75),--($F$4:$F$75&lt;&gt;""),--($G$4:$G$75&lt;&gt;""))</f>
        <v>1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2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3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5</v>
      </c>
      <c r="R21" s="60">
        <f t="shared" si="9"/>
        <v>-2</v>
      </c>
      <c r="S21" s="60">
        <f t="shared" si="10"/>
        <v>1</v>
      </c>
      <c r="T21" s="71">
        <f t="shared" si="11"/>
        <v>98003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2</v>
      </c>
      <c r="H22" s="40" t="str">
        <f t="shared" si="0"/>
        <v>X</v>
      </c>
      <c r="I22" s="40">
        <f>IF(OR(F22="",G22="",'📊 Resultat &amp; Tabell'!K23="",'📊 Resultat &amp; Tabell'!L23=""),"",IF(F22='📊 Resultat &amp; Tabell'!K23,2,0)+IF(G22='📊 Resultat &amp; Tabell'!L23,2,0))</f>
        <v>0</v>
      </c>
      <c r="J22" s="40">
        <f>IF(OR(H22="",'📊 Resultat &amp; Tabell'!M23=""),"",IF(H22='📊 Resultat &amp; Tabell'!M23,2,0))</f>
        <v>0</v>
      </c>
      <c r="K22" s="40">
        <f t="shared" si="1"/>
        <v>0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3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0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4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1</v>
      </c>
      <c r="R22" s="60">
        <f t="shared" si="9"/>
        <v>3</v>
      </c>
      <c r="S22" s="60">
        <f t="shared" si="10"/>
        <v>9</v>
      </c>
      <c r="T22" s="71">
        <f t="shared" si="11"/>
        <v>903004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0</v>
      </c>
      <c r="G23" s="13">
        <v>0</v>
      </c>
      <c r="H23" s="40" t="str">
        <f t="shared" si="0"/>
        <v>X</v>
      </c>
      <c r="I23" s="40">
        <f>IF(OR(F23="",G23="",'📊 Resultat &amp; Tabell'!K24="",'📊 Resultat &amp; Tabell'!L24=""),"",IF(F23='📊 Resultat &amp; Tabell'!K24,2,0)+IF(G23='📊 Resultat &amp; Tabell'!L24,2,0))</f>
        <v>2</v>
      </c>
      <c r="J23" s="40">
        <f>IF(OR(H23="",'📊 Resultat &amp; Tabell'!M24=""),"",IF(H23='📊 Resultat &amp; Tabell'!M24,2,0))</f>
        <v>0</v>
      </c>
      <c r="K23" s="40">
        <f t="shared" si="1"/>
        <v>2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2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1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3</v>
      </c>
      <c r="R23" s="60">
        <f t="shared" si="9"/>
        <v>1</v>
      </c>
      <c r="S23" s="60">
        <f t="shared" si="10"/>
        <v>6</v>
      </c>
      <c r="T23" s="71">
        <f t="shared" si="11"/>
        <v>601004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1</v>
      </c>
      <c r="G24" s="13">
        <v>3</v>
      </c>
      <c r="H24" s="40" t="str">
        <f t="shared" si="0"/>
        <v>2</v>
      </c>
      <c r="I24" s="40">
        <f>IF(OR(F24="",G24="",'📊 Resultat &amp; Tabell'!K25="",'📊 Resultat &amp; Tabell'!L25=""),"",IF(F24='📊 Resultat &amp; Tabell'!K25,2,0)+IF(G24='📊 Resultat &amp; Tabell'!L25,2,0))</f>
        <v>0</v>
      </c>
      <c r="J24" s="40">
        <f>IF(OR(H24="",'📊 Resultat &amp; Tabell'!M25=""),"",IF(H24='📊 Resultat &amp; Tabell'!M25,2,0))</f>
        <v>2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2</v>
      </c>
      <c r="H25" s="40" t="str">
        <f t="shared" si="0"/>
        <v>X</v>
      </c>
      <c r="I25" s="40">
        <f>IF(OR(F25="",G25="",'📊 Resultat &amp; Tabell'!K26="",'📊 Resultat &amp; Tabell'!L26=""),"",IF(F25='📊 Resultat &amp; Tabell'!K26,2,0)+IF(G25='📊 Resultat &amp; Tabell'!L26,2,0))</f>
        <v>2</v>
      </c>
      <c r="J25" s="40">
        <f>IF(OR(H25="",'📊 Resultat &amp; Tabell'!M26=""),"",IF(H25='📊 Resultat &amp; Tabell'!M26,2,0))</f>
        <v>0</v>
      </c>
      <c r="K25" s="40">
        <f t="shared" si="1"/>
        <v>2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2</v>
      </c>
      <c r="H26" s="40" t="str">
        <f t="shared" si="0"/>
        <v>2</v>
      </c>
      <c r="I26" s="40">
        <f>IF(OR(F26="",G26="",'📊 Resultat &amp; Tabell'!K27="",'📊 Resultat &amp; Tabell'!L27=""),"",IF(F26='📊 Resultat &amp; Tabell'!K27,2,0)+IF(G26='📊 Resultat &amp; Tabell'!L27,2,0))</f>
        <v>2</v>
      </c>
      <c r="J26" s="40">
        <f>IF(OR(H26="",'📊 Resultat &amp; Tabell'!M27=""),"",IF(H26='📊 Resultat &amp; Tabell'!M27,2,0))</f>
        <v>0</v>
      </c>
      <c r="K26" s="40">
        <f t="shared" si="1"/>
        <v>2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1</v>
      </c>
      <c r="G27" s="13">
        <v>3</v>
      </c>
      <c r="H27" s="40" t="str">
        <f t="shared" si="0"/>
        <v>2</v>
      </c>
      <c r="I27" s="40">
        <f>IF(OR(F27="",G27="",'📊 Resultat &amp; Tabell'!K28="",'📊 Resultat &amp; Tabell'!L28=""),"",IF(F27='📊 Resultat &amp; Tabell'!K28,2,0)+IF(G27='📊 Resultat &amp; Tabell'!L28,2,0))</f>
        <v>0</v>
      </c>
      <c r="J27" s="40">
        <f>IF(OR(H27="",'📊 Resultat &amp; Tabell'!M28=""),"",IF(H27='📊 Resultat &amp; Tabell'!M28,2,0))</f>
        <v>0</v>
      </c>
      <c r="K27" s="40">
        <f t="shared" si="1"/>
        <v>0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1</v>
      </c>
      <c r="N27" s="59" cm="1">
        <f t="array" ref="N27">SUMPRODUCT(--($C$4:$C$75="D"),--(($D$4:$D$75=L27)+($E$4:$E$75=L27)&gt;0),--($F$4:$F$75=$G$4:$G$75),--($F$4:$F$75&lt;&gt;""),--($G$4:$G$75&lt;&gt;""))</f>
        <v>2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6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5</v>
      </c>
      <c r="R27" s="60">
        <f t="shared" ref="R27:R30" si="12">P27-Q27</f>
        <v>1</v>
      </c>
      <c r="S27" s="60">
        <f t="shared" ref="S27:S30" si="13">M27*3+N27</f>
        <v>5</v>
      </c>
      <c r="T27" s="71">
        <f t="shared" ref="T27:T30" si="14">S27*100000+R27*1000+P27</f>
        <v>501006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82"/>
      <c r="AH27" s="82"/>
      <c r="AI27" s="82"/>
      <c r="AJ27" s="82"/>
      <c r="AK27" s="82"/>
      <c r="AL27" s="82"/>
      <c r="AM27" s="82"/>
      <c r="AN27" s="82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3</v>
      </c>
      <c r="G28" s="13">
        <v>1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2</v>
      </c>
      <c r="J28" s="40">
        <f>IF(OR(H28="",'📊 Resultat &amp; Tabell'!M29=""),"",IF(H28='📊 Resultat &amp; Tabell'!M29,2,0))</f>
        <v>2</v>
      </c>
      <c r="K28" s="40">
        <f t="shared" si="1"/>
        <v>4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1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1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6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6</v>
      </c>
      <c r="R28" s="60">
        <f t="shared" si="12"/>
        <v>0</v>
      </c>
      <c r="S28" s="60">
        <f t="shared" si="13"/>
        <v>4</v>
      </c>
      <c r="T28" s="71">
        <f t="shared" si="14"/>
        <v>400006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82"/>
      <c r="AH28" s="82"/>
      <c r="AI28" s="82"/>
      <c r="AJ28" s="82"/>
      <c r="AK28" s="82"/>
      <c r="AL28" s="82"/>
      <c r="AM28" s="82"/>
      <c r="AN28" s="82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3</v>
      </c>
      <c r="G29" s="13">
        <v>1</v>
      </c>
      <c r="H29" s="40" t="str">
        <f t="shared" si="0"/>
        <v>1</v>
      </c>
      <c r="I29" s="40">
        <f>IF(OR(F29="",G29="",'📊 Resultat &amp; Tabell'!K30="",'📊 Resultat &amp; Tabell'!L30=""),"",IF(F29='📊 Resultat &amp; Tabell'!K30,2,0)+IF(G29='📊 Resultat &amp; Tabell'!L30,2,0))</f>
        <v>0</v>
      </c>
      <c r="J29" s="40">
        <f>IF(OR(H29="",'📊 Resultat &amp; Tabell'!M30=""),"",IF(H29='📊 Resultat &amp; Tabell'!M30,2,0))</f>
        <v>2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1</v>
      </c>
      <c r="N29" s="59" cm="1">
        <f t="array" ref="N29">SUMPRODUCT(--($C$4:$C$75="D"),--(($D$4:$D$75=L29)+($E$4:$E$75=L29)&gt;0),--($F$4:$F$75=$G$4:$G$75),--($F$4:$F$75&lt;&gt;""),--($G$4:$G$75&lt;&gt;""))</f>
        <v>2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0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5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3</v>
      </c>
      <c r="R29" s="60">
        <f t="shared" si="12"/>
        <v>2</v>
      </c>
      <c r="S29" s="60">
        <f t="shared" si="13"/>
        <v>5</v>
      </c>
      <c r="T29" s="71">
        <f t="shared" si="14"/>
        <v>502005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82"/>
      <c r="AH29" s="82"/>
      <c r="AI29" s="82"/>
      <c r="AJ29" s="82"/>
      <c r="AK29" s="82"/>
      <c r="AL29" s="82"/>
      <c r="AM29" s="82"/>
      <c r="AN29" s="82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1</v>
      </c>
      <c r="G30" s="13">
        <v>1</v>
      </c>
      <c r="H30" s="40" t="str">
        <f t="shared" si="0"/>
        <v>X</v>
      </c>
      <c r="I30" s="40">
        <f>IF(OR(F30="",G30="",'📊 Resultat &amp; Tabell'!K31="",'📊 Resultat &amp; Tabell'!L31=""),"",IF(F30='📊 Resultat &amp; Tabell'!K31,2,0)+IF(G30='📊 Resultat &amp; Tabell'!L31,2,0))</f>
        <v>0</v>
      </c>
      <c r="J30" s="40">
        <f>IF(OR(H30="",'📊 Resultat &amp; Tabell'!M31=""),"",IF(H30='📊 Resultat &amp; Tabell'!M31,2,0))</f>
        <v>2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0</v>
      </c>
      <c r="N30" s="59" cm="1">
        <f t="array" ref="N30">SUMPRODUCT(--($C$4:$C$75="D"),--(($D$4:$D$75=L30)+($E$4:$E$75=L30)&gt;0),--($F$4:$F$75=$G$4:$G$75),--($F$4:$F$75&lt;&gt;""),--($G$4:$G$75&lt;&gt;""))</f>
        <v>1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2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2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5</v>
      </c>
      <c r="R30" s="60">
        <f t="shared" si="12"/>
        <v>-3</v>
      </c>
      <c r="S30" s="60">
        <f t="shared" si="13"/>
        <v>1</v>
      </c>
      <c r="T30" s="71">
        <f t="shared" si="14"/>
        <v>97002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82"/>
      <c r="AH30" s="82"/>
      <c r="AI30" s="82"/>
      <c r="AJ30" s="82"/>
      <c r="AK30" s="82"/>
      <c r="AL30" s="82"/>
      <c r="AM30" s="82"/>
      <c r="AN30" s="82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2</v>
      </c>
      <c r="G31" s="13">
        <v>2</v>
      </c>
      <c r="H31" s="40" t="str">
        <f t="shared" si="0"/>
        <v>X</v>
      </c>
      <c r="I31" s="40">
        <f>IF(OR(F31="",G31="",'📊 Resultat &amp; Tabell'!K32="",'📊 Resultat &amp; Tabell'!L32=""),"",IF(F31='📊 Resultat &amp; Tabell'!K32,2,0)+IF(G31='📊 Resultat &amp; Tabell'!L32,2,0))</f>
        <v>2</v>
      </c>
      <c r="J31" s="40">
        <f>IF(OR(H31="",'📊 Resultat &amp; Tabell'!M32=""),"",IF(H31='📊 Resultat &amp; Tabell'!M32,2,0))</f>
        <v>0</v>
      </c>
      <c r="K31" s="40">
        <f t="shared" si="1"/>
        <v>2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82"/>
      <c r="AH31" s="82"/>
      <c r="AI31" s="82"/>
      <c r="AJ31" s="82"/>
      <c r="AK31" s="82"/>
      <c r="AL31" s="82"/>
      <c r="AM31" s="82"/>
      <c r="AN31" s="82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2</v>
      </c>
      <c r="G32" s="13">
        <v>3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2</v>
      </c>
      <c r="J32" s="40">
        <f>IF(OR(H32="",'📊 Resultat &amp; Tabell'!M33=""),"",IF(H32='📊 Resultat &amp; Tabell'!M33,2,0))</f>
        <v>0</v>
      </c>
      <c r="K32" s="40">
        <f t="shared" si="1"/>
        <v>2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82"/>
      <c r="AH32" s="82"/>
      <c r="AI32" s="82"/>
      <c r="AJ32" s="82"/>
      <c r="AK32" s="82"/>
      <c r="AL32" s="82"/>
      <c r="AM32" s="82"/>
      <c r="AN32" s="82"/>
    </row>
    <row r="33" spans="1:32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2</v>
      </c>
      <c r="G33" s="13">
        <v>1</v>
      </c>
      <c r="H33" s="40" t="str">
        <f t="shared" si="0"/>
        <v>1</v>
      </c>
      <c r="I33" s="40">
        <f>IF(OR(F33="",G33="",'📊 Resultat &amp; Tabell'!K34="",'📊 Resultat &amp; Tabell'!L34=""),"",IF(F33='📊 Resultat &amp; Tabell'!K34,2,0)+IF(G33='📊 Resultat &amp; Tabell'!L34,2,0))</f>
        <v>0</v>
      </c>
      <c r="J33" s="40">
        <f>IF(OR(H33="",'📊 Resultat &amp; Tabell'!M34=""),"",IF(H33='📊 Resultat &amp; Tabell'!M34,2,0))</f>
        <v>0</v>
      </c>
      <c r="K33" s="40">
        <f t="shared" si="1"/>
        <v>0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1</v>
      </c>
      <c r="G34" s="13">
        <v>1</v>
      </c>
      <c r="H34" s="40" t="str">
        <f t="shared" si="0"/>
        <v>X</v>
      </c>
      <c r="I34" s="40">
        <f>IF(OR(F34="",G34="",'📊 Resultat &amp; Tabell'!K35="",'📊 Resultat &amp; Tabell'!L35=""),"",IF(F34='📊 Resultat &amp; Tabell'!K35,2,0)+IF(G34='📊 Resultat &amp; Tabell'!L35,2,0))</f>
        <v>0</v>
      </c>
      <c r="J34" s="40">
        <f>IF(OR(H34="",'📊 Resultat &amp; Tabell'!M35=""),"",IF(H34='📊 Resultat &amp; Tabell'!M35,2,0))</f>
        <v>2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2</v>
      </c>
      <c r="N34" s="59" cm="1">
        <f t="array" ref="N34">SUMPRODUCT(--($C$4:$C$75="E"),--(($D$4:$D$75=L34)+($E$4:$E$75=L34)&gt;0),--($F$4:$F$75=$G$4:$G$75),--($F$4:$F$75&lt;&gt;""),--($G$4:$G$75&lt;&gt;""))</f>
        <v>1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8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5</v>
      </c>
      <c r="R34" s="60">
        <f t="shared" ref="R34:R37" si="15">P34-Q34</f>
        <v>3</v>
      </c>
      <c r="S34" s="60">
        <f t="shared" ref="S34:S37" si="16">M34*3+N34</f>
        <v>7</v>
      </c>
      <c r="T34" s="71">
        <f t="shared" ref="T34:T37" si="17">S34*100000+R34*1000+P34</f>
        <v>703008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1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2</v>
      </c>
      <c r="J35" s="40">
        <f>IF(OR(H35="",'📊 Resultat &amp; Tabell'!M36=""),"",IF(H35='📊 Resultat &amp; Tabell'!M36,2,0))</f>
        <v>2</v>
      </c>
      <c r="K35" s="40">
        <f t="shared" si="1"/>
        <v>4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1</v>
      </c>
      <c r="N35" s="59" cm="1">
        <f t="array" ref="N35">SUMPRODUCT(--($C$4:$C$75="E"),--(($D$4:$D$75=L35)+($E$4:$E$75=L35)&gt;0),--($F$4:$F$75=$G$4:$G$75),--($F$4:$F$75&lt;&gt;""),--($G$4:$G$75&lt;&gt;""))</f>
        <v>1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1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4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5</v>
      </c>
      <c r="R35" s="60">
        <f t="shared" si="15"/>
        <v>-1</v>
      </c>
      <c r="S35" s="60">
        <f t="shared" si="16"/>
        <v>4</v>
      </c>
      <c r="T35" s="71">
        <f t="shared" si="17"/>
        <v>399004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1</v>
      </c>
      <c r="G36" s="13">
        <v>2</v>
      </c>
      <c r="H36" s="40" t="str">
        <f t="shared" si="0"/>
        <v>2</v>
      </c>
      <c r="I36" s="40">
        <f>IF(OR(F36="",G36="",'📊 Resultat &amp; Tabell'!K37="",'📊 Resultat &amp; Tabell'!L37=""),"",IF(F36='📊 Resultat &amp; Tabell'!K37,2,0)+IF(G36='📊 Resultat &amp; Tabell'!L37,2,0))</f>
        <v>0</v>
      </c>
      <c r="J36" s="40">
        <f>IF(OR(H36="",'📊 Resultat &amp; Tabell'!M37=""),"",IF(H36='📊 Resultat &amp; Tabell'!M37,2,0))</f>
        <v>2</v>
      </c>
      <c r="K36" s="40">
        <f t="shared" si="1"/>
        <v>2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6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5</v>
      </c>
      <c r="R36" s="60">
        <f t="shared" si="15"/>
        <v>1</v>
      </c>
      <c r="S36" s="60">
        <f t="shared" si="16"/>
        <v>4</v>
      </c>
      <c r="T36" s="71">
        <f t="shared" si="17"/>
        <v>401006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1</v>
      </c>
      <c r="G37" s="13">
        <v>1</v>
      </c>
      <c r="H37" s="40" t="str">
        <f t="shared" si="0"/>
        <v>X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0</v>
      </c>
      <c r="K37" s="40">
        <f t="shared" si="1"/>
        <v>2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0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2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4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7</v>
      </c>
      <c r="R37" s="60">
        <f t="shared" si="15"/>
        <v>-3</v>
      </c>
      <c r="S37" s="60">
        <f t="shared" si="16"/>
        <v>1</v>
      </c>
      <c r="T37" s="71">
        <f t="shared" si="17"/>
        <v>97004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2</v>
      </c>
      <c r="G38" s="13">
        <v>2</v>
      </c>
      <c r="H38" s="40" t="str">
        <f t="shared" si="0"/>
        <v>X</v>
      </c>
      <c r="I38" s="40">
        <f>IF(OR(F38="",G38="",'📊 Resultat &amp; Tabell'!K39="",'📊 Resultat &amp; Tabell'!L39=""),"",IF(F38='📊 Resultat &amp; Tabell'!K39,2,0)+IF(G38='📊 Resultat &amp; Tabell'!L39,2,0))</f>
        <v>0</v>
      </c>
      <c r="J38" s="40">
        <f>IF(OR(H38="",'📊 Resultat &amp; Tabell'!M39=""),"",IF(H38='📊 Resultat &amp; Tabell'!M39,2,0))</f>
        <v>0</v>
      </c>
      <c r="K38" s="40">
        <f t="shared" si="1"/>
        <v>0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1</v>
      </c>
      <c r="G39" s="13">
        <v>2</v>
      </c>
      <c r="H39" s="40" t="str">
        <f t="shared" si="0"/>
        <v>2</v>
      </c>
      <c r="I39" s="40">
        <f>IF(OR(F39="",G39="",'📊 Resultat &amp; Tabell'!K40="",'📊 Resultat &amp; Tabell'!L40=""),"",IF(F39='📊 Resultat &amp; Tabell'!K40,2,0)+IF(G39='📊 Resultat &amp; Tabell'!L40,2,0))</f>
        <v>2</v>
      </c>
      <c r="J39" s="40">
        <f>IF(OR(H39="",'📊 Resultat &amp; Tabell'!M40=""),"",IF(H39='📊 Resultat &amp; Tabell'!M40,2,0))</f>
        <v>0</v>
      </c>
      <c r="K39" s="40">
        <f t="shared" si="1"/>
        <v>2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0</v>
      </c>
      <c r="G40" s="13">
        <v>2</v>
      </c>
      <c r="H40" s="40" t="str">
        <f t="shared" si="0"/>
        <v>2</v>
      </c>
      <c r="I40" s="40">
        <f>IF(OR(F40="",G40="",'📊 Resultat &amp; Tabell'!K41="",'📊 Resultat &amp; Tabell'!L41=""),"",IF(F40='📊 Resultat &amp; Tabell'!K41,2,0)+IF(G40='📊 Resultat &amp; Tabell'!L41,2,0))</f>
        <v>0</v>
      </c>
      <c r="J40" s="40">
        <f>IF(OR(H40="",'📊 Resultat &amp; Tabell'!M41=""),"",IF(H40='📊 Resultat &amp; Tabell'!M41,2,0))</f>
        <v>0</v>
      </c>
      <c r="K40" s="40">
        <f t="shared" si="1"/>
        <v>0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0</v>
      </c>
      <c r="G41" s="13">
        <v>2</v>
      </c>
      <c r="H41" s="40" t="str">
        <f t="shared" si="0"/>
        <v>2</v>
      </c>
      <c r="I41" s="40">
        <f>IF(OR(F41="",G41="",'📊 Resultat &amp; Tabell'!K42="",'📊 Resultat &amp; Tabell'!L42=""),"",IF(F41='📊 Resultat &amp; Tabell'!K42,2,0)+IF(G41='📊 Resultat &amp; Tabell'!L42,2,0))</f>
        <v>2</v>
      </c>
      <c r="J41" s="40">
        <f>IF(OR(H41="",'📊 Resultat &amp; Tabell'!M42=""),"",IF(H41='📊 Resultat &amp; Tabell'!M42,2,0))</f>
        <v>0</v>
      </c>
      <c r="K41" s="40">
        <f t="shared" si="1"/>
        <v>2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0</v>
      </c>
      <c r="N41" s="59" cm="1">
        <f t="array" ref="N41">SUMPRODUCT(--($C$4:$C$75="F"),--(($D$4:$D$75=L41)+($E$4:$E$75=L41)&gt;0),--($F$4:$F$75=$G$4:$G$75),--($F$4:$F$75&lt;&gt;""),--($G$4:$G$75&lt;&gt;""))</f>
        <v>3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4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4</v>
      </c>
      <c r="R41" s="60">
        <f t="shared" ref="R41:R44" si="18">P41-Q41</f>
        <v>0</v>
      </c>
      <c r="S41" s="60">
        <f t="shared" ref="S41:S44" si="19">M41*3+N41</f>
        <v>3</v>
      </c>
      <c r="T41" s="71">
        <f t="shared" ref="T41:T44" si="20">S41*100000+R41*1000+P41</f>
        <v>300004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1</v>
      </c>
      <c r="G42" s="13">
        <v>0</v>
      </c>
      <c r="H42" s="40" t="str">
        <f t="shared" si="0"/>
        <v>1</v>
      </c>
      <c r="I42" s="40">
        <f>IF(OR(F42="",G42="",'📊 Resultat &amp; Tabell'!K43="",'📊 Resultat &amp; Tabell'!L43=""),"",IF(F42='📊 Resultat &amp; Tabell'!K43,2,0)+IF(G42='📊 Resultat &amp; Tabell'!L43,2,0))</f>
        <v>2</v>
      </c>
      <c r="J42" s="40">
        <f>IF(OR(H42="",'📊 Resultat &amp; Tabell'!M43=""),"",IF(H42='📊 Resultat &amp; Tabell'!M43,2,0))</f>
        <v>0</v>
      </c>
      <c r="K42" s="40">
        <f t="shared" si="1"/>
        <v>2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1</v>
      </c>
      <c r="N42" s="59" cm="1">
        <f t="array" ref="N42">SUMPRODUCT(--($C$4:$C$75="F"),--(($D$4:$D$75=L42)+($E$4:$E$75=L42)&gt;0),--($F$4:$F$75=$G$4:$G$75),--($F$4:$F$75&lt;&gt;""),--($G$4:$G$75&lt;&gt;""))</f>
        <v>1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4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4</v>
      </c>
      <c r="R42" s="60">
        <f t="shared" si="18"/>
        <v>0</v>
      </c>
      <c r="S42" s="60">
        <f t="shared" si="19"/>
        <v>4</v>
      </c>
      <c r="T42" s="71">
        <f t="shared" si="20"/>
        <v>400004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0</v>
      </c>
      <c r="G43" s="13">
        <v>2</v>
      </c>
      <c r="H43" s="40" t="str">
        <f t="shared" si="0"/>
        <v>2</v>
      </c>
      <c r="I43" s="40">
        <f>IF(OR(F43="",G43="",'📊 Resultat &amp; Tabell'!K44="",'📊 Resultat &amp; Tabell'!L44=""),"",IF(F43='📊 Resultat &amp; Tabell'!K44,2,0)+IF(G43='📊 Resultat &amp; Tabell'!L44,2,0))</f>
        <v>2</v>
      </c>
      <c r="J43" s="40">
        <f>IF(OR(H43="",'📊 Resultat &amp; Tabell'!M44=""),"",IF(H43='📊 Resultat &amp; Tabell'!M44,2,0))</f>
        <v>0</v>
      </c>
      <c r="K43" s="40">
        <f t="shared" si="1"/>
        <v>2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2</v>
      </c>
      <c r="N43" s="59" cm="1">
        <f t="array" ref="N43">SUMPRODUCT(--($C$4:$C$75="F"),--(($D$4:$D$75=L43)+($E$4:$E$75=L43)&gt;0),--($F$4:$F$75=$G$4:$G$75),--($F$4:$F$75&lt;&gt;""),--($G$4:$G$75&lt;&gt;""))</f>
        <v>1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0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5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3</v>
      </c>
      <c r="R43" s="60">
        <f t="shared" si="18"/>
        <v>2</v>
      </c>
      <c r="S43" s="60">
        <f t="shared" si="19"/>
        <v>7</v>
      </c>
      <c r="T43" s="71">
        <f t="shared" si="20"/>
        <v>702005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0</v>
      </c>
      <c r="H44" s="40" t="str">
        <f t="shared" si="0"/>
        <v>X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0</v>
      </c>
      <c r="K44" s="40">
        <f t="shared" si="1"/>
        <v>0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1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2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4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6</v>
      </c>
      <c r="R44" s="60">
        <f t="shared" si="18"/>
        <v>-2</v>
      </c>
      <c r="S44" s="60">
        <f t="shared" si="19"/>
        <v>1</v>
      </c>
      <c r="T44" s="71">
        <f t="shared" si="20"/>
        <v>98004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0</v>
      </c>
      <c r="H45" s="40" t="str">
        <f t="shared" si="0"/>
        <v>1</v>
      </c>
      <c r="I45" s="40">
        <f>IF(OR(F45="",G45="",'📊 Resultat &amp; Tabell'!K46="",'📊 Resultat &amp; Tabell'!L46=""),"",IF(F45='📊 Resultat &amp; Tabell'!K46,2,0)+IF(G45='📊 Resultat &amp; Tabell'!L46,2,0))</f>
        <v>2</v>
      </c>
      <c r="J45" s="40">
        <f>IF(OR(H45="",'📊 Resultat &amp; Tabell'!M46=""),"",IF(H45='📊 Resultat &amp; Tabell'!M46,2,0))</f>
        <v>0</v>
      </c>
      <c r="K45" s="40">
        <f t="shared" si="1"/>
        <v>2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2</v>
      </c>
      <c r="G46" s="13">
        <v>2</v>
      </c>
      <c r="H46" s="40" t="str">
        <f t="shared" si="0"/>
        <v>X</v>
      </c>
      <c r="I46" s="40">
        <f>IF(OR(F46="",G46="",'📊 Resultat &amp; Tabell'!K47="",'📊 Resultat &amp; Tabell'!L47=""),"",IF(F46='📊 Resultat &amp; Tabell'!K47,2,0)+IF(G46='📊 Resultat &amp; Tabell'!L47,2,0))</f>
        <v>0</v>
      </c>
      <c r="J46" s="40">
        <f>IF(OR(H46="",'📊 Resultat &amp; Tabell'!M47=""),"",IF(H46='📊 Resultat &amp; Tabell'!M47,2,0))</f>
        <v>2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1</v>
      </c>
      <c r="G47" s="13">
        <v>1</v>
      </c>
      <c r="H47" s="40" t="str">
        <f t="shared" si="0"/>
        <v>X</v>
      </c>
      <c r="I47" s="40">
        <f>IF(OR(F47="",G47="",'📊 Resultat &amp; Tabell'!K48="",'📊 Resultat &amp; Tabell'!L48=""),"",IF(F47='📊 Resultat &amp; Tabell'!K48,2,0)+IF(G47='📊 Resultat &amp; Tabell'!L48,2,0))</f>
        <v>4</v>
      </c>
      <c r="J47" s="40">
        <f>IF(OR(H47="",'📊 Resultat &amp; Tabell'!M48=""),"",IF(H47='📊 Resultat &amp; Tabell'!M48,2,0))</f>
        <v>2</v>
      </c>
      <c r="K47" s="40">
        <f t="shared" si="1"/>
        <v>6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1</v>
      </c>
      <c r="G48" s="13">
        <v>2</v>
      </c>
      <c r="H48" s="40" t="str">
        <f t="shared" si="0"/>
        <v>2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0</v>
      </c>
      <c r="N48" s="59" cm="1">
        <f t="array" ref="N48">SUMPRODUCT(--($C$4:$C$75="G"),--(($D$4:$D$75=L48)+($E$4:$E$75=L48)&gt;0),--($F$4:$F$75=$G$4:$G$75),--($F$4:$F$75&lt;&gt;""),--($G$4:$G$75&lt;&gt;""))</f>
        <v>1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2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0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4</v>
      </c>
      <c r="R48" s="60">
        <f t="shared" ref="R48:R51" si="21">P48-Q48</f>
        <v>-4</v>
      </c>
      <c r="S48" s="60">
        <f t="shared" ref="S48:S51" si="22">M48*3+N48</f>
        <v>1</v>
      </c>
      <c r="T48" s="71">
        <f t="shared" ref="T48:T51" si="23">S48*100000+R48*1000+P48</f>
        <v>96000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3</v>
      </c>
      <c r="G49" s="13">
        <v>3</v>
      </c>
      <c r="H49" s="40" t="str">
        <f t="shared" si="0"/>
        <v>X</v>
      </c>
      <c r="I49" s="40">
        <f>IF(OR(F49="",G49="",'📊 Resultat &amp; Tabell'!K50="",'📊 Resultat &amp; Tabell'!L50=""),"",IF(F49='📊 Resultat &amp; Tabell'!K50,2,0)+IF(G49='📊 Resultat &amp; Tabell'!L50,2,0))</f>
        <v>0</v>
      </c>
      <c r="J49" s="40">
        <f>IF(OR(H49="",'📊 Resultat &amp; Tabell'!M50=""),"",IF(H49='📊 Resultat &amp; Tabell'!M50,2,0))</f>
        <v>0</v>
      </c>
      <c r="K49" s="40">
        <f t="shared" si="1"/>
        <v>0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2</v>
      </c>
      <c r="N49" s="59" cm="1">
        <f t="array" ref="N49">SUMPRODUCT(--($C$4:$C$75="G"),--(($D$4:$D$75=L49)+($E$4:$E$75=L49)&gt;0),--($F$4:$F$75=$G$4:$G$75),--($F$4:$F$75&lt;&gt;""),--($G$4:$G$75&lt;&gt;""))</f>
        <v>0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3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1</v>
      </c>
      <c r="R49" s="60">
        <f t="shared" si="21"/>
        <v>2</v>
      </c>
      <c r="S49" s="60">
        <f t="shared" si="22"/>
        <v>6</v>
      </c>
      <c r="T49" s="71">
        <f t="shared" si="23"/>
        <v>602003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1</v>
      </c>
      <c r="H50" s="40" t="str">
        <f t="shared" si="0"/>
        <v>X</v>
      </c>
      <c r="I50" s="40">
        <f>IF(OR(F50="",G50="",'📊 Resultat &amp; Tabell'!K51="",'📊 Resultat &amp; Tabell'!L51=""),"",IF(F50='📊 Resultat &amp; Tabell'!K51,2,0)+IF(G50='📊 Resultat &amp; Tabell'!L51,2,0))</f>
        <v>2</v>
      </c>
      <c r="J50" s="40">
        <f>IF(OR(H50="",'📊 Resultat &amp; Tabell'!M51=""),"",IF(H50='📊 Resultat &amp; Tabell'!M51,2,0))</f>
        <v>0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1</v>
      </c>
      <c r="N50" s="59" cm="1">
        <f t="array" ref="N50">SUMPRODUCT(--($C$4:$C$75="G"),--(($D$4:$D$75=L50)+($E$4:$E$75=L50)&gt;0),--($F$4:$F$75=$G$4:$G$75),--($F$4:$F$75&lt;&gt;""),--($G$4:$G$75&lt;&gt;""))</f>
        <v>0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2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2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3</v>
      </c>
      <c r="R50" s="60">
        <f t="shared" si="21"/>
        <v>-1</v>
      </c>
      <c r="S50" s="60">
        <f t="shared" si="22"/>
        <v>3</v>
      </c>
      <c r="T50" s="71">
        <f t="shared" si="23"/>
        <v>299002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1</v>
      </c>
      <c r="H51" s="40" t="str">
        <f t="shared" si="0"/>
        <v>X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2</v>
      </c>
      <c r="K51" s="40">
        <f t="shared" si="1"/>
        <v>2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2</v>
      </c>
      <c r="N51" s="59" cm="1">
        <f t="array" ref="N51">SUMPRODUCT(--($C$4:$C$75="G"),--(($D$4:$D$75=L51)+($E$4:$E$75=L51)&gt;0),--($F$4:$F$75=$G$4:$G$75),--($F$4:$F$75&lt;&gt;""),--($G$4:$G$75&lt;&gt;""))</f>
        <v>1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0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3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0</v>
      </c>
      <c r="R51" s="60">
        <f t="shared" si="21"/>
        <v>3</v>
      </c>
      <c r="S51" s="60">
        <f t="shared" si="22"/>
        <v>7</v>
      </c>
      <c r="T51" s="71">
        <f t="shared" si="23"/>
        <v>703003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2</v>
      </c>
      <c r="G52" s="13">
        <v>2</v>
      </c>
      <c r="H52" s="40" t="str">
        <f t="shared" si="0"/>
        <v>X</v>
      </c>
      <c r="I52" s="40">
        <f>IF(OR(F52="",G52="",'📊 Resultat &amp; Tabell'!K53="",'📊 Resultat &amp; Tabell'!L53=""),"",IF(F52='📊 Resultat &amp; Tabell'!K53,2,0)+IF(G52='📊 Resultat &amp; Tabell'!L53,2,0))</f>
        <v>0</v>
      </c>
      <c r="J52" s="40">
        <f>IF(OR(H52="",'📊 Resultat &amp; Tabell'!M53=""),"",IF(H52='📊 Resultat &amp; Tabell'!M53,2,0))</f>
        <v>0</v>
      </c>
      <c r="K52" s="40">
        <f t="shared" si="1"/>
        <v>0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3</v>
      </c>
      <c r="G53" s="13">
        <v>3</v>
      </c>
      <c r="H53" s="40" t="str">
        <f t="shared" si="0"/>
        <v>X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0</v>
      </c>
      <c r="K53" s="40">
        <f t="shared" si="1"/>
        <v>0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1</v>
      </c>
      <c r="G54" s="13">
        <v>2</v>
      </c>
      <c r="H54" s="40" t="str">
        <f t="shared" si="0"/>
        <v>2</v>
      </c>
      <c r="I54" s="40">
        <f>IF(OR(F54="",G54="",'📊 Resultat &amp; Tabell'!K55="",'📊 Resultat &amp; Tabell'!L55=""),"",IF(F54='📊 Resultat &amp; Tabell'!K55,2,0)+IF(G54='📊 Resultat &amp; Tabell'!L55,2,0))</f>
        <v>2</v>
      </c>
      <c r="J54" s="40">
        <f>IF(OR(H54="",'📊 Resultat &amp; Tabell'!M55=""),"",IF(H54='📊 Resultat &amp; Tabell'!M55,2,0))</f>
        <v>0</v>
      </c>
      <c r="K54" s="40">
        <f t="shared" si="1"/>
        <v>2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2</v>
      </c>
      <c r="G55" s="13">
        <v>0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2</v>
      </c>
      <c r="J55" s="40">
        <f>IF(OR(H55="",'📊 Resultat &amp; Tabell'!M56=""),"",IF(H55='📊 Resultat &amp; Tabell'!M56,2,0))</f>
        <v>2</v>
      </c>
      <c r="K55" s="40">
        <f t="shared" si="1"/>
        <v>4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0</v>
      </c>
      <c r="N55" s="59" cm="1">
        <f t="array" ref="N55">SUMPRODUCT(--($C$4:$C$75="H"),--(($D$4:$D$75=L55)+($E$4:$E$75=L55)&gt;0),--($F$4:$F$75=$G$4:$G$75),--($F$4:$F$75&lt;&gt;""),--($G$4:$G$75&lt;&gt;""))</f>
        <v>3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6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6</v>
      </c>
      <c r="R55" s="60">
        <f t="shared" ref="R55:R58" si="24">P55-Q55</f>
        <v>0</v>
      </c>
      <c r="S55" s="60">
        <f t="shared" ref="S55:S58" si="25">M55*3+N55</f>
        <v>3</v>
      </c>
      <c r="T55" s="71">
        <f t="shared" ref="T55:T58" si="26">S55*100000+R55*1000+P55</f>
        <v>300006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1</v>
      </c>
      <c r="G56" s="13">
        <v>2</v>
      </c>
      <c r="H56" s="40" t="str">
        <f t="shared" si="0"/>
        <v>2</v>
      </c>
      <c r="I56" s="40">
        <f>IF(OR(F56="",G56="",'📊 Resultat &amp; Tabell'!K57="",'📊 Resultat &amp; Tabell'!L57=""),"",IF(F56='📊 Resultat &amp; Tabell'!K57,2,0)+IF(G56='📊 Resultat &amp; Tabell'!L57,2,0))</f>
        <v>2</v>
      </c>
      <c r="J56" s="40">
        <f>IF(OR(H56="",'📊 Resultat &amp; Tabell'!M57=""),"",IF(H56='📊 Resultat &amp; Tabell'!M57,2,0))</f>
        <v>2</v>
      </c>
      <c r="K56" s="40">
        <f t="shared" si="1"/>
        <v>4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1</v>
      </c>
      <c r="N56" s="59" cm="1">
        <f t="array" ref="N56">SUMPRODUCT(--($C$4:$C$75="H"),--(($D$4:$D$75=L56)+($E$4:$E$75=L56)&gt;0),--($F$4:$F$75=$G$4:$G$75),--($F$4:$F$75&lt;&gt;""),--($G$4:$G$75&lt;&gt;""))</f>
        <v>2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0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5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4</v>
      </c>
      <c r="R56" s="60">
        <f t="shared" si="24"/>
        <v>1</v>
      </c>
      <c r="S56" s="60">
        <f t="shared" si="25"/>
        <v>5</v>
      </c>
      <c r="T56" s="71">
        <f t="shared" si="26"/>
        <v>501005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1</v>
      </c>
      <c r="G57" s="13">
        <v>3</v>
      </c>
      <c r="H57" s="40" t="str">
        <f t="shared" si="0"/>
        <v>2</v>
      </c>
      <c r="I57" s="40">
        <f>IF(OR(F57="",G57="",'📊 Resultat &amp; Tabell'!K58="",'📊 Resultat &amp; Tabell'!L58=""),"",IF(F57='📊 Resultat &amp; Tabell'!K58,2,0)+IF(G57='📊 Resultat &amp; Tabell'!L58,2,0))</f>
        <v>0</v>
      </c>
      <c r="J57" s="40">
        <f>IF(OR(H57="",'📊 Resultat &amp; Tabell'!M58=""),"",IF(H57='📊 Resultat &amp; Tabell'!M58,2,0))</f>
        <v>0</v>
      </c>
      <c r="K57" s="40">
        <f t="shared" si="1"/>
        <v>0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0</v>
      </c>
      <c r="N57" s="59" cm="1">
        <f t="array" ref="N57">SUMPRODUCT(--($C$4:$C$75="H"),--(($D$4:$D$75=L57)+($E$4:$E$75=L57)&gt;0),--($F$4:$F$75=$G$4:$G$75),--($F$4:$F$75&lt;&gt;""),--($G$4:$G$75&lt;&gt;""))</f>
        <v>3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0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5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5</v>
      </c>
      <c r="R57" s="60">
        <f t="shared" si="24"/>
        <v>0</v>
      </c>
      <c r="S57" s="60">
        <f t="shared" si="25"/>
        <v>3</v>
      </c>
      <c r="T57" s="71">
        <f t="shared" si="26"/>
        <v>300005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2</v>
      </c>
      <c r="G58" s="13">
        <v>1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0</v>
      </c>
      <c r="J58" s="40">
        <f>IF(OR(H58="",'📊 Resultat &amp; Tabell'!M59=""),"",IF(H58='📊 Resultat &amp; Tabell'!M59,2,0))</f>
        <v>2</v>
      </c>
      <c r="K58" s="40">
        <f t="shared" si="1"/>
        <v>2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0</v>
      </c>
      <c r="N58" s="59" cm="1">
        <f t="array" ref="N58">SUMPRODUCT(--($C$4:$C$75="H"),--(($D$4:$D$75=L58)+($E$4:$E$75=L58)&gt;0),--($F$4:$F$75=$G$4:$G$75),--($F$4:$F$75&lt;&gt;""),--($G$4:$G$75&lt;&gt;""))</f>
        <v>2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1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3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4</v>
      </c>
      <c r="R58" s="60">
        <f t="shared" si="24"/>
        <v>-1</v>
      </c>
      <c r="S58" s="60">
        <f t="shared" si="25"/>
        <v>2</v>
      </c>
      <c r="T58" s="71">
        <f t="shared" si="26"/>
        <v>199003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1</v>
      </c>
      <c r="G59" s="13">
        <v>1</v>
      </c>
      <c r="H59" s="40" t="str">
        <f t="shared" si="0"/>
        <v>X</v>
      </c>
      <c r="I59" s="40">
        <f>IF(OR(F59="",G59="",'📊 Resultat &amp; Tabell'!K60="",'📊 Resultat &amp; Tabell'!L60=""),"",IF(F59='📊 Resultat &amp; Tabell'!K60,2,0)+IF(G59='📊 Resultat &amp; Tabell'!L60,2,0))</f>
        <v>2</v>
      </c>
      <c r="J59" s="40">
        <f>IF(OR(H59="",'📊 Resultat &amp; Tabell'!M60=""),"",IF(H59='📊 Resultat &amp; Tabell'!M60,2,0))</f>
        <v>0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2</v>
      </c>
      <c r="H60" s="40" t="str">
        <f t="shared" si="0"/>
        <v>2</v>
      </c>
      <c r="I60" s="40">
        <f>IF(OR(F60="",G60="",'📊 Resultat &amp; Tabell'!K61="",'📊 Resultat &amp; Tabell'!L61=""),"",IF(F60='📊 Resultat &amp; Tabell'!K61,2,0)+IF(G60='📊 Resultat &amp; Tabell'!L61,2,0))</f>
        <v>4</v>
      </c>
      <c r="J60" s="40">
        <f>IF(OR(H60="",'📊 Resultat &amp; Tabell'!M61=""),"",IF(H60='📊 Resultat &amp; Tabell'!M61,2,0))</f>
        <v>2</v>
      </c>
      <c r="K60" s="40">
        <f t="shared" si="1"/>
        <v>6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2</v>
      </c>
      <c r="H61" s="40" t="str">
        <f t="shared" si="0"/>
        <v>X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0</v>
      </c>
      <c r="K61" s="40">
        <f t="shared" si="1"/>
        <v>2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1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4</v>
      </c>
      <c r="J62" s="40">
        <f>IF(OR(H62="",'📊 Resultat &amp; Tabell'!M63=""),"",IF(H62='📊 Resultat &amp; Tabell'!M63,2,0))</f>
        <v>2</v>
      </c>
      <c r="K62" s="40">
        <f t="shared" si="1"/>
        <v>6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2</v>
      </c>
      <c r="N62" s="59" cm="1">
        <f t="array" ref="N62">SUMPRODUCT(--($C$4:$C$75="I"),--(($D$4:$D$75=L62)+($E$4:$E$75=L62)&gt;0),--($F$4:$F$75=$G$4:$G$75),--($F$4:$F$75&lt;&gt;""),--($G$4:$G$75&lt;&gt;""))</f>
        <v>1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6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3</v>
      </c>
      <c r="R62" s="60">
        <f t="shared" ref="R62:R65" si="27">P62-Q62</f>
        <v>3</v>
      </c>
      <c r="S62" s="60">
        <f t="shared" ref="S62:S65" si="28">M62*3+N62</f>
        <v>7</v>
      </c>
      <c r="T62" s="71">
        <f t="shared" ref="T62:T65" si="29">S62*100000+R62*1000+P62</f>
        <v>703006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2</v>
      </c>
      <c r="G63" s="13">
        <v>1</v>
      </c>
      <c r="H63" s="40" t="str">
        <f t="shared" si="0"/>
        <v>1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0</v>
      </c>
      <c r="K63" s="40">
        <f t="shared" si="1"/>
        <v>0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1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1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5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6</v>
      </c>
      <c r="R63" s="60">
        <f t="shared" si="27"/>
        <v>-1</v>
      </c>
      <c r="S63" s="60">
        <f t="shared" si="28"/>
        <v>4</v>
      </c>
      <c r="T63" s="71">
        <f t="shared" si="29"/>
        <v>399005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1</v>
      </c>
      <c r="G64" s="13">
        <v>1</v>
      </c>
      <c r="H64" s="40" t="str">
        <f t="shared" si="0"/>
        <v>X</v>
      </c>
      <c r="I64" s="40">
        <f>IF(OR(F64="",G64="",'📊 Resultat &amp; Tabell'!K65="",'📊 Resultat &amp; Tabell'!L65=""),"",IF(F64='📊 Resultat &amp; Tabell'!K65,2,0)+IF(G64='📊 Resultat &amp; Tabell'!L65,2,0))</f>
        <v>4</v>
      </c>
      <c r="J64" s="40">
        <f>IF(OR(H64="",'📊 Resultat &amp; Tabell'!M65=""),"",IF(H64='📊 Resultat &amp; Tabell'!M65,2,0))</f>
        <v>2</v>
      </c>
      <c r="K64" s="40">
        <f t="shared" si="1"/>
        <v>6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1</v>
      </c>
      <c r="N64" s="59" cm="1">
        <f t="array" ref="N64">SUMPRODUCT(--($C$4:$C$75="I"),--(($D$4:$D$75=L64)+($E$4:$E$75=L64)&gt;0),--($F$4:$F$75=$G$4:$G$75),--($F$4:$F$75&lt;&gt;""),--($G$4:$G$75&lt;&gt;""))</f>
        <v>1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1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6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6</v>
      </c>
      <c r="R64" s="60">
        <f t="shared" si="27"/>
        <v>0</v>
      </c>
      <c r="S64" s="60">
        <f t="shared" si="28"/>
        <v>4</v>
      </c>
      <c r="T64" s="71">
        <f t="shared" si="29"/>
        <v>400006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3</v>
      </c>
      <c r="G65" s="13">
        <v>2</v>
      </c>
      <c r="H65" s="40" t="str">
        <f t="shared" si="0"/>
        <v>1</v>
      </c>
      <c r="I65" s="40">
        <f>IF(OR(F65="",G65="",'📊 Resultat &amp; Tabell'!K66="",'📊 Resultat &amp; Tabell'!L66=""),"",IF(F65='📊 Resultat &amp; Tabell'!K66,2,0)+IF(G65='📊 Resultat &amp; Tabell'!L66,2,0))</f>
        <v>0</v>
      </c>
      <c r="J65" s="40">
        <f>IF(OR(H65="",'📊 Resultat &amp; Tabell'!M66=""),"",IF(H65='📊 Resultat &amp; Tabell'!M66,2,0))</f>
        <v>0</v>
      </c>
      <c r="K65" s="40">
        <f t="shared" si="1"/>
        <v>0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0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2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5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7</v>
      </c>
      <c r="R65" s="60">
        <f t="shared" si="27"/>
        <v>-2</v>
      </c>
      <c r="S65" s="60">
        <f t="shared" si="28"/>
        <v>1</v>
      </c>
      <c r="T65" s="71">
        <f t="shared" si="29"/>
        <v>98005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1</v>
      </c>
      <c r="G66" s="13">
        <v>1</v>
      </c>
      <c r="H66" s="40" t="str">
        <f t="shared" si="0"/>
        <v>X</v>
      </c>
      <c r="I66" s="40">
        <f>IF(OR(F66="",G66="",'📊 Resultat &amp; Tabell'!K67="",'📊 Resultat &amp; Tabell'!L67=""),"",IF(F66='📊 Resultat &amp; Tabell'!K67,2,0)+IF(G66='📊 Resultat &amp; Tabell'!L67,2,0))</f>
        <v>2</v>
      </c>
      <c r="J66" s="40">
        <f>IF(OR(H66="",'📊 Resultat &amp; Tabell'!M67=""),"",IF(H66='📊 Resultat &amp; Tabell'!M67,2,0))</f>
        <v>0</v>
      </c>
      <c r="K66" s="40">
        <f t="shared" si="1"/>
        <v>2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2</v>
      </c>
      <c r="G67" s="13">
        <v>2</v>
      </c>
      <c r="H67" s="40" t="str">
        <f t="shared" si="0"/>
        <v>X</v>
      </c>
      <c r="I67" s="40">
        <f>IF(OR(F67="",G67="",'📊 Resultat &amp; Tabell'!K68="",'📊 Resultat &amp; Tabell'!L68=""),"",IF(F67='📊 Resultat &amp; Tabell'!K68,2,0)+IF(G67='📊 Resultat &amp; Tabell'!L68,2,0))</f>
        <v>0</v>
      </c>
      <c r="J67" s="40">
        <f>IF(OR(H67="",'📊 Resultat &amp; Tabell'!M68=""),"",IF(H67='📊 Resultat &amp; Tabell'!M68,2,0))</f>
        <v>0</v>
      </c>
      <c r="K67" s="40">
        <f t="shared" si="1"/>
        <v>0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1</v>
      </c>
      <c r="H68" s="40" t="str">
        <f t="shared" ref="H68:H107" si="30">IF(OR(F68="",G68=""),"",IF(F68&gt;G68,"1",IF(F68&lt;G68,"2","X")))</f>
        <v>X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2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1</v>
      </c>
      <c r="G69" s="13">
        <v>2</v>
      </c>
      <c r="H69" s="40" t="str">
        <f t="shared" si="30"/>
        <v>2</v>
      </c>
      <c r="I69" s="40">
        <f>IF(OR(F69="",G69="",'📊 Resultat &amp; Tabell'!K70="",'📊 Resultat &amp; Tabell'!L70=""),"",IF(F69='📊 Resultat &amp; Tabell'!K70,2,0)+IF(G69='📊 Resultat &amp; Tabell'!L70,2,0))</f>
        <v>0</v>
      </c>
      <c r="J69" s="40">
        <f>IF(OR(H69="",'📊 Resultat &amp; Tabell'!M70=""),"",IF(H69='📊 Resultat &amp; Tabell'!M70,2,0))</f>
        <v>0</v>
      </c>
      <c r="K69" s="40">
        <f t="shared" si="31"/>
        <v>0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2</v>
      </c>
      <c r="N69" s="59" cm="1">
        <f t="array" ref="N69">SUMPRODUCT(--($C$4:$C$75="J"),--(($D$4:$D$75=L69)+($E$4:$E$75=L69)&gt;0),--($F$4:$F$75=$G$4:$G$75),--($F$4:$F$75&lt;&gt;""),--($G$4:$G$75&lt;&gt;""))</f>
        <v>1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7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4</v>
      </c>
      <c r="R69" s="60">
        <f t="shared" ref="R69:R72" si="32">P69-Q69</f>
        <v>3</v>
      </c>
      <c r="S69" s="60">
        <f t="shared" ref="S69:S72" si="33">M69*3+N69</f>
        <v>7</v>
      </c>
      <c r="T69" s="71">
        <f t="shared" ref="T69:T72" si="34">S69*100000+R69*1000+P69</f>
        <v>703007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3</v>
      </c>
      <c r="G70" s="13">
        <v>2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2</v>
      </c>
      <c r="J70" s="40">
        <f>IF(OR(H70="",'📊 Resultat &amp; Tabell'!M71=""),"",IF(H70='📊 Resultat &amp; Tabell'!M71,2,0))</f>
        <v>2</v>
      </c>
      <c r="K70" s="40">
        <f t="shared" si="31"/>
        <v>4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2</v>
      </c>
      <c r="N70" s="59" cm="1">
        <f t="array" ref="N70">SUMPRODUCT(--($C$4:$C$75="J"),--(($D$4:$D$75=L70)+($E$4:$E$75=L70)&gt;0),--($F$4:$F$75=$G$4:$G$75),--($F$4:$F$75&lt;&gt;""),--($G$4:$G$75&lt;&gt;""))</f>
        <v>0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1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5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4</v>
      </c>
      <c r="R70" s="60">
        <f t="shared" si="32"/>
        <v>1</v>
      </c>
      <c r="S70" s="60">
        <f t="shared" si="33"/>
        <v>6</v>
      </c>
      <c r="T70" s="71">
        <f t="shared" si="34"/>
        <v>601005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2</v>
      </c>
      <c r="G71" s="13">
        <v>3</v>
      </c>
      <c r="H71" s="40" t="str">
        <f t="shared" si="30"/>
        <v>2</v>
      </c>
      <c r="I71" s="40">
        <f>IF(OR(F71="",G71="",'📊 Resultat &amp; Tabell'!K72="",'📊 Resultat &amp; Tabell'!L72=""),"",IF(F71='📊 Resultat &amp; Tabell'!K72,2,0)+IF(G71='📊 Resultat &amp; Tabell'!L72,2,0))</f>
        <v>0</v>
      </c>
      <c r="J71" s="40">
        <f>IF(OR(H71="",'📊 Resultat &amp; Tabell'!M72=""),"",IF(H71='📊 Resultat &amp; Tabell'!M72,2,0))</f>
        <v>0</v>
      </c>
      <c r="K71" s="40">
        <f t="shared" si="31"/>
        <v>0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0</v>
      </c>
      <c r="N71" s="59" cm="1">
        <f t="array" ref="N71">SUMPRODUCT(--($C$4:$C$75="J"),--(($D$4:$D$75=L71)+($E$4:$E$75=L71)&gt;0),--($F$4:$F$75=$G$4:$G$75),--($F$4:$F$75&lt;&gt;""),--($G$4:$G$75&lt;&gt;""))</f>
        <v>2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4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5</v>
      </c>
      <c r="R71" s="60">
        <f t="shared" si="32"/>
        <v>-1</v>
      </c>
      <c r="S71" s="60">
        <f t="shared" si="33"/>
        <v>2</v>
      </c>
      <c r="T71" s="71">
        <f t="shared" si="34"/>
        <v>199004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1</v>
      </c>
      <c r="G72" s="13">
        <v>1</v>
      </c>
      <c r="H72" s="40" t="str">
        <f t="shared" si="30"/>
        <v>X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0</v>
      </c>
      <c r="K72" s="40">
        <f t="shared" si="31"/>
        <v>2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3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6</v>
      </c>
      <c r="R72" s="60">
        <f t="shared" si="32"/>
        <v>-3</v>
      </c>
      <c r="S72" s="60">
        <f t="shared" si="33"/>
        <v>1</v>
      </c>
      <c r="T72" s="71">
        <f t="shared" si="34"/>
        <v>97003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1</v>
      </c>
      <c r="G73" s="13">
        <v>1</v>
      </c>
      <c r="H73" s="40" t="str">
        <f t="shared" si="30"/>
        <v>X</v>
      </c>
      <c r="I73" s="40">
        <f>IF(OR(F73="",G73="",'📊 Resultat &amp; Tabell'!K74="",'📊 Resultat &amp; Tabell'!L74=""),"",IF(F73='📊 Resultat &amp; Tabell'!K74,2,0)+IF(G73='📊 Resultat &amp; Tabell'!L74,2,0))</f>
        <v>0</v>
      </c>
      <c r="J73" s="40">
        <f>IF(OR(H73="",'📊 Resultat &amp; Tabell'!M74=""),"",IF(H73='📊 Resultat &amp; Tabell'!M74,2,0))</f>
        <v>2</v>
      </c>
      <c r="K73" s="40">
        <f t="shared" si="31"/>
        <v>2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1</v>
      </c>
      <c r="G74" s="13">
        <v>2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0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2</v>
      </c>
      <c r="J75" s="40">
        <f>IF(OR(H75="",'📊 Resultat &amp; Tabell'!M76=""),"",IF(H75='📊 Resultat &amp; Tabell'!M76,2,0))</f>
        <v>2</v>
      </c>
      <c r="K75" s="40">
        <f t="shared" si="31"/>
        <v>4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1</v>
      </c>
      <c r="G76" s="13">
        <v>2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0</v>
      </c>
      <c r="J76" s="40">
        <f>IF(OR(H76="",'📊 Resultat &amp; Tabell'!M77=""),"",IF(H76='📊 Resultat &amp; Tabell'!M77,2,0))</f>
        <v>2</v>
      </c>
      <c r="K76" s="40">
        <f t="shared" si="31"/>
        <v>2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0</v>
      </c>
      <c r="N76" s="59" cm="1">
        <f t="array" ref="N76">SUMPRODUCT(--($C$4:$C$75="K"),--(($D$4:$D$75=L76)+($E$4:$E$75=L76)&gt;0),--($F$4:$F$75=$G$4:$G$75),--($F$4:$F$75&lt;&gt;""),--($G$4:$G$75&lt;&gt;""))</f>
        <v>3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4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4</v>
      </c>
      <c r="R76" s="60">
        <f t="shared" ref="R76:R79" si="35">P76-Q76</f>
        <v>0</v>
      </c>
      <c r="S76" s="60">
        <f t="shared" ref="S76:S79" si="36">M76*3+N76</f>
        <v>3</v>
      </c>
      <c r="T76" s="71">
        <f t="shared" ref="T76:T79" si="37">S76*100000+R76*1000+P76</f>
        <v>300004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1</v>
      </c>
      <c r="H77" s="40" t="str">
        <f t="shared" si="30"/>
        <v>1</v>
      </c>
      <c r="I77" s="40">
        <f>IF(OR(F77="",G77="",'📊 Resultat &amp; Tabell'!K78="",'📊 Resultat &amp; Tabell'!L78=""),"",IF(F77='📊 Resultat &amp; Tabell'!K78,2,0)+IF(G77='📊 Resultat &amp; Tabell'!L78,2,0))</f>
        <v>4</v>
      </c>
      <c r="J77" s="40">
        <f>IF(OR(H77="",'📊 Resultat &amp; Tabell'!M78=""),"",IF(H77='📊 Resultat &amp; Tabell'!M78,2,0))</f>
        <v>2</v>
      </c>
      <c r="K77" s="40">
        <f t="shared" si="31"/>
        <v>6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2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1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3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4</v>
      </c>
      <c r="R77" s="60">
        <f t="shared" si="35"/>
        <v>-1</v>
      </c>
      <c r="S77" s="60">
        <f t="shared" si="36"/>
        <v>2</v>
      </c>
      <c r="T77" s="71">
        <f t="shared" si="37"/>
        <v>199003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2</v>
      </c>
      <c r="G78" s="13">
        <v>0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0</v>
      </c>
      <c r="J78" s="40">
        <f>IF(OR(H78="",'📊 Resultat &amp; Tabell'!M79=""),"",IF(H78='📊 Resultat &amp; Tabell'!M79,2,0))</f>
        <v>0</v>
      </c>
      <c r="K78" s="40">
        <f t="shared" si="31"/>
        <v>0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2</v>
      </c>
      <c r="N78" s="59" cm="1">
        <f t="array" ref="N78">SUMPRODUCT(--($C$4:$C$75="K"),--(($D$4:$D$75=L78)+($E$4:$E$75=L78)&gt;0),--($F$4:$F$75=$G$4:$G$75),--($F$4:$F$75&lt;&gt;""),--($G$4:$G$75&lt;&gt;""))</f>
        <v>1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0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7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5</v>
      </c>
      <c r="R78" s="60">
        <f t="shared" si="35"/>
        <v>2</v>
      </c>
      <c r="S78" s="60">
        <f t="shared" si="36"/>
        <v>7</v>
      </c>
      <c r="T78" s="71">
        <f t="shared" si="37"/>
        <v>702007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2</v>
      </c>
      <c r="G79" s="13">
        <v>1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0</v>
      </c>
      <c r="N79" s="59" cm="1">
        <f t="array" ref="N79">SUMPRODUCT(--($C$4:$C$75="K"),--(($D$4:$D$75=L79)+($E$4:$E$75=L79)&gt;0),--($F$4:$F$75=$G$4:$G$75),--($F$4:$F$75&lt;&gt;""),--($G$4:$G$75&lt;&gt;""))</f>
        <v>2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1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4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5</v>
      </c>
      <c r="R79" s="60">
        <f t="shared" si="35"/>
        <v>-1</v>
      </c>
      <c r="S79" s="60">
        <f t="shared" si="36"/>
        <v>2</v>
      </c>
      <c r="T79" s="71">
        <f t="shared" si="37"/>
        <v>199004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1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4</v>
      </c>
      <c r="J80" s="40">
        <f>IF(OR(H80="",'📊 Resultat &amp; Tabell'!M81=""),"",IF(H80='📊 Resultat &amp; Tabell'!M81,2,0))</f>
        <v>2</v>
      </c>
      <c r="K80" s="40">
        <f t="shared" si="31"/>
        <v>6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3</v>
      </c>
      <c r="G81" s="13">
        <v>1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2</v>
      </c>
      <c r="J81" s="40">
        <f>IF(OR(H81="",'📊 Resultat &amp; Tabell'!M82=""),"",IF(H81='📊 Resultat &amp; Tabell'!M82,2,0))</f>
        <v>2</v>
      </c>
      <c r="K81" s="40">
        <f t="shared" si="31"/>
        <v>4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2</v>
      </c>
      <c r="G82" s="13">
        <v>1</v>
      </c>
      <c r="H82" s="40" t="str">
        <f t="shared" si="30"/>
        <v>1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2</v>
      </c>
      <c r="K82" s="40">
        <f t="shared" si="31"/>
        <v>4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3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2</v>
      </c>
      <c r="N83" s="59" cm="1">
        <f t="array" ref="N83">SUMPRODUCT(--($C$4:$C$75="L"),--(($D$4:$D$75=L83)+($E$4:$E$75=L83)&gt;0),--($F$4:$F$75=$G$4:$G$75),--($F$4:$F$75&lt;&gt;""),--($G$4:$G$75&lt;&gt;""))</f>
        <v>1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6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4</v>
      </c>
      <c r="R83" s="60">
        <f t="shared" ref="R83:R86" si="38">P83-Q83</f>
        <v>2</v>
      </c>
      <c r="S83" s="60">
        <f t="shared" ref="S83:S86" si="39">M83*3+N83</f>
        <v>7</v>
      </c>
      <c r="T83" s="71">
        <f t="shared" ref="T83:T86" si="40">S83*100000+R83*1000+P83</f>
        <v>702006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2</v>
      </c>
      <c r="G84" s="13">
        <v>1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2</v>
      </c>
      <c r="J84" s="40">
        <f>IF(OR(H84="",'📊 Resultat &amp; Tabell'!M85=""),"",IF(H84='📊 Resultat &amp; Tabell'!M85,2,0))</f>
        <v>0</v>
      </c>
      <c r="K84" s="40">
        <f t="shared" si="31"/>
        <v>2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1</v>
      </c>
      <c r="N84" s="59" cm="1">
        <f t="array" ref="N84">SUMPRODUCT(--($C$4:$C$75="L"),--(($D$4:$D$75=L84)+($E$4:$E$75=L84)&gt;0),--($F$4:$F$75=$G$4:$G$75),--($F$4:$F$75&lt;&gt;""),--($G$4:$G$75&lt;&gt;""))</f>
        <v>1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5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4</v>
      </c>
      <c r="R84" s="60">
        <f t="shared" si="38"/>
        <v>1</v>
      </c>
      <c r="S84" s="60">
        <f t="shared" si="39"/>
        <v>4</v>
      </c>
      <c r="T84" s="71">
        <f t="shared" si="40"/>
        <v>401005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0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4</v>
      </c>
      <c r="J85" s="40">
        <f>IF(OR(H85="",'📊 Resultat &amp; Tabell'!M86=""),"",IF(H85='📊 Resultat &amp; Tabell'!M86,2,0))</f>
        <v>2</v>
      </c>
      <c r="K85" s="40">
        <f t="shared" si="31"/>
        <v>6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0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2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3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6</v>
      </c>
      <c r="R85" s="60">
        <f t="shared" si="38"/>
        <v>-3</v>
      </c>
      <c r="S85" s="60">
        <f t="shared" si="39"/>
        <v>1</v>
      </c>
      <c r="T85" s="71">
        <f t="shared" si="40"/>
        <v>97003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2</v>
      </c>
      <c r="G86" s="13">
        <v>1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0</v>
      </c>
      <c r="J86" s="40">
        <f>IF(OR(H86="",'📊 Resultat &amp; Tabell'!M87=""),"",IF(H86='📊 Resultat &amp; Tabell'!M87,2,0))</f>
        <v>2</v>
      </c>
      <c r="K86" s="40">
        <f t="shared" si="31"/>
        <v>2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1</v>
      </c>
      <c r="N86" s="59" cm="1">
        <f t="array" ref="N86">SUMPRODUCT(--($C$4:$C$75="L"),--(($D$4:$D$75=L86)+($E$4:$E$75=L86)&gt;0),--($F$4:$F$75=$G$4:$G$75),--($F$4:$F$75&lt;&gt;""),--($G$4:$G$75&lt;&gt;""))</f>
        <v>1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1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5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5</v>
      </c>
      <c r="R86" s="60">
        <f t="shared" si="38"/>
        <v>0</v>
      </c>
      <c r="S86" s="60">
        <f t="shared" si="39"/>
        <v>4</v>
      </c>
      <c r="T86" s="71">
        <f t="shared" si="40"/>
        <v>400005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2</v>
      </c>
      <c r="G87" s="13">
        <v>1</v>
      </c>
      <c r="H87" s="40" t="str">
        <f t="shared" si="30"/>
        <v>1</v>
      </c>
      <c r="I87" s="40">
        <f>IF(OR(F87="",G87="",'📊 Resultat &amp; Tabell'!K88="",'📊 Resultat &amp; Tabell'!L88=""),"",IF(F87='📊 Resultat &amp; Tabell'!K88,2,0)+IF(G87='📊 Resultat &amp; Tabell'!L88,2,0))</f>
        <v>4</v>
      </c>
      <c r="J87" s="40">
        <f>IF(OR(H87="",'📊 Resultat &amp; Tabell'!M88=""),"",IF(H87='📊 Resultat &amp; Tabell'!M88,2,0))</f>
        <v>2</v>
      </c>
      <c r="K87" s="40">
        <f t="shared" si="31"/>
        <v>6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2</v>
      </c>
      <c r="G88" s="13">
        <v>0</v>
      </c>
      <c r="H88" s="40" t="str">
        <f t="shared" si="30"/>
        <v>1</v>
      </c>
      <c r="I88" s="40">
        <f>IF(OR(F88="",G88="",'📊 Resultat &amp; Tabell'!K89="",'📊 Resultat &amp; Tabell'!L89=""),"",IF(F88='📊 Resultat &amp; Tabell'!K89,2,0)+IF(G88='📊 Resultat &amp; Tabell'!L89,2,0))</f>
        <v>4</v>
      </c>
      <c r="J88" s="40">
        <f>IF(OR(H88="",'📊 Resultat &amp; Tabell'!M89=""),"",IF(H88='📊 Resultat &amp; Tabell'!M89,2,0))</f>
        <v>2</v>
      </c>
      <c r="K88" s="40">
        <f t="shared" si="31"/>
        <v>6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1</v>
      </c>
      <c r="G89" s="13">
        <v>1</v>
      </c>
      <c r="H89" s="40" t="str">
        <f t="shared" si="30"/>
        <v>X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3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1</v>
      </c>
      <c r="H91" s="40" t="str">
        <f t="shared" si="30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76" t="str">
        <f>IF(OR(F92="",G92=""),"",IF(F92&gt;G92,D92,IF(F92&lt;G92,E92,"")))</f>
        <v/>
      </c>
      <c r="E100" s="76" t="str">
        <f>IF(OR(F93="",G93=""),"",IF(F93&gt;G93,D93,IF(F93&lt;G93,E93,"")))</f>
        <v/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5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76" t="str">
        <f>IF(OR(F94="",G94=""),"",IF(F94&gt;G94,D94,IF(F94&lt;G94,E94,"")))</f>
        <v/>
      </c>
      <c r="E102" s="76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76" t="str">
        <f>IF(OR(F100="",G100=""),"",IF(F100&gt;G100,D100,IF(F100&lt;G100,E100,"")))</f>
        <v/>
      </c>
      <c r="E104" s="76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180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181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307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180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5FDA7CBA-2B31-4D0B-9004-A341D4113B44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BC8EC2EB-2D40-4D10-BE85-DB2A8EC2CC82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FD56EC68-D081-4911-9333-1B396B20BDF2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5EE491A0-2441-4E49-88E1-1750FD39F02A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F9F0BC0D-7F79-45C9-B44D-349FBAB53B74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AB232AAE-F6BA-4FF0-8B72-A03E97B52D70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D4A76C44-9447-4D4A-9663-A2D99F58C9CD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920CE425-380F-406C-B7E1-419B110438E3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CF399A42-846C-49C2-838F-CD13F2BAD1F6}"/>
  </hyperlinks>
  <pageMargins left="0.7" right="0.7" top="0.75" bottom="0.75" header="0.3" footer="0.3"/>
  <tableParts count="1">
    <tablePart r:id="rId9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CAB3-24C4-4800-9A99-119222DE3DAF}">
  <sheetPr>
    <pageSetUpPr fitToPage="1"/>
  </sheetPr>
  <dimension ref="A1:AN116"/>
  <sheetViews>
    <sheetView showGridLines="0" topLeftCell="A62" workbookViewId="0">
      <selection activeCell="D99" sqref="D99:E99"/>
    </sheetView>
  </sheetViews>
  <sheetFormatPr defaultColWidth="9.140625" defaultRowHeight="15"/>
  <cols>
    <col min="1" max="1" width="16" style="82" bestFit="1" customWidth="1"/>
    <col min="2" max="2" width="17" style="82" customWidth="1"/>
    <col min="3" max="3" width="8" style="82" customWidth="1"/>
    <col min="4" max="4" width="20" style="82" customWidth="1"/>
    <col min="5" max="5" width="21.7109375" style="82" bestFit="1" customWidth="1"/>
    <col min="6" max="6" width="14.42578125" style="82" customWidth="1"/>
    <col min="7" max="7" width="15.42578125" style="82" customWidth="1"/>
    <col min="8" max="8" width="9" style="82" customWidth="1"/>
    <col min="9" max="9" width="19.42578125" style="82" customWidth="1"/>
    <col min="10" max="10" width="18.5703125" style="82" customWidth="1"/>
    <col min="11" max="11" width="20.85546875" style="82" customWidth="1"/>
    <col min="12" max="12" width="22.28515625" style="82" bestFit="1" customWidth="1"/>
    <col min="13" max="13" width="9.140625" style="82"/>
    <col min="14" max="14" width="20" style="82" customWidth="1"/>
    <col min="15" max="19" width="8" style="82" customWidth="1"/>
    <col min="20" max="20" width="12.7109375" style="82" customWidth="1"/>
    <col min="21" max="21" width="8" style="82" customWidth="1"/>
    <col min="22" max="23" width="13" style="82" bestFit="1" customWidth="1"/>
    <col min="24" max="24" width="16.42578125" style="82" customWidth="1"/>
    <col min="25" max="25" width="9.140625" style="82"/>
    <col min="26" max="26" width="30" style="82" customWidth="1"/>
    <col min="27" max="27" width="13" style="82" bestFit="1" customWidth="1"/>
    <col min="28" max="29" width="11.42578125" style="82" bestFit="1" customWidth="1"/>
    <col min="30" max="16384" width="9.140625" style="82"/>
  </cols>
  <sheetData>
    <row r="1" spans="1:40" ht="27.95" customHeight="1">
      <c r="A1" s="174" t="s">
        <v>267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4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52" t="s">
        <v>268</v>
      </c>
      <c r="X2" s="52" t="s">
        <v>269</v>
      </c>
      <c r="Y2" s="52" t="s">
        <v>269</v>
      </c>
      <c r="Z2" s="52" t="s">
        <v>269</v>
      </c>
      <c r="AA2" s="52" t="s">
        <v>269</v>
      </c>
      <c r="AB2" s="52" t="s">
        <v>269</v>
      </c>
      <c r="AC2" s="52" t="s">
        <v>269</v>
      </c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40" ht="21.95" customHeight="1">
      <c r="A3" s="31" t="s">
        <v>24</v>
      </c>
      <c r="B3" s="31" t="s">
        <v>39</v>
      </c>
      <c r="C3" s="31" t="s">
        <v>40</v>
      </c>
      <c r="D3" s="31" t="s">
        <v>41</v>
      </c>
      <c r="E3" s="31" t="s">
        <v>42</v>
      </c>
      <c r="F3" s="31" t="s">
        <v>270</v>
      </c>
      <c r="G3" s="31" t="s">
        <v>271</v>
      </c>
      <c r="H3" s="31" t="s">
        <v>45</v>
      </c>
      <c r="I3" s="32" t="s">
        <v>272</v>
      </c>
      <c r="J3" s="32" t="s">
        <v>273</v>
      </c>
      <c r="K3" s="32" t="s">
        <v>274</v>
      </c>
      <c r="L3" s="63" t="s">
        <v>275</v>
      </c>
      <c r="M3" s="51" t="s">
        <v>269</v>
      </c>
      <c r="N3" s="51" t="s">
        <v>276</v>
      </c>
      <c r="O3" s="51" t="s">
        <v>277</v>
      </c>
      <c r="P3" s="51" t="s">
        <v>278</v>
      </c>
      <c r="Q3" s="51" t="s">
        <v>279</v>
      </c>
      <c r="R3" s="52" t="s">
        <v>280</v>
      </c>
      <c r="S3" s="52" t="s">
        <v>281</v>
      </c>
      <c r="T3" s="68" t="s">
        <v>282</v>
      </c>
      <c r="U3" s="1"/>
      <c r="V3" s="1"/>
      <c r="W3" s="73" t="s">
        <v>40</v>
      </c>
      <c r="X3" s="73" t="s">
        <v>283</v>
      </c>
      <c r="Y3" s="73" t="s">
        <v>284</v>
      </c>
      <c r="Z3" s="73" t="s">
        <v>285</v>
      </c>
      <c r="AA3" s="73" t="s">
        <v>286</v>
      </c>
      <c r="AB3" s="73" t="s">
        <v>287</v>
      </c>
      <c r="AC3" s="73" t="s">
        <v>288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>
      <c r="A4" s="15">
        <v>1</v>
      </c>
      <c r="B4" s="38" t="s">
        <v>50</v>
      </c>
      <c r="C4" s="38" t="s">
        <v>51</v>
      </c>
      <c r="D4" s="38" t="s">
        <v>48</v>
      </c>
      <c r="E4" s="38" t="s">
        <v>52</v>
      </c>
      <c r="F4" s="13">
        <v>2</v>
      </c>
      <c r="G4" s="13">
        <v>0</v>
      </c>
      <c r="H4" s="40" t="str">
        <f t="shared" ref="H4:H67" si="0">IF(OR(F4="",G4=""),"",IF(F4&gt;G4,"1",IF(F4&lt;G4,"2","X")))</f>
        <v>1</v>
      </c>
      <c r="I4" s="40">
        <f>IF(OR(F4="",G4="",'📊 Resultat &amp; Tabell'!K5="",'📊 Resultat &amp; Tabell'!L5=""),"",IF(F4='📊 Resultat &amp; Tabell'!K5,2,0)+IF(G4='📊 Resultat &amp; Tabell'!L5,2,0))</f>
        <v>4</v>
      </c>
      <c r="J4" s="40">
        <f>IF(OR(H4="",'📊 Resultat &amp; Tabell'!M5=""),"",IF(H4='📊 Resultat &amp; Tabell'!M5,2,0))</f>
        <v>2</v>
      </c>
      <c r="K4" s="40">
        <f t="shared" ref="K4:K67" si="1">IF(AND(I4="",J4=""),"",N(I4)+N(J4))</f>
        <v>6</v>
      </c>
      <c r="L4" s="64" t="s">
        <v>37</v>
      </c>
      <c r="M4" s="53" t="s">
        <v>269</v>
      </c>
      <c r="N4" s="53" t="s">
        <v>269</v>
      </c>
      <c r="O4" s="53" t="s">
        <v>269</v>
      </c>
      <c r="P4" s="53" t="s">
        <v>269</v>
      </c>
      <c r="Q4" s="53" t="s">
        <v>269</v>
      </c>
      <c r="R4" s="54" t="s">
        <v>269</v>
      </c>
      <c r="S4" s="54" t="s">
        <v>269</v>
      </c>
      <c r="T4" s="69" t="s">
        <v>269</v>
      </c>
      <c r="U4" s="1"/>
      <c r="V4" s="1"/>
      <c r="W4" s="72" t="s">
        <v>51</v>
      </c>
      <c r="X4" s="72" t="str" cm="1">
        <f t="array" ref="X4">IF(COUNTIFS($C$4:$C$75,"A",$F$4:$F$75,"&lt;&gt;",$G$4:$G$75,"&lt;&gt;")=0,"",IFERROR(INDEX($L$6:$L$9,MATCH(LARGE($T$6:$T$9+ROW($T$6:$T$9)/100000,1),$T$6:$T$9+ROW($T$6:$T$9)/100000,0)),""))</f>
        <v>Mexico</v>
      </c>
      <c r="Y4" s="72" t="str" cm="1">
        <f t="array" ref="Y4">IF(COUNTIFS($C$4:$C$75,"A",$F$4:$F$75,"&lt;&gt;",$G$4:$G$75,"&lt;&gt;")=0,"",IFERROR(INDEX($L$6:$L$9,MATCH(LARGE($T$6:$T$9+ROW($T$6:$T$9)/100000,2),$T$6:$T$9+ROW($T$6:$T$9)/100000,0)),""))</f>
        <v>Tjeckien</v>
      </c>
      <c r="Z4" s="72" t="str" cm="1">
        <f t="array" ref="Z4">IF(COUNTIFS($C$4:$C$75,"A",$F$4:$F$75,"&lt;&gt;",$G$4:$G$75,"&lt;&gt;")=0,"",IFERROR(INDEX($L$6:$L$9,MATCH(LARGE($T$6:$T$9+ROW($T$6:$T$9)/100000,3),$T$6:$T$9+ROW($T$6:$T$9)/100000,0)),""))</f>
        <v>Sydkorea</v>
      </c>
      <c r="AA4" s="72">
        <f>IF(COUNTIFS($C$4:$C$75,"A",$F$4:$F$75,"&lt;&gt;",$G$4:$G$75,"&lt;&gt;")=0,"",IFERROR(LARGE($T$6:$T$9,3),""))</f>
        <v>300005</v>
      </c>
      <c r="AB4" s="72">
        <f>IF(AA4="","",_xlfn.RANK.EQ(AA4,$AA$4:$AA$15,0))</f>
        <v>4</v>
      </c>
      <c r="AC4" s="72" t="s">
        <v>269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6.5" customHeight="1">
      <c r="A5" s="12">
        <v>2</v>
      </c>
      <c r="B5" s="39" t="s">
        <v>50</v>
      </c>
      <c r="C5" s="39" t="s">
        <v>51</v>
      </c>
      <c r="D5" s="39" t="s">
        <v>63</v>
      </c>
      <c r="E5" s="39" t="s">
        <v>64</v>
      </c>
      <c r="F5" s="13">
        <v>1</v>
      </c>
      <c r="G5" s="13">
        <v>2</v>
      </c>
      <c r="H5" s="40" t="str">
        <f t="shared" si="0"/>
        <v>2</v>
      </c>
      <c r="I5" s="40">
        <f>IF(OR(F5="",G5="",'📊 Resultat &amp; Tabell'!K6="",'📊 Resultat &amp; Tabell'!L6=""),"",IF(F5='📊 Resultat &amp; Tabell'!K6,2,0)+IF(G5='📊 Resultat &amp; Tabell'!L6,2,0))</f>
        <v>0</v>
      </c>
      <c r="J5" s="40">
        <f>IF(OR(H5="",'📊 Resultat &amp; Tabell'!M6=""),"",IF(H5='📊 Resultat &amp; Tabell'!M6,2,0))</f>
        <v>0</v>
      </c>
      <c r="K5" s="40">
        <f t="shared" si="1"/>
        <v>0</v>
      </c>
      <c r="L5" s="65" t="s">
        <v>53</v>
      </c>
      <c r="M5" s="55" t="s">
        <v>54</v>
      </c>
      <c r="N5" s="55" t="s">
        <v>55</v>
      </c>
      <c r="O5" s="55" t="s">
        <v>56</v>
      </c>
      <c r="P5" s="55" t="s">
        <v>57</v>
      </c>
      <c r="Q5" s="55" t="s">
        <v>58</v>
      </c>
      <c r="R5" s="56" t="s">
        <v>59</v>
      </c>
      <c r="S5" s="57" t="s">
        <v>60</v>
      </c>
      <c r="T5" s="70" t="s">
        <v>289</v>
      </c>
      <c r="U5" s="1"/>
      <c r="V5" s="1"/>
      <c r="W5" s="72" t="s">
        <v>75</v>
      </c>
      <c r="X5" s="72" t="str" cm="1">
        <f t="array" ref="X5">IF(COUNTIFS($C$4:$C$75,"B",$F$4:$F$75,"&lt;&gt;",$G$4:$G$75,"&lt;&gt;")=0,"",IFERROR(INDEX($L$13:$L$16,MATCH(LARGE($T$13:$T$16+ROW($T$13:$T$16)/100000,1),$T$13:$T$16+ROW($T$13:$T$16)/100000,0)),""))</f>
        <v>Schweiz</v>
      </c>
      <c r="Y5" s="72" t="str" cm="1">
        <f t="array" ref="Y5">IF(COUNTIFS($C$4:$C$75,"B",$F$4:$F$75,"&lt;&gt;",$G$4:$G$75,"&lt;&gt;")=0,"",IFERROR(INDEX($L$13:$L$16,MATCH(LARGE($T$13:$T$16+ROW($T$13:$T$16)/100000,2),$T$13:$T$16+ROW($T$13:$T$16)/100000,0)),""))</f>
        <v>Kanada</v>
      </c>
      <c r="Z5" s="72" t="str" cm="1">
        <f t="array" ref="Z5">IF(COUNTIFS($C$4:$C$75,"B",$F$4:$F$75,"&lt;&gt;",$G$4:$G$75,"&lt;&gt;")=0,"",IFERROR(INDEX($L$13:$L$16,MATCH(LARGE($T$13:$T$16+ROW($T$13:$T$16)/100000,3),$T$13:$T$16+ROW($T$13:$T$16)/100000,0)),""))</f>
        <v>Bosnien och Hercegovina</v>
      </c>
      <c r="AA5" s="72" cm="1">
        <f t="array" ref="AA5">IF(COUNTIFS($C$4:$C$75,"B",$F$4:$F$75,"&lt;&gt;",$G$4:$G$75,"&lt;&gt;")=0,"",LARGE($T$13:$T$16+ROW($T$13:$T$16)/100000,3))</f>
        <v>298002.00014000002</v>
      </c>
      <c r="AB5" s="72">
        <f t="shared" ref="AB5:AB15" si="2">IF(AA5="","",_xlfn.RANK.EQ(AA5,$AA$4:$AA$15,0))</f>
        <v>8</v>
      </c>
      <c r="AC5" s="72" t="s">
        <v>269</v>
      </c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:40">
      <c r="A6" s="15">
        <v>3</v>
      </c>
      <c r="B6" s="38" t="s">
        <v>50</v>
      </c>
      <c r="C6" s="38" t="s">
        <v>51</v>
      </c>
      <c r="D6" s="38" t="s">
        <v>64</v>
      </c>
      <c r="E6" s="38" t="s">
        <v>52</v>
      </c>
      <c r="F6" s="13">
        <v>1</v>
      </c>
      <c r="G6" s="13">
        <v>1</v>
      </c>
      <c r="H6" s="40" t="str">
        <f t="shared" si="0"/>
        <v>X</v>
      </c>
      <c r="I6" s="40">
        <f>IF(OR(F6="",G6="",'📊 Resultat &amp; Tabell'!K7="",'📊 Resultat &amp; Tabell'!L7=""),"",IF(F6='📊 Resultat &amp; Tabell'!K7,2,0)+IF(G6='📊 Resultat &amp; Tabell'!L7,2,0))</f>
        <v>4</v>
      </c>
      <c r="J6" s="40">
        <f>IF(OR(H6="",'📊 Resultat &amp; Tabell'!M7=""),"",IF(H6='📊 Resultat &amp; Tabell'!M7,2,0))</f>
        <v>2</v>
      </c>
      <c r="K6" s="40">
        <f t="shared" si="1"/>
        <v>6</v>
      </c>
      <c r="L6" s="66" t="s">
        <v>48</v>
      </c>
      <c r="M6" s="59" cm="1">
        <f t="array" ref="M6">SUMPRODUCT(--($C$4:$C$75="A"),--($D$4:$D$75=L6),--($F$4:$F$75&gt;$G$4:$G$75),--($F$4:$F$75&lt;&gt;""),--($G$4:$G$75&lt;&gt;""))+SUMPRODUCT(--($C$4:$C$75="A"),--($E$4:$E$75=L6),--($G$4:$G$75&gt;$F$4:$F$75),--($F$4:$F$75&lt;&gt;""),--($G$4:$G$75&lt;&gt;""))</f>
        <v>2</v>
      </c>
      <c r="N6" s="59" cm="1">
        <f t="array" ref="N6">SUMPRODUCT(--($C$4:$C$75="A"),--(($D$4:$D$75=L6)+($E$4:$E$75=L6)&gt;0),--($F$4:$F$75=$G$4:$G$75),--($F$4:$F$75&lt;&gt;""),--($G$4:$G$75&lt;&gt;""))</f>
        <v>1</v>
      </c>
      <c r="O6" s="59" cm="1">
        <f t="array" ref="O6">SUMPRODUCT(--($C$4:$C$75="A"),--($D$4:$D$75=L6),--($F$4:$F$75&lt;$G$4:$G$75),--($F$4:$F$75&lt;&gt;""),--($G$4:$G$75&lt;&gt;""))+SUMPRODUCT(--($C$4:$C$75="A"),--($E$4:$E$75=L6),--($G$4:$G$75&lt;$F$4:$F$75),--($F$4:$F$75&lt;&gt;""),--($G$4:$G$75&lt;&gt;""))</f>
        <v>0</v>
      </c>
      <c r="P6" s="59" cm="1">
        <f t="array" ref="P6">SUMPRODUCT(--($C$4:$C$75="A"),--($D$4:$D$75=L6),$F$4:$F$75,--($F$4:$F$75&lt;&gt;""),--($G$4:$G$75&lt;&gt;""))+SUMPRODUCT(--($C$4:$C$75="A"),--($E$4:$E$75=L6),$G$4:$G$75,--($F$4:$F$75&lt;&gt;""),--($G$4:$G$75&lt;&gt;""))</f>
        <v>5</v>
      </c>
      <c r="Q6" s="59" cm="1">
        <f t="array" ref="Q6">SUMPRODUCT(--($C$4:$C$75="A"),--($D$4:$D$75=L6),$G$4:$G$75,--($F$4:$F$75&lt;&gt;""),--($G$4:$G$75&lt;&gt;""))+SUMPRODUCT(--($C$4:$C$75="A"),--($E$4:$E$75=L6),$F$4:$F$75,--($F$4:$F$75&lt;&gt;""),--($G$4:$G$75&lt;&gt;""))</f>
        <v>2</v>
      </c>
      <c r="R6" s="60">
        <f>P6-Q6</f>
        <v>3</v>
      </c>
      <c r="S6" s="60">
        <f>M6*3+N6</f>
        <v>7</v>
      </c>
      <c r="T6" s="71">
        <f>S6*100000+R6*1000+P6</f>
        <v>703005</v>
      </c>
      <c r="U6" s="1"/>
      <c r="V6" s="1"/>
      <c r="W6" s="72" t="s">
        <v>92</v>
      </c>
      <c r="X6" s="72" t="str" cm="1">
        <f t="array" ref="X6">IF(COUNTIFS($C$4:$C$75,"C",$F$4:$F$75,"&lt;&gt;",$G$4:$G$75,"&lt;&gt;")=0,"",IFERROR(INDEX($L$20:$L$23,MATCH(LARGE($T$20:$T$23+ROW($T$20:$T$23)/100000,1),$T$20:$T$23+ROW($T$20:$T$23)/100000,0)),""))</f>
        <v>Brasilien</v>
      </c>
      <c r="Y6" s="72" t="str" cm="1">
        <f t="array" ref="Y6">IF(COUNTIFS($C$4:$C$75,"C",$F$4:$F$75,"&lt;&gt;",$G$4:$G$75,"&lt;&gt;")=0,"",IFERROR(INDEX($L$20:$L$23,MATCH(LARGE($T$20:$T$23+ROW($T$20:$T$23)/100000,2),$T$20:$T$23+ROW($T$20:$T$23)/100000,0)),""))</f>
        <v>Skottland</v>
      </c>
      <c r="Z6" s="72" t="str" cm="1">
        <f t="array" ref="Z6">IF(COUNTIFS($C$4:$C$75,"C",$F$4:$F$75,"&lt;&gt;",$G$4:$G$75,"&lt;&gt;")=0,"",IFERROR(INDEX($L$20:$L$23,MATCH(LARGE($T$20:$T$23+ROW($T$20:$T$23)/100000,3),$T$20:$T$23+ROW($T$20:$T$23)/100000,0)),""))</f>
        <v>Marocko</v>
      </c>
      <c r="AA6" s="72" cm="1">
        <f t="array" ref="AA6">IF(COUNTIFS($C$4:$C$75,"C",$F$4:$F$75,"&lt;&gt;",$G$4:$G$75,"&lt;&gt;")=0,"",LARGE($T$20:$T$23+ROW($T$20:$T$23)/100000,3))</f>
        <v>299003.00021000003</v>
      </c>
      <c r="AB6" s="72">
        <f t="shared" si="2"/>
        <v>7</v>
      </c>
      <c r="AC6" s="72" t="s">
        <v>269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:40">
      <c r="A7" s="12">
        <v>4</v>
      </c>
      <c r="B7" s="39" t="s">
        <v>50</v>
      </c>
      <c r="C7" s="39" t="s">
        <v>51</v>
      </c>
      <c r="D7" s="39" t="s">
        <v>48</v>
      </c>
      <c r="E7" s="39" t="s">
        <v>63</v>
      </c>
      <c r="F7" s="13">
        <v>2</v>
      </c>
      <c r="G7" s="13">
        <v>1</v>
      </c>
      <c r="H7" s="40" t="str">
        <f t="shared" si="0"/>
        <v>1</v>
      </c>
      <c r="I7" s="40">
        <f>IF(OR(F7="",G7="",'📊 Resultat &amp; Tabell'!K8="",'📊 Resultat &amp; Tabell'!L8=""),"",IF(F7='📊 Resultat &amp; Tabell'!K8,2,0)+IF(G7='📊 Resultat &amp; Tabell'!L8,2,0))</f>
        <v>0</v>
      </c>
      <c r="J7" s="40">
        <f>IF(OR(H7="",'📊 Resultat &amp; Tabell'!M8=""),"",IF(H7='📊 Resultat &amp; Tabell'!M8,2,0))</f>
        <v>2</v>
      </c>
      <c r="K7" s="40">
        <f t="shared" si="1"/>
        <v>2</v>
      </c>
      <c r="L7" s="66" t="s">
        <v>52</v>
      </c>
      <c r="M7" s="59" cm="1">
        <f t="array" ref="M7">SUMPRODUCT(--($C$4:$C$75="A"),--($D$4:$D$75=L7),--($F$4:$F$75&gt;$G$4:$G$75),--($F$4:$F$75&lt;&gt;""),--($G$4:$G$75&lt;&gt;""))+SUMPRODUCT(--($C$4:$C$75="A"),--($E$4:$E$75=L7),--($G$4:$G$75&gt;$F$4:$F$75),--($F$4:$F$75&lt;&gt;""),--($G$4:$G$75&lt;&gt;""))</f>
        <v>0</v>
      </c>
      <c r="N7" s="59" cm="1">
        <f t="array" ref="N7">SUMPRODUCT(--($C$4:$C$75="A"),--(($D$4:$D$75=L7)+($E$4:$E$75=L7)&gt;0),--($F$4:$F$75=$G$4:$G$75),--($F$4:$F$75&lt;&gt;""),--($G$4:$G$75&lt;&gt;""))</f>
        <v>1</v>
      </c>
      <c r="O7" s="59" cm="1">
        <f t="array" ref="O7">SUMPRODUCT(--($C$4:$C$75="A"),--($D$4:$D$75=L7),--($F$4:$F$75&lt;$G$4:$G$75),--($F$4:$F$75&lt;&gt;""),--($G$4:$G$75&lt;&gt;""))+SUMPRODUCT(--($C$4:$C$75="A"),--($E$4:$E$75=L7),--($G$4:$G$75&lt;$F$4:$F$75),--($F$4:$F$75&lt;&gt;""),--($G$4:$G$75&lt;&gt;""))</f>
        <v>2</v>
      </c>
      <c r="P7" s="59" cm="1">
        <f t="array" ref="P7">SUMPRODUCT(--($C$4:$C$75="A"),--($D$4:$D$75=L7),$F$4:$F$75,--($F$4:$F$75&lt;&gt;""),--($G$4:$G$75&lt;&gt;""))+SUMPRODUCT(--($C$4:$C$75="A"),--($E$4:$E$75=L7),$G$4:$G$75,--($F$4:$F$75&lt;&gt;""),--($G$4:$G$75&lt;&gt;""))</f>
        <v>2</v>
      </c>
      <c r="Q7" s="59" cm="1">
        <f t="array" ref="Q7">SUMPRODUCT(--($C$4:$C$75="A"),--($D$4:$D$75=L7),$G$4:$G$75,--($F$4:$F$75&lt;&gt;""),--($G$4:$G$75&lt;&gt;""))+SUMPRODUCT(--($C$4:$C$75="A"),--($E$4:$E$75=L7),$F$4:$F$75,--($F$4:$F$75&lt;&gt;""),--($G$4:$G$75&lt;&gt;""))</f>
        <v>6</v>
      </c>
      <c r="R7" s="60">
        <f t="shared" ref="R7:R9" si="3">P7-Q7</f>
        <v>-4</v>
      </c>
      <c r="S7" s="60">
        <f t="shared" ref="S7:S9" si="4">M7*3+N7</f>
        <v>1</v>
      </c>
      <c r="T7" s="71">
        <f t="shared" ref="T7:T9" si="5">S7*100000+R7*1000+P7</f>
        <v>96002</v>
      </c>
      <c r="U7" s="1"/>
      <c r="V7" s="1"/>
      <c r="W7" s="72" t="s">
        <v>107</v>
      </c>
      <c r="X7" s="72" t="str" cm="1">
        <f t="array" ref="X7">IF(COUNTIFS($C$4:$C$75,"D",$F$4:$F$75,"&lt;&gt;",$G$4:$G$75,"&lt;&gt;")=0,"",IFERROR(INDEX($L$27:$L$30,MATCH(LARGE($T$27:$T$30+ROW($T$27:$T$30)/100000,1),$T$27:$T$30+ROW($T$27:$T$30)/100000,0)),""))</f>
        <v>USA</v>
      </c>
      <c r="Y7" s="72" t="str" cm="1">
        <f t="array" ref="Y7">IF(COUNTIFS($C$4:$C$75,"D",$F$4:$F$75,"&lt;&gt;",$G$4:$G$75,"&lt;&gt;")=0,"",IFERROR(INDEX($L$27:$L$30,MATCH(LARGE($T$27:$T$30+ROW($T$27:$T$30)/100000,2),$T$27:$T$30+ROW($T$27:$T$30)/100000,0)),""))</f>
        <v>Australien</v>
      </c>
      <c r="Z7" s="72" t="str" cm="1">
        <f t="array" ref="Z7">IF(COUNTIFS($C$4:$C$75,"D",$F$4:$F$75,"&lt;&gt;",$G$4:$G$75,"&lt;&gt;")=0,"",IFERROR(INDEX($L$27:$L$30,MATCH(LARGE($T$27:$T$30+ROW($T$27:$T$30)/100000,3),$T$27:$T$30+ROW($T$27:$T$30)/100000,0)),""))</f>
        <v>Turkiet</v>
      </c>
      <c r="AA7" s="72" cm="1">
        <f t="array" ref="AA7">IF(COUNTIFS($C$4:$C$75,"D",$F$4:$F$75,"&lt;&gt;",$G$4:$G$75,"&lt;&gt;")=0,"",LARGE($T$27:$T$30+ROW($T$27:$T$30)/100000,3))</f>
        <v>300003.00030000001</v>
      </c>
      <c r="AB7" s="72">
        <f t="shared" si="2"/>
        <v>5</v>
      </c>
      <c r="AC7" s="72" t="s">
        <v>269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:40">
      <c r="A8" s="15">
        <v>5</v>
      </c>
      <c r="B8" s="38" t="s">
        <v>50</v>
      </c>
      <c r="C8" s="38" t="s">
        <v>51</v>
      </c>
      <c r="D8" s="38" t="s">
        <v>64</v>
      </c>
      <c r="E8" s="38" t="s">
        <v>48</v>
      </c>
      <c r="F8" s="13">
        <v>1</v>
      </c>
      <c r="G8" s="13">
        <v>1</v>
      </c>
      <c r="H8" s="40" t="str">
        <f t="shared" si="0"/>
        <v>X</v>
      </c>
      <c r="I8" s="40">
        <f>IF(OR(F8="",G8="",'📊 Resultat &amp; Tabell'!K9="",'📊 Resultat &amp; Tabell'!L9=""),"",IF(F8='📊 Resultat &amp; Tabell'!K9,2,0)+IF(G8='📊 Resultat &amp; Tabell'!L9,2,0))</f>
        <v>0</v>
      </c>
      <c r="J8" s="40">
        <f>IF(OR(H8="",'📊 Resultat &amp; Tabell'!M9=""),"",IF(H8='📊 Resultat &amp; Tabell'!M9,2,0))</f>
        <v>0</v>
      </c>
      <c r="K8" s="40">
        <f t="shared" si="1"/>
        <v>0</v>
      </c>
      <c r="L8" s="66" t="s">
        <v>63</v>
      </c>
      <c r="M8" s="59" cm="1">
        <f t="array" ref="M8">SUMPRODUCT(--($C$4:$C$75="A"),--($D$4:$D$75=L8),--($F$4:$F$75&gt;$G$4:$G$75),--($F$4:$F$75&lt;&gt;""),--($G$4:$G$75&lt;&gt;""))+SUMPRODUCT(--($C$4:$C$75="A"),--($E$4:$E$75=L8),--($G$4:$G$75&gt;$F$4:$F$75),--($F$4:$F$75&lt;&gt;""),--($G$4:$G$75&lt;&gt;""))</f>
        <v>1</v>
      </c>
      <c r="N8" s="59" cm="1">
        <f t="array" ref="N8">SUMPRODUCT(--($C$4:$C$75="A"),--(($D$4:$D$75=L8)+($E$4:$E$75=L8)&gt;0),--($F$4:$F$75=$G$4:$G$75),--($F$4:$F$75&lt;&gt;""),--($G$4:$G$75&lt;&gt;""))</f>
        <v>0</v>
      </c>
      <c r="O8" s="59" cm="1">
        <f t="array" ref="O8">SUMPRODUCT(--($C$4:$C$75="A"),--($D$4:$D$75=L8),--($F$4:$F$75&lt;$G$4:$G$75),--($F$4:$F$75&lt;&gt;""),--($G$4:$G$75&lt;&gt;""))+SUMPRODUCT(--($C$4:$C$75="A"),--($E$4:$E$75=L8),--($G$4:$G$75&lt;$F$4:$F$75),--($F$4:$F$75&lt;&gt;""),--($G$4:$G$75&lt;&gt;""))</f>
        <v>2</v>
      </c>
      <c r="P8" s="59" cm="1">
        <f t="array" ref="P8">SUMPRODUCT(--($C$4:$C$75="A"),--($D$4:$D$75=L8),$F$4:$F$75,--($F$4:$F$75&lt;&gt;""),--($G$4:$G$75&lt;&gt;""))+SUMPRODUCT(--($C$4:$C$75="A"),--($E$4:$E$75=L8),$G$4:$G$75,--($F$4:$F$75&lt;&gt;""),--($G$4:$G$75&lt;&gt;""))</f>
        <v>5</v>
      </c>
      <c r="Q8" s="59" cm="1">
        <f t="array" ref="Q8">SUMPRODUCT(--($C$4:$C$75="A"),--($D$4:$D$75=L8),$G$4:$G$75,--($F$4:$F$75&lt;&gt;""),--($G$4:$G$75&lt;&gt;""))+SUMPRODUCT(--($C$4:$C$75="A"),--($E$4:$E$75=L8),$F$4:$F$75,--($F$4:$F$75&lt;&gt;""),--($G$4:$G$75&lt;&gt;""))</f>
        <v>5</v>
      </c>
      <c r="R8" s="60">
        <f t="shared" si="3"/>
        <v>0</v>
      </c>
      <c r="S8" s="60">
        <f t="shared" si="4"/>
        <v>3</v>
      </c>
      <c r="T8" s="71">
        <f t="shared" si="5"/>
        <v>300005</v>
      </c>
      <c r="U8" s="1"/>
      <c r="V8" s="1"/>
      <c r="W8" s="72" t="s">
        <v>119</v>
      </c>
      <c r="X8" s="72" t="str" cm="1">
        <f t="array" ref="X8">IF(COUNTIFS($C$4:$C$75,"E",$F$4:$F$75,"&lt;&gt;",$G$4:$G$75,"&lt;&gt;")=0,"",IFERROR(INDEX($L$34:$L$37,MATCH(LARGE($T$34:$T$37+ROW($T$34:$T$37)/100000,1),$T$34:$T$37+ROW($T$34:$T$37)/100000,0)),""))</f>
        <v>Tyskland</v>
      </c>
      <c r="Y8" s="72" t="str" cm="1">
        <f t="array" ref="Y8">IF(COUNTIFS($C$4:$C$75,"E",$F$4:$F$75,"&lt;&gt;",$G$4:$G$75,"&lt;&gt;")=0,"",IFERROR(INDEX($L$34:$L$37,MATCH(LARGE($T$34:$T$37+ROW($T$34:$T$37)/100000,2),$T$34:$T$37+ROW($T$34:$T$37)/100000,0)),""))</f>
        <v>Ecuador</v>
      </c>
      <c r="Z8" s="72" t="str" cm="1">
        <f t="array" ref="Z8">IF(COUNTIFS($C$4:$C$75,"E",$F$4:$F$75,"&lt;&gt;",$G$4:$G$75,"&lt;&gt;")=0,"",IFERROR(INDEX($L$34:$L$37,MATCH(LARGE($T$34:$T$37+ROW($T$34:$T$37)/100000,3),$T$34:$T$37+ROW($T$34:$T$37)/100000,0)),""))</f>
        <v>Elfenbenskusten</v>
      </c>
      <c r="AA8" s="72" cm="1">
        <f t="array" ref="AA8">IF(COUNTIFS($C$4:$C$75,"E",$F$4:$F$75,"&lt;&gt;",$G$4:$G$75,"&lt;&gt;")=0,"",LARGE($T$34:$T$37+ROW($T$34:$T$37)/100000,3))</f>
        <v>400004.00036000001</v>
      </c>
      <c r="AB8" s="72">
        <f t="shared" si="2"/>
        <v>2</v>
      </c>
      <c r="AC8" s="72" t="s">
        <v>269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:40">
      <c r="A9" s="12">
        <v>6</v>
      </c>
      <c r="B9" s="39" t="s">
        <v>50</v>
      </c>
      <c r="C9" s="39" t="s">
        <v>51</v>
      </c>
      <c r="D9" s="39" t="s">
        <v>52</v>
      </c>
      <c r="E9" s="39" t="s">
        <v>63</v>
      </c>
      <c r="F9" s="13">
        <v>1</v>
      </c>
      <c r="G9" s="13">
        <v>3</v>
      </c>
      <c r="H9" s="40" t="str">
        <f t="shared" si="0"/>
        <v>2</v>
      </c>
      <c r="I9" s="40">
        <f>IF(OR(F9="",G9="",'📊 Resultat &amp; Tabell'!K10="",'📊 Resultat &amp; Tabell'!L10=""),"",IF(F9='📊 Resultat &amp; Tabell'!K10,2,0)+IF(G9='📊 Resultat &amp; Tabell'!L10,2,0))</f>
        <v>2</v>
      </c>
      <c r="J9" s="40">
        <f>IF(OR(H9="",'📊 Resultat &amp; Tabell'!M10=""),"",IF(H9='📊 Resultat &amp; Tabell'!M10,2,0))</f>
        <v>0</v>
      </c>
      <c r="K9" s="40">
        <f t="shared" si="1"/>
        <v>2</v>
      </c>
      <c r="L9" s="66" t="s">
        <v>64</v>
      </c>
      <c r="M9" s="59" cm="1">
        <f t="array" ref="M9">SUMPRODUCT(--($C$4:$C$75="A"),--($D$4:$D$75=L9),--($F$4:$F$75&gt;$G$4:$G$75),--($F$4:$F$75&lt;&gt;""),--($G$4:$G$75&lt;&gt;""))+SUMPRODUCT(--($C$4:$C$75="A"),--($E$4:$E$75=L9),--($G$4:$G$75&gt;$F$4:$F$75),--($F$4:$F$75&lt;&gt;""),--($G$4:$G$75&lt;&gt;""))</f>
        <v>1</v>
      </c>
      <c r="N9" s="59" cm="1">
        <f t="array" ref="N9">SUMPRODUCT(--($C$4:$C$75="A"),--(($D$4:$D$75=L9)+($E$4:$E$75=L9)&gt;0),--($F$4:$F$75=$G$4:$G$75),--($F$4:$F$75&lt;&gt;""),--($G$4:$G$75&lt;&gt;""))</f>
        <v>2</v>
      </c>
      <c r="O9" s="59" cm="1">
        <f t="array" ref="O9">SUMPRODUCT(--($C$4:$C$75="A"),--($D$4:$D$75=L9),--($F$4:$F$75&lt;$G$4:$G$75),--($F$4:$F$75&lt;&gt;""),--($G$4:$G$75&lt;&gt;""))+SUMPRODUCT(--($C$4:$C$75="A"),--($E$4:$E$75=L9),--($G$4:$G$75&lt;$F$4:$F$75),--($F$4:$F$75&lt;&gt;""),--($G$4:$G$75&lt;&gt;""))</f>
        <v>0</v>
      </c>
      <c r="P9" s="59" cm="1">
        <f t="array" ref="P9">SUMPRODUCT(--($C$4:$C$75="A"),--($D$4:$D$75=L9),$F$4:$F$75,--($F$4:$F$75&lt;&gt;""),--($G$4:$G$75&lt;&gt;""))+SUMPRODUCT(--($C$4:$C$75="A"),--($E$4:$E$75=L9),$G$4:$G$75,--($F$4:$F$75&lt;&gt;""),--($G$4:$G$75&lt;&gt;""))</f>
        <v>4</v>
      </c>
      <c r="Q9" s="59" cm="1">
        <f t="array" ref="Q9">SUMPRODUCT(--($C$4:$C$75="A"),--($D$4:$D$75=L9),$G$4:$G$75,--($F$4:$F$75&lt;&gt;""),--($G$4:$G$75&lt;&gt;""))+SUMPRODUCT(--($C$4:$C$75="A"),--($E$4:$E$75=L9),$F$4:$F$75,--($F$4:$F$75&lt;&gt;""),--($G$4:$G$75&lt;&gt;""))</f>
        <v>3</v>
      </c>
      <c r="R9" s="60">
        <f t="shared" si="3"/>
        <v>1</v>
      </c>
      <c r="S9" s="60">
        <f t="shared" si="4"/>
        <v>5</v>
      </c>
      <c r="T9" s="71">
        <f t="shared" si="5"/>
        <v>501004</v>
      </c>
      <c r="U9" s="1"/>
      <c r="V9" s="1"/>
      <c r="W9" s="72" t="s">
        <v>56</v>
      </c>
      <c r="X9" s="72" t="str" cm="1">
        <f t="array" ref="X9">IF(COUNTIFS($C$4:$C$75,"F",$F$4:$F$75,"&lt;&gt;",$G$4:$G$75,"&lt;&gt;")=0,"",IFERROR(INDEX($L$41:$L$44,MATCH(LARGE($T$41:$T$44+ROW($T$41:$T$44)/100000,1),$T$41:$T$44+ROW($T$41:$T$44)/100000,0)),""))</f>
        <v>Nederländerna</v>
      </c>
      <c r="Y9" s="72" t="str" cm="1">
        <f t="array" ref="Y9">IF(COUNTIFS($C$4:$C$75,"F",$F$4:$F$75,"&lt;&gt;",$G$4:$G$75,"&lt;&gt;")=0,"",IFERROR(INDEX($L$41:$L$44,MATCH(LARGE($T$41:$T$44+ROW($T$41:$T$44)/100000,2),$T$41:$T$44+ROW($T$41:$T$44)/100000,0)),""))</f>
        <v>Sverige</v>
      </c>
      <c r="Z9" s="72" t="str" cm="1">
        <f t="array" ref="Z9">IF(COUNTIFS($C$4:$C$75,"F",$F$4:$F$75,"&lt;&gt;",$G$4:$G$75,"&lt;&gt;")=0,"",IFERROR(INDEX($L$41:$L$44,MATCH(LARGE($T$41:$T$44+ROW($T$41:$T$44)/100000,3),$T$41:$T$44+ROW($T$41:$T$44)/100000,0)),""))</f>
        <v>Japan</v>
      </c>
      <c r="AA9" s="72" cm="1">
        <f t="array" ref="AA9">IF(COUNTIFS($C$4:$C$75,"F",$F$4:$F$75,"&lt;&gt;",$G$4:$G$75,"&lt;&gt;")=0,"",LARGE($T$41:$T$44+ROW($T$41:$T$44)/100000,3))</f>
        <v>401005.00042</v>
      </c>
      <c r="AB9" s="72">
        <f t="shared" si="2"/>
        <v>1</v>
      </c>
      <c r="AC9" s="72" t="s">
        <v>269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:40">
      <c r="A10" s="15">
        <v>7</v>
      </c>
      <c r="B10" s="38" t="s">
        <v>50</v>
      </c>
      <c r="C10" s="38" t="s">
        <v>75</v>
      </c>
      <c r="D10" s="38" t="s">
        <v>70</v>
      </c>
      <c r="E10" s="38" t="s">
        <v>73</v>
      </c>
      <c r="F10" s="13">
        <v>2</v>
      </c>
      <c r="G10" s="13">
        <v>0</v>
      </c>
      <c r="H10" s="40" t="str">
        <f t="shared" si="0"/>
        <v>1</v>
      </c>
      <c r="I10" s="40">
        <f>IF(OR(F10="",G10="",'📊 Resultat &amp; Tabell'!K11="",'📊 Resultat &amp; Tabell'!L11=""),"",IF(F10='📊 Resultat &amp; Tabell'!K11,2,0)+IF(G10='📊 Resultat &amp; Tabell'!L11,2,0))</f>
        <v>0</v>
      </c>
      <c r="J10" s="40">
        <f>IF(OR(H10="",'📊 Resultat &amp; Tabell'!M11=""),"",IF(H10='📊 Resultat &amp; Tabell'!M11,2,0))</f>
        <v>0</v>
      </c>
      <c r="K10" s="40">
        <f t="shared" si="1"/>
        <v>0</v>
      </c>
      <c r="L10" s="67" t="s">
        <v>269</v>
      </c>
      <c r="M10" s="61" t="s">
        <v>269</v>
      </c>
      <c r="N10" s="61" t="s">
        <v>269</v>
      </c>
      <c r="O10" s="61" t="s">
        <v>269</v>
      </c>
      <c r="P10" s="61" t="s">
        <v>269</v>
      </c>
      <c r="Q10" s="61" t="s">
        <v>269</v>
      </c>
      <c r="R10" s="61" t="s">
        <v>269</v>
      </c>
      <c r="S10" s="61" t="s">
        <v>269</v>
      </c>
      <c r="T10" s="61" t="s">
        <v>269</v>
      </c>
      <c r="U10" s="1"/>
      <c r="V10" s="1"/>
      <c r="W10" s="72" t="s">
        <v>144</v>
      </c>
      <c r="X10" s="72" t="str" cm="1">
        <f t="array" ref="X10">IF(COUNTIFS($C$4:$C$75,"G",$F$4:$F$75,"&lt;&gt;",$G$4:$G$75,"&lt;&gt;")=0,"",IFERROR(INDEX($L$48:$L$51,MATCH(LARGE($T$48:$T$51+ROW($T$48:$T$51)/100000,1),$T$48:$T$51+ROW($T$48:$T$51)/100000,0)),""))</f>
        <v>Belgien</v>
      </c>
      <c r="Y10" s="72" t="str" cm="1">
        <f t="array" ref="Y10">IF(COUNTIFS($C$4:$C$75,"G",$F$4:$F$75,"&lt;&gt;",$G$4:$G$75,"&lt;&gt;")=0,"",IFERROR(INDEX($L$48:$L$51,MATCH(LARGE($T$48:$T$51+ROW($T$48:$T$51)/100000,2),$T$48:$T$51+ROW($T$48:$T$51)/100000,0)),""))</f>
        <v>Egypten</v>
      </c>
      <c r="Z10" s="72" t="str" cm="1">
        <f t="array" ref="Z10">IF(COUNTIFS($C$4:$C$75,"G",$F$4:$F$75,"&lt;&gt;",$G$4:$G$75,"&lt;&gt;")=0,"",IFERROR(INDEX($L$48:$L$51,MATCH(LARGE($T$48:$T$51+ROW($T$48:$T$51)/100000,3),$T$48:$T$51+ROW($T$48:$T$51)/100000,0)),""))</f>
        <v>Iran</v>
      </c>
      <c r="AA10" s="72" cm="1">
        <f t="array" ref="AA10">IF(COUNTIFS($C$4:$C$75,"G",$F$4:$F$75,"&lt;&gt;",$G$4:$G$75,"&lt;&gt;")=0,"",LARGE($T$48:$T$51+ROW($T$48:$T$51)/100000,3))</f>
        <v>399003.00050000002</v>
      </c>
      <c r="AB10" s="72">
        <f t="shared" si="2"/>
        <v>3</v>
      </c>
      <c r="AC10" s="72" t="s">
        <v>269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:40">
      <c r="A11" s="12">
        <v>8</v>
      </c>
      <c r="B11" s="39" t="s">
        <v>50</v>
      </c>
      <c r="C11" s="39" t="s">
        <v>75</v>
      </c>
      <c r="D11" s="39" t="s">
        <v>77</v>
      </c>
      <c r="E11" s="39" t="s">
        <v>79</v>
      </c>
      <c r="F11" s="13">
        <v>1</v>
      </c>
      <c r="G11" s="13">
        <v>3</v>
      </c>
      <c r="H11" s="40" t="str">
        <f t="shared" si="0"/>
        <v>2</v>
      </c>
      <c r="I11" s="40">
        <f>IF(OR(F11="",G11="",'📊 Resultat &amp; Tabell'!K12="",'📊 Resultat &amp; Tabell'!L12=""),"",IF(F11='📊 Resultat &amp; Tabell'!K12,2,0)+IF(G11='📊 Resultat &amp; Tabell'!L12,2,0))</f>
        <v>2</v>
      </c>
      <c r="J11" s="40">
        <f>IF(OR(H11="",'📊 Resultat &amp; Tabell'!M12=""),"",IF(H11='📊 Resultat &amp; Tabell'!M12,2,0))</f>
        <v>0</v>
      </c>
      <c r="K11" s="40">
        <f t="shared" si="1"/>
        <v>2</v>
      </c>
      <c r="L11" s="64" t="s">
        <v>68</v>
      </c>
      <c r="M11" s="53" t="s">
        <v>269</v>
      </c>
      <c r="N11" s="53" t="s">
        <v>269</v>
      </c>
      <c r="O11" s="53" t="s">
        <v>269</v>
      </c>
      <c r="P11" s="53" t="s">
        <v>269</v>
      </c>
      <c r="Q11" s="53" t="s">
        <v>269</v>
      </c>
      <c r="R11" s="54" t="s">
        <v>269</v>
      </c>
      <c r="S11" s="54" t="s">
        <v>269</v>
      </c>
      <c r="T11" s="69" t="s">
        <v>269</v>
      </c>
      <c r="U11" s="1"/>
      <c r="V11" s="1"/>
      <c r="W11" s="72" t="s">
        <v>156</v>
      </c>
      <c r="X11" s="72" t="str" cm="1">
        <f t="array" ref="X11">IF(COUNTIFS($C$4:$C$75,"H",$F$4:$F$75,"&lt;&gt;",$G$4:$G$75,"&lt;&gt;")=0,"",IFERROR(INDEX($L$55:$L$58,MATCH(LARGE($T$55:$T$58+ROW($T$55:$T$58)/100000,1),$T$55:$T$58+ROW($T$55:$T$58)/100000,0)),""))</f>
        <v>Spanien</v>
      </c>
      <c r="Y11" s="72" t="str" cm="1">
        <f t="array" ref="Y11">IF(COUNTIFS($C$4:$C$75,"H",$F$4:$F$75,"&lt;&gt;",$G$4:$G$75,"&lt;&gt;")=0,"",IFERROR(INDEX($L$55:$L$58,MATCH(LARGE($T$55:$T$58+ROW($T$55:$T$58)/100000,2),$T$55:$T$58+ROW($T$55:$T$58)/100000,0)),""))</f>
        <v>Uruguay</v>
      </c>
      <c r="Z11" s="72" t="str" cm="1">
        <f t="array" ref="Z11">IF(COUNTIFS($C$4:$C$75,"H",$F$4:$F$75,"&lt;&gt;",$G$4:$G$75,"&lt;&gt;")=0,"",IFERROR(INDEX($L$55:$L$58,MATCH(LARGE($T$55:$T$58+ROW($T$55:$T$58)/100000,3),$T$55:$T$58+ROW($T$55:$T$58)/100000,0)),""))</f>
        <v>Saudiarabien</v>
      </c>
      <c r="AA11" s="72" cm="1">
        <f t="array" ref="AA11">IF(COUNTIFS($C$4:$C$75,"H",$F$4:$F$75,"&lt;&gt;",$G$4:$G$75,"&lt;&gt;")=0,"",LARGE($T$55:$T$58+ROW($T$55:$T$58)/100000,3))</f>
        <v>296002.00056999997</v>
      </c>
      <c r="AB11" s="72">
        <f t="shared" si="2"/>
        <v>10</v>
      </c>
      <c r="AC11" s="72" t="s">
        <v>269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:40" ht="14.25" customHeight="1">
      <c r="A12" s="15">
        <v>9</v>
      </c>
      <c r="B12" s="38" t="s">
        <v>50</v>
      </c>
      <c r="C12" s="38" t="s">
        <v>75</v>
      </c>
      <c r="D12" s="38" t="s">
        <v>79</v>
      </c>
      <c r="E12" s="38" t="s">
        <v>73</v>
      </c>
      <c r="F12" s="13">
        <v>1</v>
      </c>
      <c r="G12" s="13">
        <v>0</v>
      </c>
      <c r="H12" s="40" t="str">
        <f t="shared" si="0"/>
        <v>1</v>
      </c>
      <c r="I12" s="40">
        <f>IF(OR(F12="",G12="",'📊 Resultat &amp; Tabell'!K13="",'📊 Resultat &amp; Tabell'!L13=""),"",IF(F12='📊 Resultat &amp; Tabell'!K13,2,0)+IF(G12='📊 Resultat &amp; Tabell'!L13,2,0))</f>
        <v>0</v>
      </c>
      <c r="J12" s="40">
        <f>IF(OR(H12="",'📊 Resultat &amp; Tabell'!M13=""),"",IF(H12='📊 Resultat &amp; Tabell'!M13,2,0))</f>
        <v>2</v>
      </c>
      <c r="K12" s="40">
        <f t="shared" si="1"/>
        <v>2</v>
      </c>
      <c r="L12" s="65" t="s">
        <v>53</v>
      </c>
      <c r="M12" s="55" t="s">
        <v>54</v>
      </c>
      <c r="N12" s="55" t="s">
        <v>55</v>
      </c>
      <c r="O12" s="55" t="s">
        <v>56</v>
      </c>
      <c r="P12" s="55" t="s">
        <v>57</v>
      </c>
      <c r="Q12" s="55" t="s">
        <v>58</v>
      </c>
      <c r="R12" s="56" t="s">
        <v>59</v>
      </c>
      <c r="S12" s="57" t="s">
        <v>60</v>
      </c>
      <c r="T12" s="70" t="s">
        <v>289</v>
      </c>
      <c r="U12" s="1"/>
      <c r="V12" s="1"/>
      <c r="W12" s="72" t="s">
        <v>168</v>
      </c>
      <c r="X12" s="72" t="str" cm="1">
        <f t="array" ref="X12">IF(COUNTIFS($C$4:$C$75,"I",$F$4:$F$75,"&lt;&gt;",$G$4:$G$75,"&lt;&gt;")=0,"",IFERROR(INDEX($L$62:$L$65,MATCH(LARGE($T$62:$T$65+ROW($T$62:$T$65)/100000,1),$T$62:$T$65+ROW($T$62:$T$65)/100000,0)),""))</f>
        <v>Frankrike</v>
      </c>
      <c r="Y12" s="72" t="str" cm="1">
        <f t="array" ref="Y12">IF(COUNTIFS($C$4:$C$75,"I",$F$4:$F$75,"&lt;&gt;",$G$4:$G$75,"&lt;&gt;")=0,"",IFERROR(INDEX($L$62:$L$65,MATCH(LARGE($T$62:$T$65+ROW($T$62:$T$65)/100000,2),$T$62:$T$65+ROW($T$62:$T$65)/100000,0)),""))</f>
        <v>Norge</v>
      </c>
      <c r="Z12" s="72" t="str" cm="1">
        <f t="array" ref="Z12">IF(COUNTIFS($C$4:$C$75,"I",$F$4:$F$75,"&lt;&gt;",$G$4:$G$75,"&lt;&gt;")=0,"",IFERROR(INDEX($L$62:$L$65,MATCH(LARGE($T$62:$T$65+ROW($T$62:$T$65)/100000,3),$T$62:$T$65+ROW($T$62:$T$65)/100000,0)),""))</f>
        <v>Senegal</v>
      </c>
      <c r="AA12" s="72" cm="1">
        <f t="array" ref="AA12">IF(COUNTIFS($C$4:$C$75,"I",$F$4:$F$75,"&lt;&gt;",$G$4:$G$75,"&lt;&gt;")=0,"",LARGE($T$62:$T$65+ROW($T$62:$T$65)/100000,3))</f>
        <v>299004.00063000002</v>
      </c>
      <c r="AB12" s="72">
        <f t="shared" si="2"/>
        <v>6</v>
      </c>
      <c r="AC12" s="72" t="s">
        <v>269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:40">
      <c r="A13" s="12">
        <v>10</v>
      </c>
      <c r="B13" s="39" t="s">
        <v>50</v>
      </c>
      <c r="C13" s="39" t="s">
        <v>75</v>
      </c>
      <c r="D13" s="39" t="s">
        <v>70</v>
      </c>
      <c r="E13" s="39" t="s">
        <v>77</v>
      </c>
      <c r="F13" s="13">
        <v>1</v>
      </c>
      <c r="G13" s="13">
        <v>0</v>
      </c>
      <c r="H13" s="40" t="str">
        <f t="shared" si="0"/>
        <v>1</v>
      </c>
      <c r="I13" s="40">
        <f>IF(OR(F13="",G13="",'📊 Resultat &amp; Tabell'!K14="",'📊 Resultat &amp; Tabell'!L14=""),"",IF(F13='📊 Resultat &amp; Tabell'!K14,2,0)+IF(G13='📊 Resultat &amp; Tabell'!L14,2,0))</f>
        <v>2</v>
      </c>
      <c r="J13" s="40">
        <f>IF(OR(H13="",'📊 Resultat &amp; Tabell'!M14=""),"",IF(H13='📊 Resultat &amp; Tabell'!M14,2,0))</f>
        <v>2</v>
      </c>
      <c r="K13" s="40">
        <f t="shared" si="1"/>
        <v>4</v>
      </c>
      <c r="L13" s="66" t="s">
        <v>70</v>
      </c>
      <c r="M13" s="59" cm="1">
        <f t="array" ref="M13">SUMPRODUCT(--($C$4:$C$75="B"),--($D$4:$D$75=L13),--($F$4:$F$75&gt;$G$4:$G$75),--($F$4:$F$75&lt;&gt;""),--($G$4:$G$75&lt;&gt;""))+SUMPRODUCT(--($C$4:$C$75="B"),--($E$4:$E$75=L13),--($G$4:$G$75&gt;$F$4:$F$75),--($F$4:$F$75&lt;&gt;""),--($G$4:$G$75&lt;&gt;""))</f>
        <v>2</v>
      </c>
      <c r="N13" s="59" cm="1">
        <f t="array" ref="N13">SUMPRODUCT(--($C$4:$C$75="B"),--(($D$4:$D$75=L13)+($E$4:$E$75=L13)&gt;0),--($F$4:$F$75=$G$4:$G$75),--($F$4:$F$75&lt;&gt;""),--($G$4:$G$75&lt;&gt;""))</f>
        <v>1</v>
      </c>
      <c r="O13" s="59" cm="1">
        <f t="array" ref="O13">SUMPRODUCT(--($C$4:$C$75="B"),--($D$4:$D$75=L13),--($F$4:$F$75&lt;$G$4:$G$75),--($F$4:$F$75&lt;&gt;""),--($G$4:$G$75&lt;&gt;""))+SUMPRODUCT(--($C$4:$C$75="B"),--($E$4:$E$75=L13),--($G$4:$G$75&lt;$F$4:$F$75),--($F$4:$F$75&lt;&gt;""),--($G$4:$G$75&lt;&gt;""))</f>
        <v>0</v>
      </c>
      <c r="P13" s="59" cm="1">
        <f t="array" ref="P13">SUMPRODUCT(--($C$4:$C$75="B"),--($D$4:$D$75=L13),$F$4:$F$75,--($F$4:$F$75&lt;&gt;""),--($G$4:$G$75&lt;&gt;""))+SUMPRODUCT(--($C$4:$C$75="B"),--($E$4:$E$75=L13),$G$4:$G$75,--($F$4:$F$75&lt;&gt;""),--($G$4:$G$75&lt;&gt;""))</f>
        <v>4</v>
      </c>
      <c r="Q13" s="59" cm="1">
        <f t="array" ref="Q13">SUMPRODUCT(--($C$4:$C$75="B"),--($D$4:$D$75=L13),$G$4:$G$75,--($F$4:$F$75&lt;&gt;""),--($G$4:$G$75&lt;&gt;""))+SUMPRODUCT(--($C$4:$C$75="B"),--($E$4:$E$75=L13),$F$4:$F$75,--($F$4:$F$75&lt;&gt;""),--($G$4:$G$75&lt;&gt;""))</f>
        <v>1</v>
      </c>
      <c r="R13" s="60">
        <f>P13-Q13</f>
        <v>3</v>
      </c>
      <c r="S13" s="60">
        <f>M13*3+N13</f>
        <v>7</v>
      </c>
      <c r="T13" s="71">
        <f>S13*100000+R13*1000+P13</f>
        <v>703004</v>
      </c>
      <c r="U13" s="1"/>
      <c r="V13" s="1"/>
      <c r="W13" s="72" t="s">
        <v>179</v>
      </c>
      <c r="X13" s="72" t="str" cm="1">
        <f t="array" ref="X13">IF(COUNTIFS($C$4:$C$75,"J",$F$4:$F$75,"&lt;&gt;",$G$4:$G$75,"&lt;&gt;")=0,"",IFERROR(INDEX($L$69:$L$72,MATCH(LARGE($T$69:$T$72+ROW($T$69:$T$72)/100000,1),$T$69:$T$72+ROW($T$69:$T$72)/100000,0)),""))</f>
        <v>Argentina</v>
      </c>
      <c r="Y13" s="72" t="str" cm="1">
        <f t="array" ref="Y13">IF(COUNTIFS($C$4:$C$75,"J",$F$4:$F$75,"&lt;&gt;",$G$4:$G$75,"&lt;&gt;")=0,"",IFERROR(INDEX($L$69:$L$72,MATCH(LARGE($T$69:$T$72+ROW($T$69:$T$72)/100000,2),$T$69:$T$72+ROW($T$69:$T$72)/100000,0)),""))</f>
        <v>Österrike</v>
      </c>
      <c r="Z13" s="72" t="str" cm="1">
        <f t="array" ref="Z13">IF(COUNTIFS($C$4:$C$75,"J",$F$4:$F$75,"&lt;&gt;",$G$4:$G$75,"&lt;&gt;")=0,"",IFERROR(INDEX($L$69:$L$72,MATCH(LARGE($T$69:$T$72+ROW($T$69:$T$72)/100000,3),$T$69:$T$72+ROW($T$69:$T$72)/100000,0)),""))</f>
        <v>Algeriet</v>
      </c>
      <c r="AA13" s="72" cm="1">
        <f t="array" ref="AA13">IF(COUNTIFS($C$4:$C$75,"J",$F$4:$F$75,"&lt;&gt;",$G$4:$G$75,"&lt;&gt;")=0,"",LARGE($T$69:$T$72+ROW($T$69:$T$72)/100000,3))</f>
        <v>97003.000700000004</v>
      </c>
      <c r="AB13" s="72">
        <f t="shared" si="2"/>
        <v>12</v>
      </c>
      <c r="AC13" s="72" t="s">
        <v>269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40">
      <c r="A14" s="15">
        <v>11</v>
      </c>
      <c r="B14" s="38" t="s">
        <v>50</v>
      </c>
      <c r="C14" s="38" t="s">
        <v>75</v>
      </c>
      <c r="D14" s="38" t="s">
        <v>79</v>
      </c>
      <c r="E14" s="38" t="s">
        <v>70</v>
      </c>
      <c r="F14" s="13">
        <v>1</v>
      </c>
      <c r="G14" s="13">
        <v>1</v>
      </c>
      <c r="H14" s="40" t="str">
        <f t="shared" si="0"/>
        <v>X</v>
      </c>
      <c r="I14" s="40">
        <f>IF(OR(F14="",G14="",'📊 Resultat &amp; Tabell'!K15="",'📊 Resultat &amp; Tabell'!L15=""),"",IF(F14='📊 Resultat &amp; Tabell'!K15,2,0)+IF(G14='📊 Resultat &amp; Tabell'!L15,2,0))</f>
        <v>2</v>
      </c>
      <c r="J14" s="40">
        <f>IF(OR(H14="",'📊 Resultat &amp; Tabell'!M15=""),"",IF(H14='📊 Resultat &amp; Tabell'!M15,2,0))</f>
        <v>0</v>
      </c>
      <c r="K14" s="40">
        <f t="shared" si="1"/>
        <v>2</v>
      </c>
      <c r="L14" s="58" t="s">
        <v>73</v>
      </c>
      <c r="M14" s="59" cm="1">
        <f t="array" ref="M14">SUMPRODUCT(--($C$4:$C$75="B"),--($D$4:$D$75=L14),--($F$4:$F$75&gt;$G$4:$G$75),--($F$4:$F$75&lt;&gt;""),--($G$4:$G$75&lt;&gt;""))+SUMPRODUCT(--($C$4:$C$75="B"),--($E$4:$E$75=L14),--($G$4:$G$75&gt;$F$4:$F$75),--($F$4:$F$75&lt;&gt;""),--($G$4:$G$75&lt;&gt;""))</f>
        <v>1</v>
      </c>
      <c r="N14" s="59" cm="1">
        <f t="array" ref="N14">SUMPRODUCT(--($C$4:$C$75="B"),--(($D$4:$D$75=L14)+($E$4:$E$75=L14)&gt;0),--($F$4:$F$75=$G$4:$G$75),--($F$4:$F$75&lt;&gt;""),--($G$4:$G$75&lt;&gt;""))</f>
        <v>0</v>
      </c>
      <c r="O14" s="59" cm="1">
        <f t="array" ref="O14">SUMPRODUCT(--($C$4:$C$75="B"),--($D$4:$D$75=L14),--($F$4:$F$75&lt;$G$4:$G$75),--($F$4:$F$75&lt;&gt;""),--($G$4:$G$75&lt;&gt;""))+SUMPRODUCT(--($C$4:$C$75="B"),--($E$4:$E$75=L14),--($G$4:$G$75&lt;$F$4:$F$75),--($F$4:$F$75&lt;&gt;""),--($G$4:$G$75&lt;&gt;""))</f>
        <v>2</v>
      </c>
      <c r="P14" s="59" cm="1">
        <f t="array" ref="P14">SUMPRODUCT(--($C$4:$C$75="B"),--($D$4:$D$75=L14),$F$4:$F$75,--($F$4:$F$75&lt;&gt;""),--($G$4:$G$75&lt;&gt;""))+SUMPRODUCT(--($C$4:$C$75="B"),--($E$4:$E$75=L14),$G$4:$G$75,--($F$4:$F$75&lt;&gt;""),--($G$4:$G$75&lt;&gt;""))</f>
        <v>2</v>
      </c>
      <c r="Q14" s="59" cm="1">
        <f t="array" ref="Q14">SUMPRODUCT(--($C$4:$C$75="B"),--($D$4:$D$75=L14),$G$4:$G$75,--($F$4:$F$75&lt;&gt;""),--($G$4:$G$75&lt;&gt;""))+SUMPRODUCT(--($C$4:$C$75="B"),--($E$4:$E$75=L14),$F$4:$F$75,--($F$4:$F$75&lt;&gt;""),--($G$4:$G$75&lt;&gt;""))</f>
        <v>4</v>
      </c>
      <c r="R14" s="60">
        <f t="shared" ref="R14:R16" si="6">P14-Q14</f>
        <v>-2</v>
      </c>
      <c r="S14" s="60">
        <f t="shared" ref="S14:S16" si="7">M14*3+N14</f>
        <v>3</v>
      </c>
      <c r="T14" s="71">
        <f t="shared" ref="T14:T16" si="8">S14*100000+R14*1000+P14</f>
        <v>298002</v>
      </c>
      <c r="U14" s="1"/>
      <c r="V14" s="1"/>
      <c r="W14" s="72" t="s">
        <v>188</v>
      </c>
      <c r="X14" s="72" t="str" cm="1">
        <f t="array" ref="X14">IF(COUNTIFS($C$4:$C$75,"K",$F$4:$F$75,"&lt;&gt;",$G$4:$G$75,"&lt;&gt;")=0,"",IFERROR(INDEX($L$76:$L$79,MATCH(LARGE($T$76:$T$79+ROW($T$76:$T$79)/100000,1),$T$76:$T$79+ROW($T$76:$T$79)/100000,0)),""))</f>
        <v>Portugal</v>
      </c>
      <c r="Y14" s="72" t="str" cm="1">
        <f t="array" ref="Y14">IF(COUNTIFS($C$4:$C$75,"K",$F$4:$F$75,"&lt;&gt;",$G$4:$G$75,"&lt;&gt;")=0,"",IFERROR(INDEX($L$76:$L$79,MATCH(LARGE($T$76:$T$79+ROW($T$76:$T$79)/100000,2),$T$76:$T$79+ROW($T$76:$T$79)/100000,0)),""))</f>
        <v>Colombia</v>
      </c>
      <c r="Z14" s="72" t="str" cm="1">
        <f t="array" ref="Z14">IF(COUNTIFS($C$4:$C$75,"K",$F$4:$F$75,"&lt;&gt;",$G$4:$G$75,"&lt;&gt;")=0,"",IFERROR(INDEX($L$76:$L$79,MATCH(LARGE($T$76:$T$79+ROW($T$76:$T$79)/100000,3),$T$76:$T$79+ROW($T$76:$T$79)/100000,0)),""))</f>
        <v>Uzbekistan</v>
      </c>
      <c r="AA14" s="72" cm="1">
        <f t="array" ref="AA14">IF(COUNTIFS($C$4:$C$75,"K",$F$4:$F$75,"&lt;&gt;",$G$4:$G$75,"&lt;&gt;")=0,"",LARGE($T$76:$T$79+ROW($T$76:$T$79)/100000,3))</f>
        <v>297001.00078</v>
      </c>
      <c r="AB14" s="72">
        <f t="shared" si="2"/>
        <v>9</v>
      </c>
      <c r="AC14" s="72" t="s">
        <v>269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:40">
      <c r="A15" s="12">
        <v>12</v>
      </c>
      <c r="B15" s="39" t="s">
        <v>50</v>
      </c>
      <c r="C15" s="39" t="s">
        <v>75</v>
      </c>
      <c r="D15" s="39" t="s">
        <v>73</v>
      </c>
      <c r="E15" s="39" t="s">
        <v>77</v>
      </c>
      <c r="F15" s="13">
        <v>2</v>
      </c>
      <c r="G15" s="13">
        <v>1</v>
      </c>
      <c r="H15" s="40" t="str">
        <f t="shared" si="0"/>
        <v>1</v>
      </c>
      <c r="I15" s="40">
        <f>IF(OR(F15="",G15="",'📊 Resultat &amp; Tabell'!K16="",'📊 Resultat &amp; Tabell'!L16=""),"",IF(F15='📊 Resultat &amp; Tabell'!K16,2,0)+IF(G15='📊 Resultat &amp; Tabell'!L16,2,0))</f>
        <v>2</v>
      </c>
      <c r="J15" s="40">
        <f>IF(OR(H15="",'📊 Resultat &amp; Tabell'!M16=""),"",IF(H15='📊 Resultat &amp; Tabell'!M16,2,0))</f>
        <v>2</v>
      </c>
      <c r="K15" s="40">
        <f t="shared" si="1"/>
        <v>4</v>
      </c>
      <c r="L15" s="66" t="s">
        <v>77</v>
      </c>
      <c r="M15" s="59" cm="1">
        <f t="array" ref="M15">SUMPRODUCT(--($C$4:$C$75="B"),--($D$4:$D$75=L15),--($F$4:$F$75&gt;$G$4:$G$75),--($F$4:$F$75&lt;&gt;""),--($G$4:$G$75&lt;&gt;""))+SUMPRODUCT(--($C$4:$C$75="B"),--($E$4:$E$75=L15),--($G$4:$G$75&gt;$F$4:$F$75),--($F$4:$F$75&lt;&gt;""),--($G$4:$G$75&lt;&gt;""))</f>
        <v>0</v>
      </c>
      <c r="N15" s="59" cm="1">
        <f t="array" ref="N15">SUMPRODUCT(--($C$4:$C$75="B"),--(($D$4:$D$75=L15)+($E$4:$E$75=L15)&gt;0),--($F$4:$F$75=$G$4:$G$75),--($F$4:$F$75&lt;&gt;""),--($G$4:$G$75&lt;&gt;""))</f>
        <v>0</v>
      </c>
      <c r="O15" s="59" cm="1">
        <f t="array" ref="O15">SUMPRODUCT(--($C$4:$C$75="B"),--($D$4:$D$75=L15),--($F$4:$F$75&lt;$G$4:$G$75),--($F$4:$F$75&lt;&gt;""),--($G$4:$G$75&lt;&gt;""))+SUMPRODUCT(--($C$4:$C$75="B"),--($E$4:$E$75=L15),--($G$4:$G$75&lt;$F$4:$F$75),--($F$4:$F$75&lt;&gt;""),--($G$4:$G$75&lt;&gt;""))</f>
        <v>3</v>
      </c>
      <c r="P15" s="59" cm="1">
        <f t="array" ref="P15">SUMPRODUCT(--($C$4:$C$75="B"),--($D$4:$D$75=L15),$F$4:$F$75,--($F$4:$F$75&lt;&gt;""),--($G$4:$G$75&lt;&gt;""))+SUMPRODUCT(--($C$4:$C$75="B"),--($E$4:$E$75=L15),$G$4:$G$75,--($F$4:$F$75&lt;&gt;""),--($G$4:$G$75&lt;&gt;""))</f>
        <v>2</v>
      </c>
      <c r="Q15" s="59" cm="1">
        <f t="array" ref="Q15">SUMPRODUCT(--($C$4:$C$75="B"),--($D$4:$D$75=L15),$G$4:$G$75,--($F$4:$F$75&lt;&gt;""),--($G$4:$G$75&lt;&gt;""))+SUMPRODUCT(--($C$4:$C$75="B"),--($E$4:$E$75=L15),$F$4:$F$75,--($F$4:$F$75&lt;&gt;""),--($G$4:$G$75&lt;&gt;""))</f>
        <v>6</v>
      </c>
      <c r="R15" s="60">
        <f t="shared" si="6"/>
        <v>-4</v>
      </c>
      <c r="S15" s="60">
        <f t="shared" si="7"/>
        <v>0</v>
      </c>
      <c r="T15" s="71">
        <f t="shared" si="8"/>
        <v>-3998</v>
      </c>
      <c r="U15" s="1"/>
      <c r="V15" s="1"/>
      <c r="W15" s="72" t="s">
        <v>189</v>
      </c>
      <c r="X15" s="72" t="str" cm="1">
        <f t="array" ref="X15">IF(COUNTIFS($C$4:$C$75,"L",$F$4:$F$75,"&lt;&gt;",$G$4:$G$75,"&lt;&gt;")=0,"",IFERROR(INDEX($L$83:$L$86,MATCH(LARGE($T$83:$T$86+ROW($T$83:$T$86)/100000,1),$T$83:$T$86+ROW($T$83:$T$86)/100000,0)),""))</f>
        <v>England</v>
      </c>
      <c r="Y15" s="72" t="str" cm="1">
        <f t="array" ref="Y15">IF(COUNTIFS($C$4:$C$75,"L",$F$4:$F$75,"&lt;&gt;",$G$4:$G$75,"&lt;&gt;")=0,"",IFERROR(INDEX($L$83:$L$86,MATCH(LARGE($T$83:$T$86+ROW($T$83:$T$86)/100000,2),$T$83:$T$86+ROW($T$83:$T$86)/100000,0)),""))</f>
        <v>Kroatien</v>
      </c>
      <c r="Z15" s="72" t="str" cm="1">
        <f t="array" ref="Z15">IF(COUNTIFS($C$4:$C$75,"L",$F$4:$F$75,"&lt;&gt;",$G$4:$G$75,"&lt;&gt;")=0,"",IFERROR(INDEX($L$83:$L$86,MATCH(LARGE($T$83:$T$86+ROW($T$83:$T$86)/100000,3),$T$83:$T$86+ROW($T$83:$T$86)/100000,0)),""))</f>
        <v>Ghana</v>
      </c>
      <c r="AA15" s="72" cm="1">
        <f t="array" ref="AA15">IF(COUNTIFS($C$4:$C$75,"L",$F$4:$F$75,"&lt;&gt;",$G$4:$G$75,"&lt;&gt;")=0,"",LARGE($T$83:$T$86+ROW($T$83:$T$86)/100000,3))</f>
        <v>98003.000849999997</v>
      </c>
      <c r="AB15" s="72">
        <f t="shared" si="2"/>
        <v>11</v>
      </c>
      <c r="AC15" s="72" t="s">
        <v>269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:40">
      <c r="A16" s="15">
        <v>13</v>
      </c>
      <c r="B16" s="38" t="s">
        <v>50</v>
      </c>
      <c r="C16" s="38" t="s">
        <v>92</v>
      </c>
      <c r="D16" s="38" t="s">
        <v>85</v>
      </c>
      <c r="E16" s="38" t="s">
        <v>87</v>
      </c>
      <c r="F16" s="13">
        <v>3</v>
      </c>
      <c r="G16" s="13">
        <v>1</v>
      </c>
      <c r="H16" s="40" t="str">
        <f t="shared" si="0"/>
        <v>1</v>
      </c>
      <c r="I16" s="40">
        <f>IF(OR(F16="",G16="",'📊 Resultat &amp; Tabell'!K17="",'📊 Resultat &amp; Tabell'!L17=""),"",IF(F16='📊 Resultat &amp; Tabell'!K17,2,0)+IF(G16='📊 Resultat &amp; Tabell'!L17,2,0))</f>
        <v>2</v>
      </c>
      <c r="J16" s="40">
        <f>IF(OR(H16="",'📊 Resultat &amp; Tabell'!M17=""),"",IF(H16='📊 Resultat &amp; Tabell'!M17,2,0))</f>
        <v>0</v>
      </c>
      <c r="K16" s="40">
        <f t="shared" si="1"/>
        <v>2</v>
      </c>
      <c r="L16" s="66" t="s">
        <v>79</v>
      </c>
      <c r="M16" s="59" cm="1">
        <f t="array" ref="M16">SUMPRODUCT(--($C$4:$C$75="B"),--($D$4:$D$75=L16),--($F$4:$F$75&gt;$G$4:$G$75),--($F$4:$F$75&lt;&gt;""),--($G$4:$G$75&lt;&gt;""))+SUMPRODUCT(--($C$4:$C$75="B"),--($E$4:$E$75=L16),--($G$4:$G$75&gt;$F$4:$F$75),--($F$4:$F$75&lt;&gt;""),--($G$4:$G$75&lt;&gt;""))</f>
        <v>2</v>
      </c>
      <c r="N16" s="59" cm="1">
        <f t="array" ref="N16">SUMPRODUCT(--($C$4:$C$75="B"),--(($D$4:$D$75=L16)+($E$4:$E$75=L16)&gt;0),--($F$4:$F$75=$G$4:$G$75),--($F$4:$F$75&lt;&gt;""),--($G$4:$G$75&lt;&gt;""))</f>
        <v>1</v>
      </c>
      <c r="O16" s="59" cm="1">
        <f t="array" ref="O16">SUMPRODUCT(--($C$4:$C$75="B"),--($D$4:$D$75=L16),--($F$4:$F$75&lt;$G$4:$G$75),--($F$4:$F$75&lt;&gt;""),--($G$4:$G$75&lt;&gt;""))+SUMPRODUCT(--($C$4:$C$75="B"),--($E$4:$E$75=L16),--($G$4:$G$75&lt;$F$4:$F$75),--($F$4:$F$75&lt;&gt;""),--($G$4:$G$75&lt;&gt;""))</f>
        <v>0</v>
      </c>
      <c r="P16" s="59" cm="1">
        <f t="array" ref="P16">SUMPRODUCT(--($C$4:$C$75="B"),--($D$4:$D$75=L16),$F$4:$F$75,--($F$4:$F$75&lt;&gt;""),--($G$4:$G$75&lt;&gt;""))+SUMPRODUCT(--($C$4:$C$75="B"),--($E$4:$E$75=L16),$G$4:$G$75,--($F$4:$F$75&lt;&gt;""),--($G$4:$G$75&lt;&gt;""))</f>
        <v>5</v>
      </c>
      <c r="Q16" s="59" cm="1">
        <f t="array" ref="Q16">SUMPRODUCT(--($C$4:$C$75="B"),--($D$4:$D$75=L16),$G$4:$G$75,--($F$4:$F$75&lt;&gt;""),--($G$4:$G$75&lt;&gt;""))+SUMPRODUCT(--($C$4:$C$75="B"),--($E$4:$E$75=L16),$F$4:$F$75,--($F$4:$F$75&lt;&gt;""),--($G$4:$G$75&lt;&gt;""))</f>
        <v>2</v>
      </c>
      <c r="R16" s="60">
        <f t="shared" si="6"/>
        <v>3</v>
      </c>
      <c r="S16" s="60">
        <f t="shared" si="7"/>
        <v>7</v>
      </c>
      <c r="T16" s="71">
        <f t="shared" si="8"/>
        <v>703005</v>
      </c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:40">
      <c r="A17" s="12">
        <v>14</v>
      </c>
      <c r="B17" s="39" t="s">
        <v>50</v>
      </c>
      <c r="C17" s="39" t="s">
        <v>92</v>
      </c>
      <c r="D17" s="39" t="s">
        <v>90</v>
      </c>
      <c r="E17" s="39" t="s">
        <v>94</v>
      </c>
      <c r="F17" s="13">
        <v>0</v>
      </c>
      <c r="G17" s="13">
        <v>2</v>
      </c>
      <c r="H17" s="40" t="str">
        <f t="shared" si="0"/>
        <v>2</v>
      </c>
      <c r="I17" s="40">
        <f>IF(OR(F17="",G17="",'📊 Resultat &amp; Tabell'!K18="",'📊 Resultat &amp; Tabell'!L18=""),"",IF(F17='📊 Resultat &amp; Tabell'!K18,2,0)+IF(G17='📊 Resultat &amp; Tabell'!L18,2,0))</f>
        <v>2</v>
      </c>
      <c r="J17" s="40">
        <f>IF(OR(H17="",'📊 Resultat &amp; Tabell'!M18=""),"",IF(H17='📊 Resultat &amp; Tabell'!M18,2,0))</f>
        <v>2</v>
      </c>
      <c r="K17" s="40">
        <f t="shared" si="1"/>
        <v>4</v>
      </c>
      <c r="L17" s="67" t="s">
        <v>269</v>
      </c>
      <c r="M17" s="59"/>
      <c r="N17" s="59"/>
      <c r="O17" s="59"/>
      <c r="P17" s="59"/>
      <c r="Q17" s="59"/>
      <c r="R17" s="60"/>
      <c r="S17" s="60"/>
      <c r="T17" s="7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:40">
      <c r="A18" s="15">
        <v>15</v>
      </c>
      <c r="B18" s="38" t="s">
        <v>50</v>
      </c>
      <c r="C18" s="38" t="s">
        <v>92</v>
      </c>
      <c r="D18" s="38" t="s">
        <v>94</v>
      </c>
      <c r="E18" s="38" t="s">
        <v>87</v>
      </c>
      <c r="F18" s="13">
        <v>1</v>
      </c>
      <c r="G18" s="13">
        <v>0</v>
      </c>
      <c r="H18" s="40" t="str">
        <f t="shared" si="0"/>
        <v>1</v>
      </c>
      <c r="I18" s="40">
        <f>IF(OR(F18="",G18="",'📊 Resultat &amp; Tabell'!K19="",'📊 Resultat &amp; Tabell'!L19=""),"",IF(F18='📊 Resultat &amp; Tabell'!K19,2,0)+IF(G18='📊 Resultat &amp; Tabell'!L19,2,0))</f>
        <v>0</v>
      </c>
      <c r="J18" s="40">
        <f>IF(OR(H18="",'📊 Resultat &amp; Tabell'!M19=""),"",IF(H18='📊 Resultat &amp; Tabell'!M19,2,0))</f>
        <v>0</v>
      </c>
      <c r="K18" s="40">
        <f t="shared" si="1"/>
        <v>0</v>
      </c>
      <c r="L18" s="64" t="s">
        <v>82</v>
      </c>
      <c r="M18" s="53" t="s">
        <v>269</v>
      </c>
      <c r="N18" s="53" t="s">
        <v>269</v>
      </c>
      <c r="O18" s="53" t="s">
        <v>269</v>
      </c>
      <c r="P18" s="53" t="s">
        <v>269</v>
      </c>
      <c r="Q18" s="53" t="s">
        <v>269</v>
      </c>
      <c r="R18" s="54" t="s">
        <v>269</v>
      </c>
      <c r="S18" s="54" t="s">
        <v>269</v>
      </c>
      <c r="T18" s="69" t="s">
        <v>269</v>
      </c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:40" ht="12.75" customHeight="1">
      <c r="A19" s="12">
        <v>16</v>
      </c>
      <c r="B19" s="39" t="s">
        <v>50</v>
      </c>
      <c r="C19" s="39" t="s">
        <v>92</v>
      </c>
      <c r="D19" s="39" t="s">
        <v>85</v>
      </c>
      <c r="E19" s="39" t="s">
        <v>90</v>
      </c>
      <c r="F19" s="13">
        <v>3</v>
      </c>
      <c r="G19" s="13">
        <v>0</v>
      </c>
      <c r="H19" s="40" t="str">
        <f t="shared" si="0"/>
        <v>1</v>
      </c>
      <c r="I19" s="40">
        <f>IF(OR(F19="",G19="",'📊 Resultat &amp; Tabell'!K20="",'📊 Resultat &amp; Tabell'!L20=""),"",IF(F19='📊 Resultat &amp; Tabell'!K20,2,0)+IF(G19='📊 Resultat &amp; Tabell'!L20,2,0))</f>
        <v>4</v>
      </c>
      <c r="J19" s="40">
        <f>IF(OR(H19="",'📊 Resultat &amp; Tabell'!M20=""),"",IF(H19='📊 Resultat &amp; Tabell'!M20,2,0))</f>
        <v>2</v>
      </c>
      <c r="K19" s="40">
        <f t="shared" si="1"/>
        <v>6</v>
      </c>
      <c r="L19" s="65" t="s">
        <v>53</v>
      </c>
      <c r="M19" s="55" t="s">
        <v>54</v>
      </c>
      <c r="N19" s="55" t="s">
        <v>55</v>
      </c>
      <c r="O19" s="55" t="s">
        <v>56</v>
      </c>
      <c r="P19" s="55" t="s">
        <v>57</v>
      </c>
      <c r="Q19" s="55" t="s">
        <v>58</v>
      </c>
      <c r="R19" s="56" t="s">
        <v>59</v>
      </c>
      <c r="S19" s="57" t="s">
        <v>60</v>
      </c>
      <c r="T19" s="70" t="s">
        <v>289</v>
      </c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0">
      <c r="A20" s="15">
        <v>17</v>
      </c>
      <c r="B20" s="38" t="s">
        <v>50</v>
      </c>
      <c r="C20" s="38" t="s">
        <v>92</v>
      </c>
      <c r="D20" s="38" t="s">
        <v>94</v>
      </c>
      <c r="E20" s="38" t="s">
        <v>85</v>
      </c>
      <c r="F20" s="13">
        <v>1</v>
      </c>
      <c r="G20" s="13">
        <v>2</v>
      </c>
      <c r="H20" s="40" t="str">
        <f t="shared" si="0"/>
        <v>2</v>
      </c>
      <c r="I20" s="40">
        <f>IF(OR(F20="",G20="",'📊 Resultat &amp; Tabell'!K21="",'📊 Resultat &amp; Tabell'!L21=""),"",IF(F20='📊 Resultat &amp; Tabell'!K21,2,0)+IF(G20='📊 Resultat &amp; Tabell'!L21,2,0))</f>
        <v>0</v>
      </c>
      <c r="J20" s="40">
        <f>IF(OR(H20="",'📊 Resultat &amp; Tabell'!M21=""),"",IF(H20='📊 Resultat &amp; Tabell'!M21,2,0))</f>
        <v>2</v>
      </c>
      <c r="K20" s="40">
        <f t="shared" si="1"/>
        <v>2</v>
      </c>
      <c r="L20" s="66" t="s">
        <v>85</v>
      </c>
      <c r="M20" s="59" cm="1">
        <f t="array" ref="M20">SUMPRODUCT(--($C$4:$C$75="C"),--($D$4:$D$75=L20),--($F$4:$F$75&gt;$G$4:$G$75),--($F$4:$F$75&lt;&gt;""),--($G$4:$G$75&lt;&gt;""))+SUMPRODUCT(--($C$4:$C$75="C"),--($E$4:$E$75=L20),--($G$4:$G$75&gt;$F$4:$F$75),--($F$4:$F$75&lt;&gt;""),--($G$4:$G$75&lt;&gt;""))</f>
        <v>3</v>
      </c>
      <c r="N20" s="59" cm="1">
        <f t="array" ref="N20">SUMPRODUCT(--($C$4:$C$75="C"),--(($D$4:$D$75=L20)+($E$4:$E$75=L20)&gt;0),--($F$4:$F$75=$G$4:$G$75),--($F$4:$F$75&lt;&gt;""),--($G$4:$G$75&lt;&gt;""))</f>
        <v>0</v>
      </c>
      <c r="O20" s="59" cm="1">
        <f t="array" ref="O20">SUMPRODUCT(--($C$4:$C$75="C"),--($D$4:$D$75=L20),--($F$4:$F$75&lt;$G$4:$G$75),--($F$4:$F$75&lt;&gt;""),--($G$4:$G$75&lt;&gt;""))+SUMPRODUCT(--($C$4:$C$75="C"),--($E$4:$E$75=L20),--($G$4:$G$75&lt;$F$4:$F$75),--($F$4:$F$75&lt;&gt;""),--($G$4:$G$75&lt;&gt;""))</f>
        <v>0</v>
      </c>
      <c r="P20" s="59" cm="1">
        <f t="array" ref="P20">SUMPRODUCT(--($C$4:$C$75="C"),--($D$4:$D$75=L20),$F$4:$F$75,--($F$4:$F$75&lt;&gt;""),--($G$4:$G$75&lt;&gt;""))+SUMPRODUCT(--($C$4:$C$75="C"),--($E$4:$E$75=L20),$G$4:$G$75,--($F$4:$F$75&lt;&gt;""),--($G$4:$G$75&lt;&gt;""))</f>
        <v>8</v>
      </c>
      <c r="Q20" s="59" cm="1">
        <f t="array" ref="Q20">SUMPRODUCT(--($C$4:$C$75="C"),--($D$4:$D$75=L20),$G$4:$G$75,--($F$4:$F$75&lt;&gt;""),--($G$4:$G$75&lt;&gt;""))+SUMPRODUCT(--($C$4:$C$75="C"),--($E$4:$E$75=L20),$F$4:$F$75,--($F$4:$F$75&lt;&gt;""),--($G$4:$G$75&lt;&gt;""))</f>
        <v>2</v>
      </c>
      <c r="R20" s="60">
        <f t="shared" ref="R20:R23" si="9">P20-Q20</f>
        <v>6</v>
      </c>
      <c r="S20" s="60">
        <f t="shared" ref="S20:S23" si="10">M20*3+N20</f>
        <v>9</v>
      </c>
      <c r="T20" s="71">
        <f t="shared" ref="T20:T23" si="11">S20*100000+R20*1000+P20</f>
        <v>906008</v>
      </c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0">
      <c r="A21" s="12">
        <v>18</v>
      </c>
      <c r="B21" s="39" t="s">
        <v>50</v>
      </c>
      <c r="C21" s="39" t="s">
        <v>92</v>
      </c>
      <c r="D21" s="39" t="s">
        <v>87</v>
      </c>
      <c r="E21" s="39" t="s">
        <v>90</v>
      </c>
      <c r="F21" s="13">
        <v>2</v>
      </c>
      <c r="G21" s="13">
        <v>0</v>
      </c>
      <c r="H21" s="40" t="str">
        <f t="shared" si="0"/>
        <v>1</v>
      </c>
      <c r="I21" s="40">
        <f>IF(OR(F21="",G21="",'📊 Resultat &amp; Tabell'!K22="",'📊 Resultat &amp; Tabell'!L22=""),"",IF(F21='📊 Resultat &amp; Tabell'!K22,2,0)+IF(G21='📊 Resultat &amp; Tabell'!L22,2,0))</f>
        <v>0</v>
      </c>
      <c r="J21" s="40">
        <f>IF(OR(H21="",'📊 Resultat &amp; Tabell'!M22=""),"",IF(H21='📊 Resultat &amp; Tabell'!M22,2,0))</f>
        <v>2</v>
      </c>
      <c r="K21" s="40">
        <f t="shared" si="1"/>
        <v>2</v>
      </c>
      <c r="L21" s="66" t="s">
        <v>87</v>
      </c>
      <c r="M21" s="59" cm="1">
        <f t="array" ref="M21">SUMPRODUCT(--($C$4:$C$75="C"),--($D$4:$D$75=L21),--($F$4:$F$75&gt;$G$4:$G$75),--($F$4:$F$75&lt;&gt;""),--($G$4:$G$75&lt;&gt;""))+SUMPRODUCT(--($C$4:$C$75="C"),--($E$4:$E$75=L21),--($G$4:$G$75&gt;$F$4:$F$75),--($F$4:$F$75&lt;&gt;""),--($G$4:$G$75&lt;&gt;""))</f>
        <v>1</v>
      </c>
      <c r="N21" s="59" cm="1">
        <f t="array" ref="N21">SUMPRODUCT(--($C$4:$C$75="C"),--(($D$4:$D$75=L21)+($E$4:$E$75=L21)&gt;0),--($F$4:$F$75=$G$4:$G$75),--($F$4:$F$75&lt;&gt;""),--($G$4:$G$75&lt;&gt;""))</f>
        <v>0</v>
      </c>
      <c r="O21" s="59" cm="1">
        <f t="array" ref="O21">SUMPRODUCT(--($C$4:$C$75="C"),--($D$4:$D$75=L21),--($F$4:$F$75&lt;$G$4:$G$75),--($F$4:$F$75&lt;&gt;""),--($G$4:$G$75&lt;&gt;""))+SUMPRODUCT(--($C$4:$C$75="C"),--($E$4:$E$75=L21),--($G$4:$G$75&lt;$F$4:$F$75),--($F$4:$F$75&lt;&gt;""),--($G$4:$G$75&lt;&gt;""))</f>
        <v>2</v>
      </c>
      <c r="P21" s="59" cm="1">
        <f t="array" ref="P21">SUMPRODUCT(--($C$4:$C$75="C"),--($D$4:$D$75=L21),$F$4:$F$75,--($F$4:$F$75&lt;&gt;""),--($G$4:$G$75&lt;&gt;""))+SUMPRODUCT(--($C$4:$C$75="C"),--($E$4:$E$75=L21),$G$4:$G$75,--($F$4:$F$75&lt;&gt;""),--($G$4:$G$75&lt;&gt;""))</f>
        <v>3</v>
      </c>
      <c r="Q21" s="59" cm="1">
        <f t="array" ref="Q21">SUMPRODUCT(--($C$4:$C$75="C"),--($D$4:$D$75=L21),$G$4:$G$75,--($F$4:$F$75&lt;&gt;""),--($G$4:$G$75&lt;&gt;""))+SUMPRODUCT(--($C$4:$C$75="C"),--($E$4:$E$75=L21),$F$4:$F$75,--($F$4:$F$75&lt;&gt;""),--($G$4:$G$75&lt;&gt;""))</f>
        <v>4</v>
      </c>
      <c r="R21" s="60">
        <f t="shared" si="9"/>
        <v>-1</v>
      </c>
      <c r="S21" s="60">
        <f t="shared" si="10"/>
        <v>3</v>
      </c>
      <c r="T21" s="71">
        <f t="shared" si="11"/>
        <v>299003</v>
      </c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40">
      <c r="A22" s="15">
        <v>19</v>
      </c>
      <c r="B22" s="38" t="s">
        <v>50</v>
      </c>
      <c r="C22" s="38" t="s">
        <v>107</v>
      </c>
      <c r="D22" s="38" t="s">
        <v>98</v>
      </c>
      <c r="E22" s="38" t="s">
        <v>101</v>
      </c>
      <c r="F22" s="13">
        <v>2</v>
      </c>
      <c r="G22" s="13">
        <v>1</v>
      </c>
      <c r="H22" s="40" t="str">
        <f t="shared" si="0"/>
        <v>1</v>
      </c>
      <c r="I22" s="40">
        <f>IF(OR(F22="",G22="",'📊 Resultat &amp; Tabell'!K23="",'📊 Resultat &amp; Tabell'!L23=""),"",IF(F22='📊 Resultat &amp; Tabell'!K23,2,0)+IF(G22='📊 Resultat &amp; Tabell'!L23,2,0))</f>
        <v>2</v>
      </c>
      <c r="J22" s="40">
        <f>IF(OR(H22="",'📊 Resultat &amp; Tabell'!M23=""),"",IF(H22='📊 Resultat &amp; Tabell'!M23,2,0))</f>
        <v>2</v>
      </c>
      <c r="K22" s="40">
        <f t="shared" si="1"/>
        <v>4</v>
      </c>
      <c r="L22" s="66" t="s">
        <v>90</v>
      </c>
      <c r="M22" s="59" cm="1">
        <f t="array" ref="M22">SUMPRODUCT(--($C$4:$C$75="C"),--($D$4:$D$75=L22),--($F$4:$F$75&gt;$G$4:$G$75),--($F$4:$F$75&lt;&gt;""),--($G$4:$G$75&lt;&gt;""))+SUMPRODUCT(--($C$4:$C$75="C"),--($E$4:$E$75=L22),--($G$4:$G$75&gt;$F$4:$F$75),--($F$4:$F$75&lt;&gt;""),--($G$4:$G$75&lt;&gt;""))</f>
        <v>0</v>
      </c>
      <c r="N22" s="59" cm="1">
        <f t="array" ref="N22">SUMPRODUCT(--($C$4:$C$75="C"),--(($D$4:$D$75=L22)+($E$4:$E$75=L22)&gt;0),--($F$4:$F$75=$G$4:$G$75),--($F$4:$F$75&lt;&gt;""),--($G$4:$G$75&lt;&gt;""))</f>
        <v>0</v>
      </c>
      <c r="O22" s="59" cm="1">
        <f t="array" ref="O22">SUMPRODUCT(--($C$4:$C$75="C"),--($D$4:$D$75=L22),--($F$4:$F$75&lt;$G$4:$G$75),--($F$4:$F$75&lt;&gt;""),--($G$4:$G$75&lt;&gt;""))+SUMPRODUCT(--($C$4:$C$75="C"),--($E$4:$E$75=L22),--($G$4:$G$75&lt;$F$4:$F$75),--($F$4:$F$75&lt;&gt;""),--($G$4:$G$75&lt;&gt;""))</f>
        <v>3</v>
      </c>
      <c r="P22" s="59" cm="1">
        <f t="array" ref="P22">SUMPRODUCT(--($C$4:$C$75="C"),--($D$4:$D$75=L22),$F$4:$F$75,--($F$4:$F$75&lt;&gt;""),--($G$4:$G$75&lt;&gt;""))+SUMPRODUCT(--($C$4:$C$75="C"),--($E$4:$E$75=L22),$G$4:$G$75,--($F$4:$F$75&lt;&gt;""),--($G$4:$G$75&lt;&gt;""))</f>
        <v>0</v>
      </c>
      <c r="Q22" s="59" cm="1">
        <f t="array" ref="Q22">SUMPRODUCT(--($C$4:$C$75="C"),--($D$4:$D$75=L22),$G$4:$G$75,--($F$4:$F$75&lt;&gt;""),--($G$4:$G$75&lt;&gt;""))+SUMPRODUCT(--($C$4:$C$75="C"),--($E$4:$E$75=L22),$F$4:$F$75,--($F$4:$F$75&lt;&gt;""),--($G$4:$G$75&lt;&gt;""))</f>
        <v>7</v>
      </c>
      <c r="R22" s="60">
        <f t="shared" si="9"/>
        <v>-7</v>
      </c>
      <c r="S22" s="60">
        <f t="shared" si="10"/>
        <v>0</v>
      </c>
      <c r="T22" s="71">
        <f t="shared" si="11"/>
        <v>-7000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:40">
      <c r="A23" s="12">
        <v>20</v>
      </c>
      <c r="B23" s="39" t="s">
        <v>50</v>
      </c>
      <c r="C23" s="39" t="s">
        <v>107</v>
      </c>
      <c r="D23" s="39" t="s">
        <v>104</v>
      </c>
      <c r="E23" s="39" t="s">
        <v>106</v>
      </c>
      <c r="F23" s="13">
        <v>1</v>
      </c>
      <c r="G23" s="13">
        <v>1</v>
      </c>
      <c r="H23" s="40" t="str">
        <f t="shared" si="0"/>
        <v>X</v>
      </c>
      <c r="I23" s="40">
        <f>IF(OR(F23="",G23="",'📊 Resultat &amp; Tabell'!K24="",'📊 Resultat &amp; Tabell'!L24=""),"",IF(F23='📊 Resultat &amp; Tabell'!K24,2,0)+IF(G23='📊 Resultat &amp; Tabell'!L24,2,0))</f>
        <v>0</v>
      </c>
      <c r="J23" s="40">
        <f>IF(OR(H23="",'📊 Resultat &amp; Tabell'!M24=""),"",IF(H23='📊 Resultat &amp; Tabell'!M24,2,0))</f>
        <v>0</v>
      </c>
      <c r="K23" s="40">
        <f t="shared" si="1"/>
        <v>0</v>
      </c>
      <c r="L23" s="66" t="s">
        <v>94</v>
      </c>
      <c r="M23" s="59" cm="1">
        <f t="array" ref="M23">SUMPRODUCT(--($C$4:$C$75="C"),--($D$4:$D$75=L23),--($F$4:$F$75&gt;$G$4:$G$75),--($F$4:$F$75&lt;&gt;""),--($G$4:$G$75&lt;&gt;""))+SUMPRODUCT(--($C$4:$C$75="C"),--($E$4:$E$75=L23),--($G$4:$G$75&gt;$F$4:$F$75),--($F$4:$F$75&lt;&gt;""),--($G$4:$G$75&lt;&gt;""))</f>
        <v>2</v>
      </c>
      <c r="N23" s="59" cm="1">
        <f t="array" ref="N23">SUMPRODUCT(--($C$4:$C$75="C"),--(($D$4:$D$75=L23)+($E$4:$E$75=L23)&gt;0),--($F$4:$F$75=$G$4:$G$75),--($F$4:$F$75&lt;&gt;""),--($G$4:$G$75&lt;&gt;""))</f>
        <v>0</v>
      </c>
      <c r="O23" s="59" cm="1">
        <f t="array" ref="O23">SUMPRODUCT(--($C$4:$C$75="C"),--($D$4:$D$75=L23),--($F$4:$F$75&lt;$G$4:$G$75),--($F$4:$F$75&lt;&gt;""),--($G$4:$G$75&lt;&gt;""))+SUMPRODUCT(--($C$4:$C$75="C"),--($E$4:$E$75=L23),--($G$4:$G$75&lt;$F$4:$F$75),--($F$4:$F$75&lt;&gt;""),--($G$4:$G$75&lt;&gt;""))</f>
        <v>1</v>
      </c>
      <c r="P23" s="59" cm="1">
        <f t="array" ref="P23">SUMPRODUCT(--($C$4:$C$75="C"),--($D$4:$D$75=L23),$F$4:$F$75,--($F$4:$F$75&lt;&gt;""),--($G$4:$G$75&lt;&gt;""))+SUMPRODUCT(--($C$4:$C$75="C"),--($E$4:$E$75=L23),$G$4:$G$75,--($F$4:$F$75&lt;&gt;""),--($G$4:$G$75&lt;&gt;""))</f>
        <v>4</v>
      </c>
      <c r="Q23" s="59" cm="1">
        <f t="array" ref="Q23">SUMPRODUCT(--($C$4:$C$75="C"),--($D$4:$D$75=L23),$G$4:$G$75,--($F$4:$F$75&lt;&gt;""),--($G$4:$G$75&lt;&gt;""))+SUMPRODUCT(--($C$4:$C$75="C"),--($E$4:$E$75=L23),$F$4:$F$75,--($F$4:$F$75&lt;&gt;""),--($G$4:$G$75&lt;&gt;""))</f>
        <v>2</v>
      </c>
      <c r="R23" s="60">
        <f t="shared" si="9"/>
        <v>2</v>
      </c>
      <c r="S23" s="60">
        <f t="shared" si="10"/>
        <v>6</v>
      </c>
      <c r="T23" s="71">
        <f t="shared" si="11"/>
        <v>602004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:40">
      <c r="A24" s="15">
        <v>21</v>
      </c>
      <c r="B24" s="38" t="s">
        <v>50</v>
      </c>
      <c r="C24" s="38" t="s">
        <v>107</v>
      </c>
      <c r="D24" s="38" t="s">
        <v>106</v>
      </c>
      <c r="E24" s="38" t="s">
        <v>101</v>
      </c>
      <c r="F24" s="13">
        <v>1</v>
      </c>
      <c r="G24" s="13">
        <v>1</v>
      </c>
      <c r="H24" s="40" t="str">
        <f t="shared" si="0"/>
        <v>X</v>
      </c>
      <c r="I24" s="40">
        <f>IF(OR(F24="",G24="",'📊 Resultat &amp; Tabell'!K25="",'📊 Resultat &amp; Tabell'!L25=""),"",IF(F24='📊 Resultat &amp; Tabell'!K25,2,0)+IF(G24='📊 Resultat &amp; Tabell'!L25,2,0))</f>
        <v>2</v>
      </c>
      <c r="J24" s="40">
        <f>IF(OR(H24="",'📊 Resultat &amp; Tabell'!M25=""),"",IF(H24='📊 Resultat &amp; Tabell'!M25,2,0))</f>
        <v>0</v>
      </c>
      <c r="K24" s="40">
        <f t="shared" si="1"/>
        <v>2</v>
      </c>
      <c r="L24" s="67" t="s">
        <v>269</v>
      </c>
      <c r="M24" s="59"/>
      <c r="N24" s="59"/>
      <c r="O24" s="59"/>
      <c r="P24" s="59"/>
      <c r="Q24" s="59"/>
      <c r="R24" s="60"/>
      <c r="S24" s="60"/>
      <c r="T24" s="7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:40">
      <c r="A25" s="12">
        <v>22</v>
      </c>
      <c r="B25" s="39" t="s">
        <v>50</v>
      </c>
      <c r="C25" s="39" t="s">
        <v>107</v>
      </c>
      <c r="D25" s="39" t="s">
        <v>98</v>
      </c>
      <c r="E25" s="39" t="s">
        <v>104</v>
      </c>
      <c r="F25" s="13">
        <v>2</v>
      </c>
      <c r="G25" s="13">
        <v>1</v>
      </c>
      <c r="H25" s="40" t="str">
        <f t="shared" si="0"/>
        <v>1</v>
      </c>
      <c r="I25" s="40">
        <f>IF(OR(F25="",G25="",'📊 Resultat &amp; Tabell'!K26="",'📊 Resultat &amp; Tabell'!L26=""),"",IF(F25='📊 Resultat &amp; Tabell'!K26,2,0)+IF(G25='📊 Resultat &amp; Tabell'!L26,2,0))</f>
        <v>2</v>
      </c>
      <c r="J25" s="40">
        <f>IF(OR(H25="",'📊 Resultat &amp; Tabell'!M26=""),"",IF(H25='📊 Resultat &amp; Tabell'!M26,2,0))</f>
        <v>2</v>
      </c>
      <c r="K25" s="40">
        <f t="shared" si="1"/>
        <v>4</v>
      </c>
      <c r="L25" s="64" t="s">
        <v>96</v>
      </c>
      <c r="M25" s="53" t="s">
        <v>269</v>
      </c>
      <c r="N25" s="53" t="s">
        <v>269</v>
      </c>
      <c r="O25" s="53" t="s">
        <v>269</v>
      </c>
      <c r="P25" s="53" t="s">
        <v>269</v>
      </c>
      <c r="Q25" s="53" t="s">
        <v>269</v>
      </c>
      <c r="R25" s="54" t="s">
        <v>269</v>
      </c>
      <c r="S25" s="54" t="s">
        <v>269</v>
      </c>
      <c r="T25" s="69" t="s">
        <v>269</v>
      </c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:40" ht="13.5" customHeight="1">
      <c r="A26" s="15">
        <v>23</v>
      </c>
      <c r="B26" s="38" t="s">
        <v>50</v>
      </c>
      <c r="C26" s="38" t="s">
        <v>107</v>
      </c>
      <c r="D26" s="38" t="s">
        <v>106</v>
      </c>
      <c r="E26" s="38" t="s">
        <v>98</v>
      </c>
      <c r="F26" s="13">
        <v>1</v>
      </c>
      <c r="G26" s="13">
        <v>1</v>
      </c>
      <c r="H26" s="40" t="str">
        <f t="shared" si="0"/>
        <v>X</v>
      </c>
      <c r="I26" s="40">
        <f>IF(OR(F26="",G26="",'📊 Resultat &amp; Tabell'!K27="",'📊 Resultat &amp; Tabell'!L27=""),"",IF(F26='📊 Resultat &amp; Tabell'!K27,2,0)+IF(G26='📊 Resultat &amp; Tabell'!L27,2,0))</f>
        <v>0</v>
      </c>
      <c r="J26" s="40">
        <f>IF(OR(H26="",'📊 Resultat &amp; Tabell'!M27=""),"",IF(H26='📊 Resultat &amp; Tabell'!M27,2,0))</f>
        <v>0</v>
      </c>
      <c r="K26" s="40">
        <f t="shared" si="1"/>
        <v>0</v>
      </c>
      <c r="L26" s="65" t="s">
        <v>53</v>
      </c>
      <c r="M26" s="55" t="s">
        <v>54</v>
      </c>
      <c r="N26" s="55" t="s">
        <v>55</v>
      </c>
      <c r="O26" s="55" t="s">
        <v>56</v>
      </c>
      <c r="P26" s="55" t="s">
        <v>57</v>
      </c>
      <c r="Q26" s="55" t="s">
        <v>58</v>
      </c>
      <c r="R26" s="56" t="s">
        <v>59</v>
      </c>
      <c r="S26" s="57" t="s">
        <v>60</v>
      </c>
      <c r="T26" s="70" t="s">
        <v>289</v>
      </c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:40">
      <c r="A27" s="12">
        <v>24</v>
      </c>
      <c r="B27" s="39" t="s">
        <v>50</v>
      </c>
      <c r="C27" s="39" t="s">
        <v>107</v>
      </c>
      <c r="D27" s="39" t="s">
        <v>101</v>
      </c>
      <c r="E27" s="39" t="s">
        <v>104</v>
      </c>
      <c r="F27" s="13">
        <v>0</v>
      </c>
      <c r="G27" s="13">
        <v>1</v>
      </c>
      <c r="H27" s="40" t="str">
        <f t="shared" si="0"/>
        <v>2</v>
      </c>
      <c r="I27" s="40">
        <f>IF(OR(F27="",G27="",'📊 Resultat &amp; Tabell'!K28="",'📊 Resultat &amp; Tabell'!L28=""),"",IF(F27='📊 Resultat &amp; Tabell'!K28,2,0)+IF(G27='📊 Resultat &amp; Tabell'!L28,2,0))</f>
        <v>2</v>
      </c>
      <c r="J27" s="40">
        <f>IF(OR(H27="",'📊 Resultat &amp; Tabell'!M28=""),"",IF(H27='📊 Resultat &amp; Tabell'!M28,2,0))</f>
        <v>0</v>
      </c>
      <c r="K27" s="40">
        <f t="shared" si="1"/>
        <v>2</v>
      </c>
      <c r="L27" s="66" t="s">
        <v>98</v>
      </c>
      <c r="M27" s="59" cm="1">
        <f t="array" ref="M27">SUMPRODUCT(--($C$4:$C$75="D"),--($D$4:$D$75=L27),--($F$4:$F$75&gt;$G$4:$G$75),--($F$4:$F$75&lt;&gt;""),--($G$4:$G$75&lt;&gt;""))+SUMPRODUCT(--($C$4:$C$75="D"),--($E$4:$E$75=L27),--($G$4:$G$75&gt;$F$4:$F$75),--($F$4:$F$75&lt;&gt;""),--($G$4:$G$75&lt;&gt;""))</f>
        <v>2</v>
      </c>
      <c r="N27" s="59" cm="1">
        <f t="array" ref="N27">SUMPRODUCT(--($C$4:$C$75="D"),--(($D$4:$D$75=L27)+($E$4:$E$75=L27)&gt;0),--($F$4:$F$75=$G$4:$G$75),--($F$4:$F$75&lt;&gt;""),--($G$4:$G$75&lt;&gt;""))</f>
        <v>1</v>
      </c>
      <c r="O27" s="59" cm="1">
        <f t="array" ref="O27">SUMPRODUCT(--($C$4:$C$75="D"),--($D$4:$D$75=L27),--($F$4:$F$75&lt;$G$4:$G$75),--($F$4:$F$75&lt;&gt;""),--($G$4:$G$75&lt;&gt;""))+SUMPRODUCT(--($C$4:$C$75="D"),--($E$4:$E$75=L27),--($G$4:$G$75&lt;$F$4:$F$75),--($F$4:$F$75&lt;&gt;""),--($G$4:$G$75&lt;&gt;""))</f>
        <v>0</v>
      </c>
      <c r="P27" s="59" cm="1">
        <f t="array" ref="P27">SUMPRODUCT(--($C$4:$C$75="D"),--($D$4:$D$75=L27),$F$4:$F$75,--($F$4:$F$75&lt;&gt;""),--($G$4:$G$75&lt;&gt;""))+SUMPRODUCT(--($C$4:$C$75="D"),--($E$4:$E$75=L27),$G$4:$G$75,--($F$4:$F$75&lt;&gt;""),--($G$4:$G$75&lt;&gt;""))</f>
        <v>5</v>
      </c>
      <c r="Q27" s="59" cm="1">
        <f t="array" ref="Q27">SUMPRODUCT(--($C$4:$C$75="D"),--($D$4:$D$75=L27),$G$4:$G$75,--($F$4:$F$75&lt;&gt;""),--($G$4:$G$75&lt;&gt;""))+SUMPRODUCT(--($C$4:$C$75="D"),--($E$4:$E$75=L27),$F$4:$F$75,--($F$4:$F$75&lt;&gt;""),--($G$4:$G$75&lt;&gt;""))</f>
        <v>3</v>
      </c>
      <c r="R27" s="60">
        <f t="shared" ref="R27:R30" si="12">P27-Q27</f>
        <v>2</v>
      </c>
      <c r="S27" s="60">
        <f t="shared" ref="S27:S30" si="13">M27*3+N27</f>
        <v>7</v>
      </c>
      <c r="T27" s="71">
        <f t="shared" ref="T27:T30" si="14">S27*100000+R27*1000+P27</f>
        <v>702005</v>
      </c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0">
      <c r="A28" s="15">
        <v>25</v>
      </c>
      <c r="B28" s="38" t="s">
        <v>50</v>
      </c>
      <c r="C28" s="38" t="s">
        <v>119</v>
      </c>
      <c r="D28" s="38" t="s">
        <v>110</v>
      </c>
      <c r="E28" s="38" t="s">
        <v>112</v>
      </c>
      <c r="F28" s="13">
        <v>4</v>
      </c>
      <c r="G28" s="13">
        <v>0</v>
      </c>
      <c r="H28" s="40" t="str">
        <f t="shared" si="0"/>
        <v>1</v>
      </c>
      <c r="I28" s="40">
        <f>IF(OR(F28="",G28="",'📊 Resultat &amp; Tabell'!K29="",'📊 Resultat &amp; Tabell'!L29=""),"",IF(F28='📊 Resultat &amp; Tabell'!K29,2,0)+IF(G28='📊 Resultat &amp; Tabell'!L29,2,0))</f>
        <v>0</v>
      </c>
      <c r="J28" s="40">
        <f>IF(OR(H28="",'📊 Resultat &amp; Tabell'!M29=""),"",IF(H28='📊 Resultat &amp; Tabell'!M29,2,0))</f>
        <v>2</v>
      </c>
      <c r="K28" s="40">
        <f t="shared" si="1"/>
        <v>2</v>
      </c>
      <c r="L28" s="66" t="s">
        <v>101</v>
      </c>
      <c r="M28" s="59" cm="1">
        <f t="array" ref="M28">SUMPRODUCT(--($C$4:$C$75="D"),--($D$4:$D$75=L28),--($F$4:$F$75&gt;$G$4:$G$75),--($F$4:$F$75&lt;&gt;""),--($G$4:$G$75&lt;&gt;""))+SUMPRODUCT(--($C$4:$C$75="D"),--($E$4:$E$75=L28),--($G$4:$G$75&gt;$F$4:$F$75),--($F$4:$F$75&lt;&gt;""),--($G$4:$G$75&lt;&gt;""))</f>
        <v>0</v>
      </c>
      <c r="N28" s="59" cm="1">
        <f t="array" ref="N28">SUMPRODUCT(--($C$4:$C$75="D"),--(($D$4:$D$75=L28)+($E$4:$E$75=L28)&gt;0),--($F$4:$F$75=$G$4:$G$75),--($F$4:$F$75&lt;&gt;""),--($G$4:$G$75&lt;&gt;""))</f>
        <v>1</v>
      </c>
      <c r="O28" s="59" cm="1">
        <f t="array" ref="O28">SUMPRODUCT(--($C$4:$C$75="D"),--($D$4:$D$75=L28),--($F$4:$F$75&lt;$G$4:$G$75),--($F$4:$F$75&lt;&gt;""),--($G$4:$G$75&lt;&gt;""))+SUMPRODUCT(--($C$4:$C$75="D"),--($E$4:$E$75=L28),--($G$4:$G$75&lt;$F$4:$F$75),--($F$4:$F$75&lt;&gt;""),--($G$4:$G$75&lt;&gt;""))</f>
        <v>2</v>
      </c>
      <c r="P28" s="59" cm="1">
        <f t="array" ref="P28">SUMPRODUCT(--($C$4:$C$75="D"),--($D$4:$D$75=L28),$F$4:$F$75,--($F$4:$F$75&lt;&gt;""),--($G$4:$G$75&lt;&gt;""))+SUMPRODUCT(--($C$4:$C$75="D"),--($E$4:$E$75=L28),$G$4:$G$75,--($F$4:$F$75&lt;&gt;""),--($G$4:$G$75&lt;&gt;""))</f>
        <v>2</v>
      </c>
      <c r="Q28" s="59" cm="1">
        <f t="array" ref="Q28">SUMPRODUCT(--($C$4:$C$75="D"),--($D$4:$D$75=L28),$G$4:$G$75,--($F$4:$F$75&lt;&gt;""),--($G$4:$G$75&lt;&gt;""))+SUMPRODUCT(--($C$4:$C$75="D"),--($E$4:$E$75=L28),$F$4:$F$75,--($F$4:$F$75&lt;&gt;""),--($G$4:$G$75&lt;&gt;""))</f>
        <v>4</v>
      </c>
      <c r="R28" s="60">
        <f t="shared" si="12"/>
        <v>-2</v>
      </c>
      <c r="S28" s="60">
        <f t="shared" si="13"/>
        <v>1</v>
      </c>
      <c r="T28" s="71">
        <f t="shared" si="14"/>
        <v>98002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0">
      <c r="A29" s="12">
        <v>26</v>
      </c>
      <c r="B29" s="39" t="s">
        <v>50</v>
      </c>
      <c r="C29" s="39" t="s">
        <v>119</v>
      </c>
      <c r="D29" s="39" t="s">
        <v>114</v>
      </c>
      <c r="E29" s="39" t="s">
        <v>116</v>
      </c>
      <c r="F29" s="13">
        <v>1</v>
      </c>
      <c r="G29" s="13">
        <v>1</v>
      </c>
      <c r="H29" s="40" t="str">
        <f t="shared" si="0"/>
        <v>X</v>
      </c>
      <c r="I29" s="40">
        <f>IF(OR(F29="",G29="",'📊 Resultat &amp; Tabell'!K30="",'📊 Resultat &amp; Tabell'!L30=""),"",IF(F29='📊 Resultat &amp; Tabell'!K30,2,0)+IF(G29='📊 Resultat &amp; Tabell'!L30,2,0))</f>
        <v>2</v>
      </c>
      <c r="J29" s="40">
        <f>IF(OR(H29="",'📊 Resultat &amp; Tabell'!M30=""),"",IF(H29='📊 Resultat &amp; Tabell'!M30,2,0))</f>
        <v>0</v>
      </c>
      <c r="K29" s="40">
        <f t="shared" si="1"/>
        <v>2</v>
      </c>
      <c r="L29" s="66" t="s">
        <v>104</v>
      </c>
      <c r="M29" s="59" cm="1">
        <f t="array" ref="M29">SUMPRODUCT(--($C$4:$C$75="D"),--($D$4:$D$75=L29),--($F$4:$F$75&gt;$G$4:$G$75),--($F$4:$F$75&lt;&gt;""),--($G$4:$G$75&lt;&gt;""))+SUMPRODUCT(--($C$4:$C$75="D"),--($E$4:$E$75=L29),--($G$4:$G$75&gt;$F$4:$F$75),--($F$4:$F$75&lt;&gt;""),--($G$4:$G$75&lt;&gt;""))</f>
        <v>1</v>
      </c>
      <c r="N29" s="59" cm="1">
        <f t="array" ref="N29">SUMPRODUCT(--($C$4:$C$75="D"),--(($D$4:$D$75=L29)+($E$4:$E$75=L29)&gt;0),--($F$4:$F$75=$G$4:$G$75),--($F$4:$F$75&lt;&gt;""),--($G$4:$G$75&lt;&gt;""))</f>
        <v>1</v>
      </c>
      <c r="O29" s="59" cm="1">
        <f t="array" ref="O29">SUMPRODUCT(--($C$4:$C$75="D"),--($D$4:$D$75=L29),--($F$4:$F$75&lt;$G$4:$G$75),--($F$4:$F$75&lt;&gt;""),--($G$4:$G$75&lt;&gt;""))+SUMPRODUCT(--($C$4:$C$75="D"),--($E$4:$E$75=L29),--($G$4:$G$75&lt;$F$4:$F$75),--($F$4:$F$75&lt;&gt;""),--($G$4:$G$75&lt;&gt;""))</f>
        <v>1</v>
      </c>
      <c r="P29" s="59" cm="1">
        <f t="array" ref="P29">SUMPRODUCT(--($C$4:$C$75="D"),--($D$4:$D$75=L29),$F$4:$F$75,--($F$4:$F$75&lt;&gt;""),--($G$4:$G$75&lt;&gt;""))+SUMPRODUCT(--($C$4:$C$75="D"),--($E$4:$E$75=L29),$G$4:$G$75,--($F$4:$F$75&lt;&gt;""),--($G$4:$G$75&lt;&gt;""))</f>
        <v>3</v>
      </c>
      <c r="Q29" s="59" cm="1">
        <f t="array" ref="Q29">SUMPRODUCT(--($C$4:$C$75="D"),--($D$4:$D$75=L29),$G$4:$G$75,--($F$4:$F$75&lt;&gt;""),--($G$4:$G$75&lt;&gt;""))+SUMPRODUCT(--($C$4:$C$75="D"),--($E$4:$E$75=L29),$F$4:$F$75,--($F$4:$F$75&lt;&gt;""),--($G$4:$G$75&lt;&gt;""))</f>
        <v>3</v>
      </c>
      <c r="R29" s="60">
        <f t="shared" si="12"/>
        <v>0</v>
      </c>
      <c r="S29" s="60">
        <f t="shared" si="13"/>
        <v>4</v>
      </c>
      <c r="T29" s="71">
        <f t="shared" si="14"/>
        <v>400003</v>
      </c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0">
      <c r="A30" s="15">
        <v>27</v>
      </c>
      <c r="B30" s="38" t="s">
        <v>50</v>
      </c>
      <c r="C30" s="38" t="s">
        <v>119</v>
      </c>
      <c r="D30" s="38" t="s">
        <v>116</v>
      </c>
      <c r="E30" s="38" t="s">
        <v>112</v>
      </c>
      <c r="F30" s="13">
        <v>2</v>
      </c>
      <c r="G30" s="13">
        <v>0</v>
      </c>
      <c r="H30" s="40" t="str">
        <f t="shared" si="0"/>
        <v>1</v>
      </c>
      <c r="I30" s="40">
        <f>IF(OR(F30="",G30="",'📊 Resultat &amp; Tabell'!K31="",'📊 Resultat &amp; Tabell'!L31=""),"",IF(F30='📊 Resultat &amp; Tabell'!K31,2,0)+IF(G30='📊 Resultat &amp; Tabell'!L31,2,0))</f>
        <v>2</v>
      </c>
      <c r="J30" s="40">
        <f>IF(OR(H30="",'📊 Resultat &amp; Tabell'!M31=""),"",IF(H30='📊 Resultat &amp; Tabell'!M31,2,0))</f>
        <v>0</v>
      </c>
      <c r="K30" s="40">
        <f t="shared" si="1"/>
        <v>2</v>
      </c>
      <c r="L30" s="66" t="s">
        <v>106</v>
      </c>
      <c r="M30" s="59" cm="1">
        <f t="array" ref="M30">SUMPRODUCT(--($C$4:$C$75="D"),--($D$4:$D$75=L30),--($F$4:$F$75&gt;$G$4:$G$75),--($F$4:$F$75&lt;&gt;""),--($G$4:$G$75&lt;&gt;""))+SUMPRODUCT(--($C$4:$C$75="D"),--($E$4:$E$75=L30),--($G$4:$G$75&gt;$F$4:$F$75),--($F$4:$F$75&lt;&gt;""),--($G$4:$G$75&lt;&gt;""))</f>
        <v>0</v>
      </c>
      <c r="N30" s="59" cm="1">
        <f t="array" ref="N30">SUMPRODUCT(--($C$4:$C$75="D"),--(($D$4:$D$75=L30)+($E$4:$E$75=L30)&gt;0),--($F$4:$F$75=$G$4:$G$75),--($F$4:$F$75&lt;&gt;""),--($G$4:$G$75&lt;&gt;""))</f>
        <v>3</v>
      </c>
      <c r="O30" s="59" cm="1">
        <f t="array" ref="O30">SUMPRODUCT(--($C$4:$C$75="D"),--($D$4:$D$75=L30),--($F$4:$F$75&lt;$G$4:$G$75),--($F$4:$F$75&lt;&gt;""),--($G$4:$G$75&lt;&gt;""))+SUMPRODUCT(--($C$4:$C$75="D"),--($E$4:$E$75=L30),--($G$4:$G$75&lt;$F$4:$F$75),--($F$4:$F$75&lt;&gt;""),--($G$4:$G$75&lt;&gt;""))</f>
        <v>0</v>
      </c>
      <c r="P30" s="59" cm="1">
        <f t="array" ref="P30">SUMPRODUCT(--($C$4:$C$75="D"),--($D$4:$D$75=L30),$F$4:$F$75,--($F$4:$F$75&lt;&gt;""),--($G$4:$G$75&lt;&gt;""))+SUMPRODUCT(--($C$4:$C$75="D"),--($E$4:$E$75=L30),$G$4:$G$75,--($F$4:$F$75&lt;&gt;""),--($G$4:$G$75&lt;&gt;""))</f>
        <v>3</v>
      </c>
      <c r="Q30" s="59" cm="1">
        <f t="array" ref="Q30">SUMPRODUCT(--($C$4:$C$75="D"),--($D$4:$D$75=L30),$G$4:$G$75,--($F$4:$F$75&lt;&gt;""),--($G$4:$G$75&lt;&gt;""))+SUMPRODUCT(--($C$4:$C$75="D"),--($E$4:$E$75=L30),$F$4:$F$75,--($F$4:$F$75&lt;&gt;""),--($G$4:$G$75&lt;&gt;""))</f>
        <v>3</v>
      </c>
      <c r="R30" s="60">
        <f t="shared" si="12"/>
        <v>0</v>
      </c>
      <c r="S30" s="60">
        <f t="shared" si="13"/>
        <v>3</v>
      </c>
      <c r="T30" s="71">
        <f t="shared" si="14"/>
        <v>300003</v>
      </c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0">
      <c r="A31" s="12">
        <v>28</v>
      </c>
      <c r="B31" s="39" t="s">
        <v>50</v>
      </c>
      <c r="C31" s="39" t="s">
        <v>119</v>
      </c>
      <c r="D31" s="39" t="s">
        <v>110</v>
      </c>
      <c r="E31" s="39" t="s">
        <v>114</v>
      </c>
      <c r="F31" s="13">
        <v>3</v>
      </c>
      <c r="G31" s="13">
        <v>1</v>
      </c>
      <c r="H31" s="40" t="str">
        <f t="shared" si="0"/>
        <v>1</v>
      </c>
      <c r="I31" s="40">
        <f>IF(OR(F31="",G31="",'📊 Resultat &amp; Tabell'!K32="",'📊 Resultat &amp; Tabell'!L32=""),"",IF(F31='📊 Resultat &amp; Tabell'!K32,2,0)+IF(G31='📊 Resultat &amp; Tabell'!L32,2,0))</f>
        <v>2</v>
      </c>
      <c r="J31" s="40">
        <f>IF(OR(H31="",'📊 Resultat &amp; Tabell'!M32=""),"",IF(H31='📊 Resultat &amp; Tabell'!M32,2,0))</f>
        <v>2</v>
      </c>
      <c r="K31" s="40">
        <f t="shared" si="1"/>
        <v>4</v>
      </c>
      <c r="L31" s="67" t="s">
        <v>269</v>
      </c>
      <c r="M31" s="59"/>
      <c r="N31" s="59"/>
      <c r="O31" s="59"/>
      <c r="P31" s="59"/>
      <c r="Q31" s="59"/>
      <c r="R31" s="60"/>
      <c r="S31" s="60"/>
      <c r="T31" s="7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0">
      <c r="A32" s="15">
        <v>29</v>
      </c>
      <c r="B32" s="38" t="s">
        <v>50</v>
      </c>
      <c r="C32" s="38" t="s">
        <v>119</v>
      </c>
      <c r="D32" s="38" t="s">
        <v>116</v>
      </c>
      <c r="E32" s="38" t="s">
        <v>110</v>
      </c>
      <c r="F32" s="13">
        <v>1</v>
      </c>
      <c r="G32" s="13">
        <v>2</v>
      </c>
      <c r="H32" s="40" t="str">
        <f t="shared" si="0"/>
        <v>2</v>
      </c>
      <c r="I32" s="40">
        <f>IF(OR(F32="",G32="",'📊 Resultat &amp; Tabell'!K33="",'📊 Resultat &amp; Tabell'!L33=""),"",IF(F32='📊 Resultat &amp; Tabell'!K33,2,0)+IF(G32='📊 Resultat &amp; Tabell'!L33,2,0))</f>
        <v>0</v>
      </c>
      <c r="J32" s="40">
        <f>IF(OR(H32="",'📊 Resultat &amp; Tabell'!M33=""),"",IF(H32='📊 Resultat &amp; Tabell'!M33,2,0))</f>
        <v>0</v>
      </c>
      <c r="K32" s="40">
        <f t="shared" si="1"/>
        <v>0</v>
      </c>
      <c r="L32" s="64" t="s">
        <v>108</v>
      </c>
      <c r="M32" s="53" t="s">
        <v>269</v>
      </c>
      <c r="N32" s="53" t="s">
        <v>269</v>
      </c>
      <c r="O32" s="53" t="s">
        <v>269</v>
      </c>
      <c r="P32" s="53" t="s">
        <v>269</v>
      </c>
      <c r="Q32" s="53" t="s">
        <v>269</v>
      </c>
      <c r="R32" s="54" t="s">
        <v>269</v>
      </c>
      <c r="S32" s="54" t="s">
        <v>269</v>
      </c>
      <c r="T32" s="69" t="s">
        <v>269</v>
      </c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4.25" customHeight="1">
      <c r="A33" s="12">
        <v>30</v>
      </c>
      <c r="B33" s="39" t="s">
        <v>50</v>
      </c>
      <c r="C33" s="39" t="s">
        <v>119</v>
      </c>
      <c r="D33" s="39" t="s">
        <v>112</v>
      </c>
      <c r="E33" s="39" t="s">
        <v>114</v>
      </c>
      <c r="F33" s="13">
        <v>0</v>
      </c>
      <c r="G33" s="13">
        <v>2</v>
      </c>
      <c r="H33" s="40" t="str">
        <f t="shared" si="0"/>
        <v>2</v>
      </c>
      <c r="I33" s="40">
        <f>IF(OR(F33="",G33="",'📊 Resultat &amp; Tabell'!K34="",'📊 Resultat &amp; Tabell'!L34=""),"",IF(F33='📊 Resultat &amp; Tabell'!K34,2,0)+IF(G33='📊 Resultat &amp; Tabell'!L34,2,0))</f>
        <v>4</v>
      </c>
      <c r="J33" s="40">
        <f>IF(OR(H33="",'📊 Resultat &amp; Tabell'!M34=""),"",IF(H33='📊 Resultat &amp; Tabell'!M34,2,0))</f>
        <v>2</v>
      </c>
      <c r="K33" s="40">
        <f t="shared" si="1"/>
        <v>6</v>
      </c>
      <c r="L33" s="65" t="s">
        <v>53</v>
      </c>
      <c r="M33" s="55" t="s">
        <v>54</v>
      </c>
      <c r="N33" s="55" t="s">
        <v>55</v>
      </c>
      <c r="O33" s="55" t="s">
        <v>56</v>
      </c>
      <c r="P33" s="55" t="s">
        <v>57</v>
      </c>
      <c r="Q33" s="55" t="s">
        <v>58</v>
      </c>
      <c r="R33" s="56" t="s">
        <v>59</v>
      </c>
      <c r="S33" s="57" t="s">
        <v>60</v>
      </c>
      <c r="T33" s="70" t="s">
        <v>289</v>
      </c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>
      <c r="A34" s="15">
        <v>31</v>
      </c>
      <c r="B34" s="38" t="s">
        <v>50</v>
      </c>
      <c r="C34" s="38" t="s">
        <v>56</v>
      </c>
      <c r="D34" s="38" t="s">
        <v>121</v>
      </c>
      <c r="E34" s="38" t="s">
        <v>123</v>
      </c>
      <c r="F34" s="13">
        <v>2</v>
      </c>
      <c r="G34" s="13">
        <v>1</v>
      </c>
      <c r="H34" s="40" t="str">
        <f t="shared" si="0"/>
        <v>1</v>
      </c>
      <c r="I34" s="40">
        <f>IF(OR(F34="",G34="",'📊 Resultat &amp; Tabell'!K35="",'📊 Resultat &amp; Tabell'!L35=""),"",IF(F34='📊 Resultat &amp; Tabell'!K35,2,0)+IF(G34='📊 Resultat &amp; Tabell'!L35,2,0))</f>
        <v>2</v>
      </c>
      <c r="J34" s="40">
        <f>IF(OR(H34="",'📊 Resultat &amp; Tabell'!M35=""),"",IF(H34='📊 Resultat &amp; Tabell'!M35,2,0))</f>
        <v>0</v>
      </c>
      <c r="K34" s="40">
        <f t="shared" si="1"/>
        <v>2</v>
      </c>
      <c r="L34" s="66" t="s">
        <v>110</v>
      </c>
      <c r="M34" s="59" cm="1">
        <f t="array" ref="M34">SUMPRODUCT(--($C$4:$C$75="E"),--($D$4:$D$75=L34),--($F$4:$F$75&gt;$G$4:$G$75),--($F$4:$F$75&lt;&gt;""),--($G$4:$G$75&lt;&gt;""))+SUMPRODUCT(--($C$4:$C$75="E"),--($E$4:$E$75=L34),--($G$4:$G$75&gt;$F$4:$F$75),--($F$4:$F$75&lt;&gt;""),--($G$4:$G$75&lt;&gt;""))</f>
        <v>3</v>
      </c>
      <c r="N34" s="59" cm="1">
        <f t="array" ref="N34">SUMPRODUCT(--($C$4:$C$75="E"),--(($D$4:$D$75=L34)+($E$4:$E$75=L34)&gt;0),--($F$4:$F$75=$G$4:$G$75),--($F$4:$F$75&lt;&gt;""),--($G$4:$G$75&lt;&gt;""))</f>
        <v>0</v>
      </c>
      <c r="O34" s="59" cm="1">
        <f t="array" ref="O34">SUMPRODUCT(--($C$4:$C$75="E"),--($D$4:$D$75=L34),--($F$4:$F$75&lt;$G$4:$G$75),--($F$4:$F$75&lt;&gt;""),--($G$4:$G$75&lt;&gt;""))+SUMPRODUCT(--($C$4:$C$75="E"),--($E$4:$E$75=L34),--($G$4:$G$75&lt;$F$4:$F$75),--($F$4:$F$75&lt;&gt;""),--($G$4:$G$75&lt;&gt;""))</f>
        <v>0</v>
      </c>
      <c r="P34" s="59" cm="1">
        <f t="array" ref="P34">SUMPRODUCT(--($C$4:$C$75="E"),--($D$4:$D$75=L34),$F$4:$F$75,--($F$4:$F$75&lt;&gt;""),--($G$4:$G$75&lt;&gt;""))+SUMPRODUCT(--($C$4:$C$75="E"),--($E$4:$E$75=L34),$G$4:$G$75,--($F$4:$F$75&lt;&gt;""),--($G$4:$G$75&lt;&gt;""))</f>
        <v>9</v>
      </c>
      <c r="Q34" s="59" cm="1">
        <f t="array" ref="Q34">SUMPRODUCT(--($C$4:$C$75="E"),--($D$4:$D$75=L34),$G$4:$G$75,--($F$4:$F$75&lt;&gt;""),--($G$4:$G$75&lt;&gt;""))+SUMPRODUCT(--($C$4:$C$75="E"),--($E$4:$E$75=L34),$F$4:$F$75,--($F$4:$F$75&lt;&gt;""),--($G$4:$G$75&lt;&gt;""))</f>
        <v>2</v>
      </c>
      <c r="R34" s="60">
        <f t="shared" ref="R34:R37" si="15">P34-Q34</f>
        <v>7</v>
      </c>
      <c r="S34" s="60">
        <f t="shared" ref="S34:S37" si="16">M34*3+N34</f>
        <v>9</v>
      </c>
      <c r="T34" s="71">
        <f t="shared" ref="T34:T37" si="17">S34*100000+R34*1000+P34</f>
        <v>907009</v>
      </c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>
      <c r="A35" s="12">
        <v>32</v>
      </c>
      <c r="B35" s="39" t="s">
        <v>50</v>
      </c>
      <c r="C35" s="39" t="s">
        <v>56</v>
      </c>
      <c r="D35" s="39" t="s">
        <v>126</v>
      </c>
      <c r="E35" s="39" t="s">
        <v>128</v>
      </c>
      <c r="F35" s="13">
        <v>2</v>
      </c>
      <c r="G35" s="13">
        <v>1</v>
      </c>
      <c r="H35" s="40" t="str">
        <f t="shared" si="0"/>
        <v>1</v>
      </c>
      <c r="I35" s="40">
        <f>IF(OR(F35="",G35="",'📊 Resultat &amp; Tabell'!K36="",'📊 Resultat &amp; Tabell'!L36=""),"",IF(F35='📊 Resultat &amp; Tabell'!K36,2,0)+IF(G35='📊 Resultat &amp; Tabell'!L36,2,0))</f>
        <v>2</v>
      </c>
      <c r="J35" s="40">
        <f>IF(OR(H35="",'📊 Resultat &amp; Tabell'!M36=""),"",IF(H35='📊 Resultat &amp; Tabell'!M36,2,0))</f>
        <v>2</v>
      </c>
      <c r="K35" s="40">
        <f t="shared" si="1"/>
        <v>4</v>
      </c>
      <c r="L35" s="66" t="s">
        <v>112</v>
      </c>
      <c r="M35" s="59" cm="1">
        <f t="array" ref="M35">SUMPRODUCT(--($C$4:$C$75="E"),--($D$4:$D$75=L35),--($F$4:$F$75&gt;$G$4:$G$75),--($F$4:$F$75&lt;&gt;""),--($G$4:$G$75&lt;&gt;""))+SUMPRODUCT(--($C$4:$C$75="E"),--($E$4:$E$75=L35),--($G$4:$G$75&gt;$F$4:$F$75),--($F$4:$F$75&lt;&gt;""),--($G$4:$G$75&lt;&gt;""))</f>
        <v>0</v>
      </c>
      <c r="N35" s="59" cm="1">
        <f t="array" ref="N35">SUMPRODUCT(--($C$4:$C$75="E"),--(($D$4:$D$75=L35)+($E$4:$E$75=L35)&gt;0),--($F$4:$F$75=$G$4:$G$75),--($F$4:$F$75&lt;&gt;""),--($G$4:$G$75&lt;&gt;""))</f>
        <v>0</v>
      </c>
      <c r="O35" s="59" cm="1">
        <f t="array" ref="O35">SUMPRODUCT(--($C$4:$C$75="E"),--($D$4:$D$75=L35),--($F$4:$F$75&lt;$G$4:$G$75),--($F$4:$F$75&lt;&gt;""),--($G$4:$G$75&lt;&gt;""))+SUMPRODUCT(--($C$4:$C$75="E"),--($E$4:$E$75=L35),--($G$4:$G$75&lt;$F$4:$F$75),--($F$4:$F$75&lt;&gt;""),--($G$4:$G$75&lt;&gt;""))</f>
        <v>3</v>
      </c>
      <c r="P35" s="59" cm="1">
        <f t="array" ref="P35">SUMPRODUCT(--($C$4:$C$75="E"),--($D$4:$D$75=L35),$F$4:$F$75,--($F$4:$F$75&lt;&gt;""),--($G$4:$G$75&lt;&gt;""))+SUMPRODUCT(--($C$4:$C$75="E"),--($E$4:$E$75=L35),$G$4:$G$75,--($F$4:$F$75&lt;&gt;""),--($G$4:$G$75&lt;&gt;""))</f>
        <v>0</v>
      </c>
      <c r="Q35" s="59" cm="1">
        <f t="array" ref="Q35">SUMPRODUCT(--($C$4:$C$75="E"),--($D$4:$D$75=L35),$G$4:$G$75,--($F$4:$F$75&lt;&gt;""),--($G$4:$G$75&lt;&gt;""))+SUMPRODUCT(--($C$4:$C$75="E"),--($E$4:$E$75=L35),$F$4:$F$75,--($F$4:$F$75&lt;&gt;""),--($G$4:$G$75&lt;&gt;""))</f>
        <v>8</v>
      </c>
      <c r="R35" s="60">
        <f t="shared" si="15"/>
        <v>-8</v>
      </c>
      <c r="S35" s="60">
        <f t="shared" si="16"/>
        <v>0</v>
      </c>
      <c r="T35" s="71">
        <f t="shared" si="17"/>
        <v>-8000</v>
      </c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>
      <c r="A36" s="15">
        <v>33</v>
      </c>
      <c r="B36" s="38" t="s">
        <v>50</v>
      </c>
      <c r="C36" s="38" t="s">
        <v>56</v>
      </c>
      <c r="D36" s="38" t="s">
        <v>128</v>
      </c>
      <c r="E36" s="38" t="s">
        <v>123</v>
      </c>
      <c r="F36" s="13">
        <v>0</v>
      </c>
      <c r="G36" s="13">
        <v>2</v>
      </c>
      <c r="H36" s="40" t="str">
        <f t="shared" si="0"/>
        <v>2</v>
      </c>
      <c r="I36" s="40">
        <f>IF(OR(F36="",G36="",'📊 Resultat &amp; Tabell'!K37="",'📊 Resultat &amp; Tabell'!L37=""),"",IF(F36='📊 Resultat &amp; Tabell'!K37,2,0)+IF(G36='📊 Resultat &amp; Tabell'!L37,2,0))</f>
        <v>2</v>
      </c>
      <c r="J36" s="40">
        <f>IF(OR(H36="",'📊 Resultat &amp; Tabell'!M37=""),"",IF(H36='📊 Resultat &amp; Tabell'!M37,2,0))</f>
        <v>2</v>
      </c>
      <c r="K36" s="40">
        <f t="shared" si="1"/>
        <v>4</v>
      </c>
      <c r="L36" s="66" t="s">
        <v>114</v>
      </c>
      <c r="M36" s="59" cm="1">
        <f t="array" ref="M36">SUMPRODUCT(--($C$4:$C$75="E"),--($D$4:$D$75=L36),--($F$4:$F$75&gt;$G$4:$G$75),--($F$4:$F$75&lt;&gt;""),--($G$4:$G$75&lt;&gt;""))+SUMPRODUCT(--($C$4:$C$75="E"),--($E$4:$E$75=L36),--($G$4:$G$75&gt;$F$4:$F$75),--($F$4:$F$75&lt;&gt;""),--($G$4:$G$75&lt;&gt;""))</f>
        <v>1</v>
      </c>
      <c r="N36" s="59" cm="1">
        <f t="array" ref="N36">SUMPRODUCT(--($C$4:$C$75="E"),--(($D$4:$D$75=L36)+($E$4:$E$75=L36)&gt;0),--($F$4:$F$75=$G$4:$G$75),--($F$4:$F$75&lt;&gt;""),--($G$4:$G$75&lt;&gt;""))</f>
        <v>1</v>
      </c>
      <c r="O36" s="59" cm="1">
        <f t="array" ref="O36">SUMPRODUCT(--($C$4:$C$75="E"),--($D$4:$D$75=L36),--($F$4:$F$75&lt;$G$4:$G$75),--($F$4:$F$75&lt;&gt;""),--($G$4:$G$75&lt;&gt;""))+SUMPRODUCT(--($C$4:$C$75="E"),--($E$4:$E$75=L36),--($G$4:$G$75&lt;$F$4:$F$75),--($F$4:$F$75&lt;&gt;""),--($G$4:$G$75&lt;&gt;""))</f>
        <v>1</v>
      </c>
      <c r="P36" s="59" cm="1">
        <f t="array" ref="P36">SUMPRODUCT(--($C$4:$C$75="E"),--($D$4:$D$75=L36),$F$4:$F$75,--($F$4:$F$75&lt;&gt;""),--($G$4:$G$75&lt;&gt;""))+SUMPRODUCT(--($C$4:$C$75="E"),--($E$4:$E$75=L36),$G$4:$G$75,--($F$4:$F$75&lt;&gt;""),--($G$4:$G$75&lt;&gt;""))</f>
        <v>4</v>
      </c>
      <c r="Q36" s="59" cm="1">
        <f t="array" ref="Q36">SUMPRODUCT(--($C$4:$C$75="E"),--($D$4:$D$75=L36),$G$4:$G$75,--($F$4:$F$75&lt;&gt;""),--($G$4:$G$75&lt;&gt;""))+SUMPRODUCT(--($C$4:$C$75="E"),--($E$4:$E$75=L36),$F$4:$F$75,--($F$4:$F$75&lt;&gt;""),--($G$4:$G$75&lt;&gt;""))</f>
        <v>4</v>
      </c>
      <c r="R36" s="60">
        <f t="shared" si="15"/>
        <v>0</v>
      </c>
      <c r="S36" s="60">
        <f t="shared" si="16"/>
        <v>4</v>
      </c>
      <c r="T36" s="71">
        <f t="shared" si="17"/>
        <v>400004</v>
      </c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>
      <c r="A37" s="12">
        <v>34</v>
      </c>
      <c r="B37" s="39" t="s">
        <v>50</v>
      </c>
      <c r="C37" s="39" t="s">
        <v>56</v>
      </c>
      <c r="D37" s="39" t="s">
        <v>121</v>
      </c>
      <c r="E37" s="39" t="s">
        <v>126</v>
      </c>
      <c r="F37" s="13">
        <v>1</v>
      </c>
      <c r="G37" s="13">
        <v>1</v>
      </c>
      <c r="H37" s="40" t="str">
        <f t="shared" si="0"/>
        <v>X</v>
      </c>
      <c r="I37" s="40">
        <f>IF(OR(F37="",G37="",'📊 Resultat &amp; Tabell'!K38="",'📊 Resultat &amp; Tabell'!L38=""),"",IF(F37='📊 Resultat &amp; Tabell'!K38,2,0)+IF(G37='📊 Resultat &amp; Tabell'!L38,2,0))</f>
        <v>2</v>
      </c>
      <c r="J37" s="40">
        <f>IF(OR(H37="",'📊 Resultat &amp; Tabell'!M38=""),"",IF(H37='📊 Resultat &amp; Tabell'!M38,2,0))</f>
        <v>0</v>
      </c>
      <c r="K37" s="40">
        <f t="shared" si="1"/>
        <v>2</v>
      </c>
      <c r="L37" s="66" t="s">
        <v>116</v>
      </c>
      <c r="M37" s="59" cm="1">
        <f t="array" ref="M37">SUMPRODUCT(--($C$4:$C$75="E"),--($D$4:$D$75=L37),--($F$4:$F$75&gt;$G$4:$G$75),--($F$4:$F$75&lt;&gt;""),--($G$4:$G$75&lt;&gt;""))+SUMPRODUCT(--($C$4:$C$75="E"),--($E$4:$E$75=L37),--($G$4:$G$75&gt;$F$4:$F$75),--($F$4:$F$75&lt;&gt;""),--($G$4:$G$75&lt;&gt;""))</f>
        <v>1</v>
      </c>
      <c r="N37" s="59" cm="1">
        <f t="array" ref="N37">SUMPRODUCT(--($C$4:$C$75="E"),--(($D$4:$D$75=L37)+($E$4:$E$75=L37)&gt;0),--($F$4:$F$75=$G$4:$G$75),--($F$4:$F$75&lt;&gt;""),--($G$4:$G$75&lt;&gt;""))</f>
        <v>1</v>
      </c>
      <c r="O37" s="59" cm="1">
        <f t="array" ref="O37">SUMPRODUCT(--($C$4:$C$75="E"),--($D$4:$D$75=L37),--($F$4:$F$75&lt;$G$4:$G$75),--($F$4:$F$75&lt;&gt;""),--($G$4:$G$75&lt;&gt;""))+SUMPRODUCT(--($C$4:$C$75="E"),--($E$4:$E$75=L37),--($G$4:$G$75&lt;$F$4:$F$75),--($F$4:$F$75&lt;&gt;""),--($G$4:$G$75&lt;&gt;""))</f>
        <v>1</v>
      </c>
      <c r="P37" s="59" cm="1">
        <f t="array" ref="P37">SUMPRODUCT(--($C$4:$C$75="E"),--($D$4:$D$75=L37),$F$4:$F$75,--($F$4:$F$75&lt;&gt;""),--($G$4:$G$75&lt;&gt;""))+SUMPRODUCT(--($C$4:$C$75="E"),--($E$4:$E$75=L37),$G$4:$G$75,--($F$4:$F$75&lt;&gt;""),--($G$4:$G$75&lt;&gt;""))</f>
        <v>4</v>
      </c>
      <c r="Q37" s="59" cm="1">
        <f t="array" ref="Q37">SUMPRODUCT(--($C$4:$C$75="E"),--($D$4:$D$75=L37),$G$4:$G$75,--($F$4:$F$75&lt;&gt;""),--($G$4:$G$75&lt;&gt;""))+SUMPRODUCT(--($C$4:$C$75="E"),--($E$4:$E$75=L37),$F$4:$F$75,--($F$4:$F$75&lt;&gt;""),--($G$4:$G$75&lt;&gt;""))</f>
        <v>3</v>
      </c>
      <c r="R37" s="60">
        <f t="shared" si="15"/>
        <v>1</v>
      </c>
      <c r="S37" s="60">
        <f t="shared" si="16"/>
        <v>4</v>
      </c>
      <c r="T37" s="71">
        <f t="shared" si="17"/>
        <v>401004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>
      <c r="A38" s="15">
        <v>35</v>
      </c>
      <c r="B38" s="38" t="s">
        <v>50</v>
      </c>
      <c r="C38" s="38" t="s">
        <v>56</v>
      </c>
      <c r="D38" s="38" t="s">
        <v>128</v>
      </c>
      <c r="E38" s="38" t="s">
        <v>121</v>
      </c>
      <c r="F38" s="13">
        <v>1</v>
      </c>
      <c r="G38" s="13">
        <v>3</v>
      </c>
      <c r="H38" s="40" t="str">
        <f t="shared" si="0"/>
        <v>2</v>
      </c>
      <c r="I38" s="40">
        <f>IF(OR(F38="",G38="",'📊 Resultat &amp; Tabell'!K39="",'📊 Resultat &amp; Tabell'!L39=""),"",IF(F38='📊 Resultat &amp; Tabell'!K39,2,0)+IF(G38='📊 Resultat &amp; Tabell'!L39,2,0))</f>
        <v>4</v>
      </c>
      <c r="J38" s="40">
        <f>IF(OR(H38="",'📊 Resultat &amp; Tabell'!M39=""),"",IF(H38='📊 Resultat &amp; Tabell'!M39,2,0))</f>
        <v>2</v>
      </c>
      <c r="K38" s="40">
        <f t="shared" si="1"/>
        <v>6</v>
      </c>
      <c r="L38" s="67" t="s">
        <v>269</v>
      </c>
      <c r="M38" s="59"/>
      <c r="N38" s="59"/>
      <c r="O38" s="59"/>
      <c r="P38" s="59"/>
      <c r="Q38" s="59"/>
      <c r="R38" s="60"/>
      <c r="S38" s="60"/>
      <c r="T38" s="7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>
      <c r="A39" s="12">
        <v>36</v>
      </c>
      <c r="B39" s="39" t="s">
        <v>50</v>
      </c>
      <c r="C39" s="39" t="s">
        <v>56</v>
      </c>
      <c r="D39" s="39" t="s">
        <v>123</v>
      </c>
      <c r="E39" s="39" t="s">
        <v>126</v>
      </c>
      <c r="F39" s="13">
        <v>2</v>
      </c>
      <c r="G39" s="13">
        <v>2</v>
      </c>
      <c r="H39" s="40" t="str">
        <f t="shared" si="0"/>
        <v>X</v>
      </c>
      <c r="I39" s="40">
        <f>IF(OR(F39="",G39="",'📊 Resultat &amp; Tabell'!K40="",'📊 Resultat &amp; Tabell'!L40=""),"",IF(F39='📊 Resultat &amp; Tabell'!K40,2,0)+IF(G39='📊 Resultat &amp; Tabell'!L40,2,0))</f>
        <v>0</v>
      </c>
      <c r="J39" s="40">
        <f>IF(OR(H39="",'📊 Resultat &amp; Tabell'!M40=""),"",IF(H39='📊 Resultat &amp; Tabell'!M40,2,0))</f>
        <v>2</v>
      </c>
      <c r="K39" s="40">
        <f t="shared" si="1"/>
        <v>2</v>
      </c>
      <c r="L39" s="64" t="s">
        <v>117</v>
      </c>
      <c r="M39" s="53" t="s">
        <v>269</v>
      </c>
      <c r="N39" s="53" t="s">
        <v>269</v>
      </c>
      <c r="O39" s="53" t="s">
        <v>269</v>
      </c>
      <c r="P39" s="53" t="s">
        <v>269</v>
      </c>
      <c r="Q39" s="53" t="s">
        <v>269</v>
      </c>
      <c r="R39" s="54" t="s">
        <v>269</v>
      </c>
      <c r="S39" s="54" t="s">
        <v>269</v>
      </c>
      <c r="T39" s="69" t="s">
        <v>269</v>
      </c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5" customHeight="1">
      <c r="A40" s="15">
        <v>37</v>
      </c>
      <c r="B40" s="38" t="s">
        <v>50</v>
      </c>
      <c r="C40" s="38" t="s">
        <v>144</v>
      </c>
      <c r="D40" s="38" t="s">
        <v>131</v>
      </c>
      <c r="E40" s="38" t="s">
        <v>134</v>
      </c>
      <c r="F40" s="13">
        <v>3</v>
      </c>
      <c r="G40" s="13">
        <v>2</v>
      </c>
      <c r="H40" s="40" t="str">
        <f t="shared" si="0"/>
        <v>1</v>
      </c>
      <c r="I40" s="40">
        <f>IF(OR(F40="",G40="",'📊 Resultat &amp; Tabell'!K41="",'📊 Resultat &amp; Tabell'!L41=""),"",IF(F40='📊 Resultat &amp; Tabell'!K41,2,0)+IF(G40='📊 Resultat &amp; Tabell'!L41,2,0))</f>
        <v>0</v>
      </c>
      <c r="J40" s="40">
        <f>IF(OR(H40="",'📊 Resultat &amp; Tabell'!M41=""),"",IF(H40='📊 Resultat &amp; Tabell'!M41,2,0))</f>
        <v>0</v>
      </c>
      <c r="K40" s="40">
        <f t="shared" si="1"/>
        <v>0</v>
      </c>
      <c r="L40" s="65" t="s">
        <v>53</v>
      </c>
      <c r="M40" s="55" t="s">
        <v>54</v>
      </c>
      <c r="N40" s="55" t="s">
        <v>55</v>
      </c>
      <c r="O40" s="55" t="s">
        <v>56</v>
      </c>
      <c r="P40" s="55" t="s">
        <v>57</v>
      </c>
      <c r="Q40" s="55" t="s">
        <v>58</v>
      </c>
      <c r="R40" s="56" t="s">
        <v>59</v>
      </c>
      <c r="S40" s="57" t="s">
        <v>60</v>
      </c>
      <c r="T40" s="70" t="s">
        <v>289</v>
      </c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>
      <c r="A41" s="12">
        <v>38</v>
      </c>
      <c r="B41" s="39" t="s">
        <v>50</v>
      </c>
      <c r="C41" s="39" t="s">
        <v>144</v>
      </c>
      <c r="D41" s="39" t="s">
        <v>136</v>
      </c>
      <c r="E41" s="39" t="s">
        <v>138</v>
      </c>
      <c r="F41" s="13">
        <v>1</v>
      </c>
      <c r="G41" s="13">
        <v>0</v>
      </c>
      <c r="H41" s="40" t="str">
        <f t="shared" si="0"/>
        <v>1</v>
      </c>
      <c r="I41" s="40">
        <f>IF(OR(F41="",G41="",'📊 Resultat &amp; Tabell'!K42="",'📊 Resultat &amp; Tabell'!L42=""),"",IF(F41='📊 Resultat &amp; Tabell'!K42,2,0)+IF(G41='📊 Resultat &amp; Tabell'!L42,2,0))</f>
        <v>0</v>
      </c>
      <c r="J41" s="40">
        <f>IF(OR(H41="",'📊 Resultat &amp; Tabell'!M42=""),"",IF(H41='📊 Resultat &amp; Tabell'!M42,2,0))</f>
        <v>0</v>
      </c>
      <c r="K41" s="40">
        <f t="shared" si="1"/>
        <v>0</v>
      </c>
      <c r="L41" s="66" t="s">
        <v>121</v>
      </c>
      <c r="M41" s="59" cm="1">
        <f t="array" ref="M41">SUMPRODUCT(--($C$4:$C$75="F"),--($D$4:$D$75=L41),--($F$4:$F$75&gt;$G$4:$G$75),--($F$4:$F$75&lt;&gt;""),--($G$4:$G$75&lt;&gt;""))+SUMPRODUCT(--($C$4:$C$75="F"),--($E$4:$E$75=L41),--($G$4:$G$75&gt;$F$4:$F$75),--($F$4:$F$75&lt;&gt;""),--($G$4:$G$75&lt;&gt;""))</f>
        <v>2</v>
      </c>
      <c r="N41" s="59" cm="1">
        <f t="array" ref="N41">SUMPRODUCT(--($C$4:$C$75="F"),--(($D$4:$D$75=L41)+($E$4:$E$75=L41)&gt;0),--($F$4:$F$75=$G$4:$G$75),--($F$4:$F$75&lt;&gt;""),--($G$4:$G$75&lt;&gt;""))</f>
        <v>1</v>
      </c>
      <c r="O41" s="59" cm="1">
        <f t="array" ref="O41">SUMPRODUCT(--($C$4:$C$75="F"),--($D$4:$D$75=L41),--($F$4:$F$75&lt;$G$4:$G$75),--($F$4:$F$75&lt;&gt;""),--($G$4:$G$75&lt;&gt;""))+SUMPRODUCT(--($C$4:$C$75="F"),--($E$4:$E$75=L41),--($G$4:$G$75&lt;$F$4:$F$75),--($F$4:$F$75&lt;&gt;""),--($G$4:$G$75&lt;&gt;""))</f>
        <v>0</v>
      </c>
      <c r="P41" s="59" cm="1">
        <f t="array" ref="P41">SUMPRODUCT(--($C$4:$C$75="F"),--($D$4:$D$75=L41),$F$4:$F$75,--($F$4:$F$75&lt;&gt;""),--($G$4:$G$75&lt;&gt;""))+SUMPRODUCT(--($C$4:$C$75="F"),--($E$4:$E$75=L41),$G$4:$G$75,--($F$4:$F$75&lt;&gt;""),--($G$4:$G$75&lt;&gt;""))</f>
        <v>6</v>
      </c>
      <c r="Q41" s="59" cm="1">
        <f t="array" ref="Q41">SUMPRODUCT(--($C$4:$C$75="F"),--($D$4:$D$75=L41),$G$4:$G$75,--($F$4:$F$75&lt;&gt;""),--($G$4:$G$75&lt;&gt;""))+SUMPRODUCT(--($C$4:$C$75="F"),--($E$4:$E$75=L41),$F$4:$F$75,--($F$4:$F$75&lt;&gt;""),--($G$4:$G$75&lt;&gt;""))</f>
        <v>3</v>
      </c>
      <c r="R41" s="60">
        <f t="shared" ref="R41:R44" si="18">P41-Q41</f>
        <v>3</v>
      </c>
      <c r="S41" s="60">
        <f t="shared" ref="S41:S44" si="19">M41*3+N41</f>
        <v>7</v>
      </c>
      <c r="T41" s="71">
        <f t="shared" ref="T41:T44" si="20">S41*100000+R41*1000+P41</f>
        <v>703006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>
      <c r="A42" s="15">
        <v>39</v>
      </c>
      <c r="B42" s="38" t="s">
        <v>50</v>
      </c>
      <c r="C42" s="38" t="s">
        <v>144</v>
      </c>
      <c r="D42" s="38" t="s">
        <v>138</v>
      </c>
      <c r="E42" s="38" t="s">
        <v>134</v>
      </c>
      <c r="F42" s="13">
        <v>0</v>
      </c>
      <c r="G42" s="13">
        <v>2</v>
      </c>
      <c r="H42" s="40" t="str">
        <f t="shared" si="0"/>
        <v>2</v>
      </c>
      <c r="I42" s="40">
        <f>IF(OR(F42="",G42="",'📊 Resultat &amp; Tabell'!K43="",'📊 Resultat &amp; Tabell'!L43=""),"",IF(F42='📊 Resultat &amp; Tabell'!K43,2,0)+IF(G42='📊 Resultat &amp; Tabell'!L43,2,0))</f>
        <v>0</v>
      </c>
      <c r="J42" s="40">
        <f>IF(OR(H42="",'📊 Resultat &amp; Tabell'!M43=""),"",IF(H42='📊 Resultat &amp; Tabell'!M43,2,0))</f>
        <v>2</v>
      </c>
      <c r="K42" s="40">
        <f t="shared" si="1"/>
        <v>2</v>
      </c>
      <c r="L42" s="66" t="s">
        <v>123</v>
      </c>
      <c r="M42" s="59" cm="1">
        <f t="array" ref="M42">SUMPRODUCT(--($C$4:$C$75="F"),--($D$4:$D$75=L42),--($F$4:$F$75&gt;$G$4:$G$75),--($F$4:$F$75&lt;&gt;""),--($G$4:$G$75&lt;&gt;""))+SUMPRODUCT(--($C$4:$C$75="F"),--($E$4:$E$75=L42),--($G$4:$G$75&gt;$F$4:$F$75),--($F$4:$F$75&lt;&gt;""),--($G$4:$G$75&lt;&gt;""))</f>
        <v>1</v>
      </c>
      <c r="N42" s="59" cm="1">
        <f t="array" ref="N42">SUMPRODUCT(--($C$4:$C$75="F"),--(($D$4:$D$75=L42)+($E$4:$E$75=L42)&gt;0),--($F$4:$F$75=$G$4:$G$75),--($F$4:$F$75&lt;&gt;""),--($G$4:$G$75&lt;&gt;""))</f>
        <v>1</v>
      </c>
      <c r="O42" s="59" cm="1">
        <f t="array" ref="O42">SUMPRODUCT(--($C$4:$C$75="F"),--($D$4:$D$75=L42),--($F$4:$F$75&lt;$G$4:$G$75),--($F$4:$F$75&lt;&gt;""),--($G$4:$G$75&lt;&gt;""))+SUMPRODUCT(--($C$4:$C$75="F"),--($E$4:$E$75=L42),--($G$4:$G$75&lt;$F$4:$F$75),--($F$4:$F$75&lt;&gt;""),--($G$4:$G$75&lt;&gt;""))</f>
        <v>1</v>
      </c>
      <c r="P42" s="59" cm="1">
        <f t="array" ref="P42">SUMPRODUCT(--($C$4:$C$75="F"),--($D$4:$D$75=L42),$F$4:$F$75,--($F$4:$F$75&lt;&gt;""),--($G$4:$G$75&lt;&gt;""))+SUMPRODUCT(--($C$4:$C$75="F"),--($E$4:$E$75=L42),$G$4:$G$75,--($F$4:$F$75&lt;&gt;""),--($G$4:$G$75&lt;&gt;""))</f>
        <v>5</v>
      </c>
      <c r="Q42" s="59" cm="1">
        <f t="array" ref="Q42">SUMPRODUCT(--($C$4:$C$75="F"),--($D$4:$D$75=L42),$G$4:$G$75,--($F$4:$F$75&lt;&gt;""),--($G$4:$G$75&lt;&gt;""))+SUMPRODUCT(--($C$4:$C$75="F"),--($E$4:$E$75=L42),$F$4:$F$75,--($F$4:$F$75&lt;&gt;""),--($G$4:$G$75&lt;&gt;""))</f>
        <v>4</v>
      </c>
      <c r="R42" s="60">
        <f t="shared" si="18"/>
        <v>1</v>
      </c>
      <c r="S42" s="60">
        <f t="shared" si="19"/>
        <v>4</v>
      </c>
      <c r="T42" s="71">
        <f t="shared" si="20"/>
        <v>401005</v>
      </c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>
      <c r="A43" s="12">
        <v>40</v>
      </c>
      <c r="B43" s="39" t="s">
        <v>50</v>
      </c>
      <c r="C43" s="39" t="s">
        <v>144</v>
      </c>
      <c r="D43" s="39" t="s">
        <v>131</v>
      </c>
      <c r="E43" s="39" t="s">
        <v>136</v>
      </c>
      <c r="F43" s="13">
        <v>3</v>
      </c>
      <c r="G43" s="13">
        <v>1</v>
      </c>
      <c r="H43" s="40" t="str">
        <f t="shared" si="0"/>
        <v>1</v>
      </c>
      <c r="I43" s="40">
        <f>IF(OR(F43="",G43="",'📊 Resultat &amp; Tabell'!K44="",'📊 Resultat &amp; Tabell'!L44=""),"",IF(F43='📊 Resultat &amp; Tabell'!K44,2,0)+IF(G43='📊 Resultat &amp; Tabell'!L44,2,0))</f>
        <v>0</v>
      </c>
      <c r="J43" s="40">
        <f>IF(OR(H43="",'📊 Resultat &amp; Tabell'!M44=""),"",IF(H43='📊 Resultat &amp; Tabell'!M44,2,0))</f>
        <v>0</v>
      </c>
      <c r="K43" s="40">
        <f t="shared" si="1"/>
        <v>0</v>
      </c>
      <c r="L43" s="66" t="s">
        <v>126</v>
      </c>
      <c r="M43" s="59" cm="1">
        <f t="array" ref="M43">SUMPRODUCT(--($C$4:$C$75="F"),--($D$4:$D$75=L43),--($F$4:$F$75&gt;$G$4:$G$75),--($F$4:$F$75&lt;&gt;""),--($G$4:$G$75&lt;&gt;""))+SUMPRODUCT(--($C$4:$C$75="F"),--($E$4:$E$75=L43),--($G$4:$G$75&gt;$F$4:$F$75),--($F$4:$F$75&lt;&gt;""),--($G$4:$G$75&lt;&gt;""))</f>
        <v>1</v>
      </c>
      <c r="N43" s="59" cm="1">
        <f t="array" ref="N43">SUMPRODUCT(--($C$4:$C$75="F"),--(($D$4:$D$75=L43)+($E$4:$E$75=L43)&gt;0),--($F$4:$F$75=$G$4:$G$75),--($F$4:$F$75&lt;&gt;""),--($G$4:$G$75&lt;&gt;""))</f>
        <v>2</v>
      </c>
      <c r="O43" s="59" cm="1">
        <f t="array" ref="O43">SUMPRODUCT(--($C$4:$C$75="F"),--($D$4:$D$75=L43),--($F$4:$F$75&lt;$G$4:$G$75),--($F$4:$F$75&lt;&gt;""),--($G$4:$G$75&lt;&gt;""))+SUMPRODUCT(--($C$4:$C$75="F"),--($E$4:$E$75=L43),--($G$4:$G$75&lt;$F$4:$F$75),--($F$4:$F$75&lt;&gt;""),--($G$4:$G$75&lt;&gt;""))</f>
        <v>0</v>
      </c>
      <c r="P43" s="59" cm="1">
        <f t="array" ref="P43">SUMPRODUCT(--($C$4:$C$75="F"),--($D$4:$D$75=L43),$F$4:$F$75,--($F$4:$F$75&lt;&gt;""),--($G$4:$G$75&lt;&gt;""))+SUMPRODUCT(--($C$4:$C$75="F"),--($E$4:$E$75=L43),$G$4:$G$75,--($F$4:$F$75&lt;&gt;""),--($G$4:$G$75&lt;&gt;""))</f>
        <v>5</v>
      </c>
      <c r="Q43" s="59" cm="1">
        <f t="array" ref="Q43">SUMPRODUCT(--($C$4:$C$75="F"),--($D$4:$D$75=L43),$G$4:$G$75,--($F$4:$F$75&lt;&gt;""),--($G$4:$G$75&lt;&gt;""))+SUMPRODUCT(--($C$4:$C$75="F"),--($E$4:$E$75=L43),$F$4:$F$75,--($F$4:$F$75&lt;&gt;""),--($G$4:$G$75&lt;&gt;""))</f>
        <v>4</v>
      </c>
      <c r="R43" s="60">
        <f t="shared" si="18"/>
        <v>1</v>
      </c>
      <c r="S43" s="60">
        <f t="shared" si="19"/>
        <v>5</v>
      </c>
      <c r="T43" s="71">
        <f t="shared" si="20"/>
        <v>501005</v>
      </c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>
      <c r="A44" s="15">
        <v>41</v>
      </c>
      <c r="B44" s="38" t="s">
        <v>50</v>
      </c>
      <c r="C44" s="38" t="s">
        <v>144</v>
      </c>
      <c r="D44" s="38" t="s">
        <v>138</v>
      </c>
      <c r="E44" s="38" t="s">
        <v>131</v>
      </c>
      <c r="F44" s="13">
        <v>0</v>
      </c>
      <c r="G44" s="13">
        <v>3</v>
      </c>
      <c r="H44" s="40" t="str">
        <f t="shared" si="0"/>
        <v>2</v>
      </c>
      <c r="I44" s="40">
        <f>IF(OR(F44="",G44="",'📊 Resultat &amp; Tabell'!K45="",'📊 Resultat &amp; Tabell'!L45=""),"",IF(F44='📊 Resultat &amp; Tabell'!K45,2,0)+IF(G44='📊 Resultat &amp; Tabell'!L45,2,0))</f>
        <v>0</v>
      </c>
      <c r="J44" s="40">
        <f>IF(OR(H44="",'📊 Resultat &amp; Tabell'!M45=""),"",IF(H44='📊 Resultat &amp; Tabell'!M45,2,0))</f>
        <v>2</v>
      </c>
      <c r="K44" s="40">
        <f t="shared" si="1"/>
        <v>2</v>
      </c>
      <c r="L44" s="66" t="s">
        <v>128</v>
      </c>
      <c r="M44" s="59" cm="1">
        <f t="array" ref="M44">SUMPRODUCT(--($C$4:$C$75="F"),--($D$4:$D$75=L44),--($F$4:$F$75&gt;$G$4:$G$75),--($F$4:$F$75&lt;&gt;""),--($G$4:$G$75&lt;&gt;""))+SUMPRODUCT(--($C$4:$C$75="F"),--($E$4:$E$75=L44),--($G$4:$G$75&gt;$F$4:$F$75),--($F$4:$F$75&lt;&gt;""),--($G$4:$G$75&lt;&gt;""))</f>
        <v>0</v>
      </c>
      <c r="N44" s="59" cm="1">
        <f t="array" ref="N44">SUMPRODUCT(--($C$4:$C$75="F"),--(($D$4:$D$75=L44)+($E$4:$E$75=L44)&gt;0),--($F$4:$F$75=$G$4:$G$75),--($F$4:$F$75&lt;&gt;""),--($G$4:$G$75&lt;&gt;""))</f>
        <v>0</v>
      </c>
      <c r="O44" s="59" cm="1">
        <f t="array" ref="O44">SUMPRODUCT(--($C$4:$C$75="F"),--($D$4:$D$75=L44),--($F$4:$F$75&lt;$G$4:$G$75),--($F$4:$F$75&lt;&gt;""),--($G$4:$G$75&lt;&gt;""))+SUMPRODUCT(--($C$4:$C$75="F"),--($E$4:$E$75=L44),--($G$4:$G$75&lt;$F$4:$F$75),--($F$4:$F$75&lt;&gt;""),--($G$4:$G$75&lt;&gt;""))</f>
        <v>3</v>
      </c>
      <c r="P44" s="59" cm="1">
        <f t="array" ref="P44">SUMPRODUCT(--($C$4:$C$75="F"),--($D$4:$D$75=L44),$F$4:$F$75,--($F$4:$F$75&lt;&gt;""),--($G$4:$G$75&lt;&gt;""))+SUMPRODUCT(--($C$4:$C$75="F"),--($E$4:$E$75=L44),$G$4:$G$75,--($F$4:$F$75&lt;&gt;""),--($G$4:$G$75&lt;&gt;""))</f>
        <v>2</v>
      </c>
      <c r="Q44" s="59" cm="1">
        <f t="array" ref="Q44">SUMPRODUCT(--($C$4:$C$75="F"),--($D$4:$D$75=L44),$G$4:$G$75,--($F$4:$F$75&lt;&gt;""),--($G$4:$G$75&lt;&gt;""))+SUMPRODUCT(--($C$4:$C$75="F"),--($E$4:$E$75=L44),$F$4:$F$75,--($F$4:$F$75&lt;&gt;""),--($G$4:$G$75&lt;&gt;""))</f>
        <v>7</v>
      </c>
      <c r="R44" s="60">
        <f t="shared" si="18"/>
        <v>-5</v>
      </c>
      <c r="S44" s="60">
        <f t="shared" si="19"/>
        <v>0</v>
      </c>
      <c r="T44" s="71">
        <f t="shared" si="20"/>
        <v>-4998</v>
      </c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>
      <c r="A45" s="12">
        <v>42</v>
      </c>
      <c r="B45" s="39" t="s">
        <v>50</v>
      </c>
      <c r="C45" s="39" t="s">
        <v>144</v>
      </c>
      <c r="D45" s="39" t="s">
        <v>134</v>
      </c>
      <c r="E45" s="39" t="s">
        <v>136</v>
      </c>
      <c r="F45" s="13">
        <v>1</v>
      </c>
      <c r="G45" s="13">
        <v>1</v>
      </c>
      <c r="H45" s="40" t="str">
        <f t="shared" si="0"/>
        <v>X</v>
      </c>
      <c r="I45" s="40">
        <f>IF(OR(F45="",G45="",'📊 Resultat &amp; Tabell'!K46="",'📊 Resultat &amp; Tabell'!L46=""),"",IF(F45='📊 Resultat &amp; Tabell'!K46,2,0)+IF(G45='📊 Resultat &amp; Tabell'!L46,2,0))</f>
        <v>4</v>
      </c>
      <c r="J45" s="40">
        <f>IF(OR(H45="",'📊 Resultat &amp; Tabell'!M46=""),"",IF(H45='📊 Resultat &amp; Tabell'!M46,2,0))</f>
        <v>2</v>
      </c>
      <c r="K45" s="40">
        <f t="shared" si="1"/>
        <v>6</v>
      </c>
      <c r="L45" s="67" t="s">
        <v>269</v>
      </c>
      <c r="M45" s="59"/>
      <c r="N45" s="59"/>
      <c r="O45" s="59"/>
      <c r="P45" s="59"/>
      <c r="Q45" s="59"/>
      <c r="R45" s="60"/>
      <c r="S45" s="60"/>
      <c r="T45" s="7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>
      <c r="A46" s="15">
        <v>43</v>
      </c>
      <c r="B46" s="38" t="s">
        <v>50</v>
      </c>
      <c r="C46" s="38" t="s">
        <v>156</v>
      </c>
      <c r="D46" s="38" t="s">
        <v>141</v>
      </c>
      <c r="E46" s="38" t="s">
        <v>143</v>
      </c>
      <c r="F46" s="13">
        <v>5</v>
      </c>
      <c r="G46" s="13">
        <v>0</v>
      </c>
      <c r="H46" s="40" t="str">
        <f t="shared" si="0"/>
        <v>1</v>
      </c>
      <c r="I46" s="40">
        <f>IF(OR(F46="",G46="",'📊 Resultat &amp; Tabell'!K47="",'📊 Resultat &amp; Tabell'!L47=""),"",IF(F46='📊 Resultat &amp; Tabell'!K47,2,0)+IF(G46='📊 Resultat &amp; Tabell'!L47,2,0))</f>
        <v>2</v>
      </c>
      <c r="J46" s="40">
        <f>IF(OR(H46="",'📊 Resultat &amp; Tabell'!M47=""),"",IF(H46='📊 Resultat &amp; Tabell'!M47,2,0))</f>
        <v>0</v>
      </c>
      <c r="K46" s="40">
        <f t="shared" si="1"/>
        <v>2</v>
      </c>
      <c r="L46" s="64" t="s">
        <v>129</v>
      </c>
      <c r="M46" s="53" t="s">
        <v>269</v>
      </c>
      <c r="N46" s="53" t="s">
        <v>269</v>
      </c>
      <c r="O46" s="53" t="s">
        <v>269</v>
      </c>
      <c r="P46" s="53" t="s">
        <v>269</v>
      </c>
      <c r="Q46" s="53" t="s">
        <v>269</v>
      </c>
      <c r="R46" s="54" t="s">
        <v>269</v>
      </c>
      <c r="S46" s="54" t="s">
        <v>269</v>
      </c>
      <c r="T46" s="69" t="s">
        <v>269</v>
      </c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5" customHeight="1">
      <c r="A47" s="12">
        <v>44</v>
      </c>
      <c r="B47" s="39" t="s">
        <v>50</v>
      </c>
      <c r="C47" s="39" t="s">
        <v>156</v>
      </c>
      <c r="D47" s="39" t="s">
        <v>146</v>
      </c>
      <c r="E47" s="39" t="s">
        <v>148</v>
      </c>
      <c r="F47" s="13">
        <v>0</v>
      </c>
      <c r="G47" s="13">
        <v>2</v>
      </c>
      <c r="H47" s="40" t="str">
        <f t="shared" si="0"/>
        <v>2</v>
      </c>
      <c r="I47" s="40">
        <f>IF(OR(F47="",G47="",'📊 Resultat &amp; Tabell'!K48="",'📊 Resultat &amp; Tabell'!L48=""),"",IF(F47='📊 Resultat &amp; Tabell'!K48,2,0)+IF(G47='📊 Resultat &amp; Tabell'!L48,2,0))</f>
        <v>0</v>
      </c>
      <c r="J47" s="40">
        <f>IF(OR(H47="",'📊 Resultat &amp; Tabell'!M48=""),"",IF(H47='📊 Resultat &amp; Tabell'!M48,2,0))</f>
        <v>0</v>
      </c>
      <c r="K47" s="40">
        <f t="shared" si="1"/>
        <v>0</v>
      </c>
      <c r="L47" s="65" t="s">
        <v>53</v>
      </c>
      <c r="M47" s="55" t="s">
        <v>54</v>
      </c>
      <c r="N47" s="55" t="s">
        <v>55</v>
      </c>
      <c r="O47" s="55" t="s">
        <v>56</v>
      </c>
      <c r="P47" s="55" t="s">
        <v>57</v>
      </c>
      <c r="Q47" s="55" t="s">
        <v>58</v>
      </c>
      <c r="R47" s="56" t="s">
        <v>59</v>
      </c>
      <c r="S47" s="57" t="s">
        <v>60</v>
      </c>
      <c r="T47" s="70" t="s">
        <v>289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>
      <c r="A48" s="15">
        <v>45</v>
      </c>
      <c r="B48" s="38" t="s">
        <v>50</v>
      </c>
      <c r="C48" s="38" t="s">
        <v>156</v>
      </c>
      <c r="D48" s="38" t="s">
        <v>148</v>
      </c>
      <c r="E48" s="38" t="s">
        <v>143</v>
      </c>
      <c r="F48" s="13">
        <v>2</v>
      </c>
      <c r="G48" s="13">
        <v>1</v>
      </c>
      <c r="H48" s="40" t="str">
        <f t="shared" si="0"/>
        <v>1</v>
      </c>
      <c r="I48" s="40">
        <f>IF(OR(F48="",G48="",'📊 Resultat &amp; Tabell'!K49="",'📊 Resultat &amp; Tabell'!L49=""),"",IF(F48='📊 Resultat &amp; Tabell'!K49,2,0)+IF(G48='📊 Resultat &amp; Tabell'!L49,2,0))</f>
        <v>2</v>
      </c>
      <c r="J48" s="40">
        <f>IF(OR(H48="",'📊 Resultat &amp; Tabell'!M49=""),"",IF(H48='📊 Resultat &amp; Tabell'!M49,2,0))</f>
        <v>0</v>
      </c>
      <c r="K48" s="40">
        <f t="shared" si="1"/>
        <v>2</v>
      </c>
      <c r="L48" s="66" t="s">
        <v>131</v>
      </c>
      <c r="M48" s="59" cm="1">
        <f t="array" ref="M48">SUMPRODUCT(--($C$4:$C$75="G"),--($D$4:$D$75=L48),--($F$4:$F$75&gt;$G$4:$G$75),--($F$4:$F$75&lt;&gt;""),--($G$4:$G$75&lt;&gt;""))+SUMPRODUCT(--($C$4:$C$75="G"),--($E$4:$E$75=L48),--($G$4:$G$75&gt;$F$4:$F$75),--($F$4:$F$75&lt;&gt;""),--($G$4:$G$75&lt;&gt;""))</f>
        <v>3</v>
      </c>
      <c r="N48" s="59" cm="1">
        <f t="array" ref="N48">SUMPRODUCT(--($C$4:$C$75="G"),--(($D$4:$D$75=L48)+($E$4:$E$75=L48)&gt;0),--($F$4:$F$75=$G$4:$G$75),--($F$4:$F$75&lt;&gt;""),--($G$4:$G$75&lt;&gt;""))</f>
        <v>0</v>
      </c>
      <c r="O48" s="59" cm="1">
        <f t="array" ref="O48">SUMPRODUCT(--($C$4:$C$75="G"),--($D$4:$D$75=L48),--($F$4:$F$75&lt;$G$4:$G$75),--($F$4:$F$75&lt;&gt;""),--($G$4:$G$75&lt;&gt;""))+SUMPRODUCT(--($C$4:$C$75="G"),--($E$4:$E$75=L48),--($G$4:$G$75&lt;$F$4:$F$75),--($F$4:$F$75&lt;&gt;""),--($G$4:$G$75&lt;&gt;""))</f>
        <v>0</v>
      </c>
      <c r="P48" s="59" cm="1">
        <f t="array" ref="P48">SUMPRODUCT(--($C$4:$C$75="G"),--($D$4:$D$75=L48),$F$4:$F$75,--($F$4:$F$75&lt;&gt;""),--($G$4:$G$75&lt;&gt;""))+SUMPRODUCT(--($C$4:$C$75="G"),--($E$4:$E$75=L48),$G$4:$G$75,--($F$4:$F$75&lt;&gt;""),--($G$4:$G$75&lt;&gt;""))</f>
        <v>9</v>
      </c>
      <c r="Q48" s="59" cm="1">
        <f t="array" ref="Q48">SUMPRODUCT(--($C$4:$C$75="G"),--($D$4:$D$75=L48),$G$4:$G$75,--($F$4:$F$75&lt;&gt;""),--($G$4:$G$75&lt;&gt;""))+SUMPRODUCT(--($C$4:$C$75="G"),--($E$4:$E$75=L48),$F$4:$F$75,--($F$4:$F$75&lt;&gt;""),--($G$4:$G$75&lt;&gt;""))</f>
        <v>3</v>
      </c>
      <c r="R48" s="60">
        <f t="shared" ref="R48:R51" si="21">P48-Q48</f>
        <v>6</v>
      </c>
      <c r="S48" s="60">
        <f t="shared" ref="S48:S51" si="22">M48*3+N48</f>
        <v>9</v>
      </c>
      <c r="T48" s="71">
        <f t="shared" ref="T48:T51" si="23">S48*100000+R48*1000+P48</f>
        <v>906009</v>
      </c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>
      <c r="A49" s="12">
        <v>46</v>
      </c>
      <c r="B49" s="39" t="s">
        <v>50</v>
      </c>
      <c r="C49" s="39" t="s">
        <v>156</v>
      </c>
      <c r="D49" s="39" t="s">
        <v>141</v>
      </c>
      <c r="E49" s="39" t="s">
        <v>146</v>
      </c>
      <c r="F49" s="13">
        <v>3</v>
      </c>
      <c r="G49" s="13">
        <v>0</v>
      </c>
      <c r="H49" s="40" t="str">
        <f t="shared" si="0"/>
        <v>1</v>
      </c>
      <c r="I49" s="40">
        <f>IF(OR(F49="",G49="",'📊 Resultat &amp; Tabell'!K50="",'📊 Resultat &amp; Tabell'!L50=""),"",IF(F49='📊 Resultat &amp; Tabell'!K50,2,0)+IF(G49='📊 Resultat &amp; Tabell'!L50,2,0))</f>
        <v>2</v>
      </c>
      <c r="J49" s="40">
        <f>IF(OR(H49="",'📊 Resultat &amp; Tabell'!M50=""),"",IF(H49='📊 Resultat &amp; Tabell'!M50,2,0))</f>
        <v>2</v>
      </c>
      <c r="K49" s="40">
        <f t="shared" si="1"/>
        <v>4</v>
      </c>
      <c r="L49" s="66" t="s">
        <v>134</v>
      </c>
      <c r="M49" s="59" cm="1">
        <f t="array" ref="M49">SUMPRODUCT(--($C$4:$C$75="G"),--($D$4:$D$75=L49),--($F$4:$F$75&gt;$G$4:$G$75),--($F$4:$F$75&lt;&gt;""),--($G$4:$G$75&lt;&gt;""))+SUMPRODUCT(--($C$4:$C$75="G"),--($E$4:$E$75=L49),--($G$4:$G$75&gt;$F$4:$F$75),--($F$4:$F$75&lt;&gt;""),--($G$4:$G$75&lt;&gt;""))</f>
        <v>1</v>
      </c>
      <c r="N49" s="59" cm="1">
        <f t="array" ref="N49">SUMPRODUCT(--($C$4:$C$75="G"),--(($D$4:$D$75=L49)+($E$4:$E$75=L49)&gt;0),--($F$4:$F$75=$G$4:$G$75),--($F$4:$F$75&lt;&gt;""),--($G$4:$G$75&lt;&gt;""))</f>
        <v>1</v>
      </c>
      <c r="O49" s="59" cm="1">
        <f t="array" ref="O49">SUMPRODUCT(--($C$4:$C$75="G"),--($D$4:$D$75=L49),--($F$4:$F$75&lt;$G$4:$G$75),--($F$4:$F$75&lt;&gt;""),--($G$4:$G$75&lt;&gt;""))+SUMPRODUCT(--($C$4:$C$75="G"),--($E$4:$E$75=L49),--($G$4:$G$75&lt;$F$4:$F$75),--($F$4:$F$75&lt;&gt;""),--($G$4:$G$75&lt;&gt;""))</f>
        <v>1</v>
      </c>
      <c r="P49" s="59" cm="1">
        <f t="array" ref="P49">SUMPRODUCT(--($C$4:$C$75="G"),--($D$4:$D$75=L49),$F$4:$F$75,--($F$4:$F$75&lt;&gt;""),--($G$4:$G$75&lt;&gt;""))+SUMPRODUCT(--($C$4:$C$75="G"),--($E$4:$E$75=L49),$G$4:$G$75,--($F$4:$F$75&lt;&gt;""),--($G$4:$G$75&lt;&gt;""))</f>
        <v>5</v>
      </c>
      <c r="Q49" s="59" cm="1">
        <f t="array" ref="Q49">SUMPRODUCT(--($C$4:$C$75="G"),--($D$4:$D$75=L49),$G$4:$G$75,--($F$4:$F$75&lt;&gt;""),--($G$4:$G$75&lt;&gt;""))+SUMPRODUCT(--($C$4:$C$75="G"),--($E$4:$E$75=L49),$F$4:$F$75,--($F$4:$F$75&lt;&gt;""),--($G$4:$G$75&lt;&gt;""))</f>
        <v>4</v>
      </c>
      <c r="R49" s="60">
        <f t="shared" si="21"/>
        <v>1</v>
      </c>
      <c r="S49" s="60">
        <f t="shared" si="22"/>
        <v>4</v>
      </c>
      <c r="T49" s="71">
        <f t="shared" si="23"/>
        <v>401005</v>
      </c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>
      <c r="A50" s="15">
        <v>47</v>
      </c>
      <c r="B50" s="38" t="s">
        <v>50</v>
      </c>
      <c r="C50" s="38" t="s">
        <v>156</v>
      </c>
      <c r="D50" s="38" t="s">
        <v>148</v>
      </c>
      <c r="E50" s="38" t="s">
        <v>141</v>
      </c>
      <c r="F50" s="13">
        <v>1</v>
      </c>
      <c r="G50" s="13">
        <v>1</v>
      </c>
      <c r="H50" s="40" t="str">
        <f t="shared" si="0"/>
        <v>X</v>
      </c>
      <c r="I50" s="40">
        <f>IF(OR(F50="",G50="",'📊 Resultat &amp; Tabell'!K51="",'📊 Resultat &amp; Tabell'!L51=""),"",IF(F50='📊 Resultat &amp; Tabell'!K51,2,0)+IF(G50='📊 Resultat &amp; Tabell'!L51,2,0))</f>
        <v>2</v>
      </c>
      <c r="J50" s="40">
        <f>IF(OR(H50="",'📊 Resultat &amp; Tabell'!M51=""),"",IF(H50='📊 Resultat &amp; Tabell'!M51,2,0))</f>
        <v>0</v>
      </c>
      <c r="K50" s="40">
        <f t="shared" si="1"/>
        <v>2</v>
      </c>
      <c r="L50" s="66" t="s">
        <v>136</v>
      </c>
      <c r="M50" s="59" cm="1">
        <f t="array" ref="M50">SUMPRODUCT(--($C$4:$C$75="G"),--($D$4:$D$75=L50),--($F$4:$F$75&gt;$G$4:$G$75),--($F$4:$F$75&lt;&gt;""),--($G$4:$G$75&lt;&gt;""))+SUMPRODUCT(--($C$4:$C$75="G"),--($E$4:$E$75=L50),--($G$4:$G$75&gt;$F$4:$F$75),--($F$4:$F$75&lt;&gt;""),--($G$4:$G$75&lt;&gt;""))</f>
        <v>1</v>
      </c>
      <c r="N50" s="59" cm="1">
        <f t="array" ref="N50">SUMPRODUCT(--($C$4:$C$75="G"),--(($D$4:$D$75=L50)+($E$4:$E$75=L50)&gt;0),--($F$4:$F$75=$G$4:$G$75),--($F$4:$F$75&lt;&gt;""),--($G$4:$G$75&lt;&gt;""))</f>
        <v>1</v>
      </c>
      <c r="O50" s="59" cm="1">
        <f t="array" ref="O50">SUMPRODUCT(--($C$4:$C$75="G"),--($D$4:$D$75=L50),--($F$4:$F$75&lt;$G$4:$G$75),--($F$4:$F$75&lt;&gt;""),--($G$4:$G$75&lt;&gt;""))+SUMPRODUCT(--($C$4:$C$75="G"),--($E$4:$E$75=L50),--($G$4:$G$75&lt;$F$4:$F$75),--($F$4:$F$75&lt;&gt;""),--($G$4:$G$75&lt;&gt;""))</f>
        <v>1</v>
      </c>
      <c r="P50" s="59" cm="1">
        <f t="array" ref="P50">SUMPRODUCT(--($C$4:$C$75="G"),--($D$4:$D$75=L50),$F$4:$F$75,--($F$4:$F$75&lt;&gt;""),--($G$4:$G$75&lt;&gt;""))+SUMPRODUCT(--($C$4:$C$75="G"),--($E$4:$E$75=L50),$G$4:$G$75,--($F$4:$F$75&lt;&gt;""),--($G$4:$G$75&lt;&gt;""))</f>
        <v>3</v>
      </c>
      <c r="Q50" s="59" cm="1">
        <f t="array" ref="Q50">SUMPRODUCT(--($C$4:$C$75="G"),--($D$4:$D$75=L50),$G$4:$G$75,--($F$4:$F$75&lt;&gt;""),--($G$4:$G$75&lt;&gt;""))+SUMPRODUCT(--($C$4:$C$75="G"),--($E$4:$E$75=L50),$F$4:$F$75,--($F$4:$F$75&lt;&gt;""),--($G$4:$G$75&lt;&gt;""))</f>
        <v>4</v>
      </c>
      <c r="R50" s="60">
        <f t="shared" si="21"/>
        <v>-1</v>
      </c>
      <c r="S50" s="60">
        <f t="shared" si="22"/>
        <v>4</v>
      </c>
      <c r="T50" s="71">
        <f t="shared" si="23"/>
        <v>399003</v>
      </c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>
      <c r="A51" s="12">
        <v>48</v>
      </c>
      <c r="B51" s="39" t="s">
        <v>50</v>
      </c>
      <c r="C51" s="39" t="s">
        <v>156</v>
      </c>
      <c r="D51" s="39" t="s">
        <v>143</v>
      </c>
      <c r="E51" s="39" t="s">
        <v>146</v>
      </c>
      <c r="F51" s="13">
        <v>1</v>
      </c>
      <c r="G51" s="13">
        <v>2</v>
      </c>
      <c r="H51" s="40" t="str">
        <f t="shared" si="0"/>
        <v>2</v>
      </c>
      <c r="I51" s="40">
        <f>IF(OR(F51="",G51="",'📊 Resultat &amp; Tabell'!K52="",'📊 Resultat &amp; Tabell'!L52=""),"",IF(F51='📊 Resultat &amp; Tabell'!K52,2,0)+IF(G51='📊 Resultat &amp; Tabell'!L52,2,0))</f>
        <v>0</v>
      </c>
      <c r="J51" s="40">
        <f>IF(OR(H51="",'📊 Resultat &amp; Tabell'!M52=""),"",IF(H51='📊 Resultat &amp; Tabell'!M52,2,0))</f>
        <v>0</v>
      </c>
      <c r="K51" s="40">
        <f t="shared" si="1"/>
        <v>0</v>
      </c>
      <c r="L51" s="66" t="s">
        <v>138</v>
      </c>
      <c r="M51" s="59" cm="1">
        <f t="array" ref="M51">SUMPRODUCT(--($C$4:$C$75="G"),--($D$4:$D$75=L51),--($F$4:$F$75&gt;$G$4:$G$75),--($F$4:$F$75&lt;&gt;""),--($G$4:$G$75&lt;&gt;""))+SUMPRODUCT(--($C$4:$C$75="G"),--($E$4:$E$75=L51),--($G$4:$G$75&gt;$F$4:$F$75),--($F$4:$F$75&lt;&gt;""),--($G$4:$G$75&lt;&gt;""))</f>
        <v>0</v>
      </c>
      <c r="N51" s="59" cm="1">
        <f t="array" ref="N51">SUMPRODUCT(--($C$4:$C$75="G"),--(($D$4:$D$75=L51)+($E$4:$E$75=L51)&gt;0),--($F$4:$F$75=$G$4:$G$75),--($F$4:$F$75&lt;&gt;""),--($G$4:$G$75&lt;&gt;""))</f>
        <v>0</v>
      </c>
      <c r="O51" s="59" cm="1">
        <f t="array" ref="O51">SUMPRODUCT(--($C$4:$C$75="G"),--($D$4:$D$75=L51),--($F$4:$F$75&lt;$G$4:$G$75),--($F$4:$F$75&lt;&gt;""),--($G$4:$G$75&lt;&gt;""))+SUMPRODUCT(--($C$4:$C$75="G"),--($E$4:$E$75=L51),--($G$4:$G$75&lt;$F$4:$F$75),--($F$4:$F$75&lt;&gt;""),--($G$4:$G$75&lt;&gt;""))</f>
        <v>3</v>
      </c>
      <c r="P51" s="59" cm="1">
        <f t="array" ref="P51">SUMPRODUCT(--($C$4:$C$75="G"),--($D$4:$D$75=L51),$F$4:$F$75,--($F$4:$F$75&lt;&gt;""),--($G$4:$G$75&lt;&gt;""))+SUMPRODUCT(--($C$4:$C$75="G"),--($E$4:$E$75=L51),$G$4:$G$75,--($F$4:$F$75&lt;&gt;""),--($G$4:$G$75&lt;&gt;""))</f>
        <v>0</v>
      </c>
      <c r="Q51" s="59" cm="1">
        <f t="array" ref="Q51">SUMPRODUCT(--($C$4:$C$75="G"),--($D$4:$D$75=L51),$G$4:$G$75,--($F$4:$F$75&lt;&gt;""),--($G$4:$G$75&lt;&gt;""))+SUMPRODUCT(--($C$4:$C$75="G"),--($E$4:$E$75=L51),$F$4:$F$75,--($F$4:$F$75&lt;&gt;""),--($G$4:$G$75&lt;&gt;""))</f>
        <v>6</v>
      </c>
      <c r="R51" s="60">
        <f t="shared" si="21"/>
        <v>-6</v>
      </c>
      <c r="S51" s="60">
        <f t="shared" si="22"/>
        <v>0</v>
      </c>
      <c r="T51" s="71">
        <f t="shared" si="23"/>
        <v>-6000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>
      <c r="A52" s="15">
        <v>49</v>
      </c>
      <c r="B52" s="38" t="s">
        <v>50</v>
      </c>
      <c r="C52" s="38" t="s">
        <v>168</v>
      </c>
      <c r="D52" s="38" t="s">
        <v>151</v>
      </c>
      <c r="E52" s="38" t="s">
        <v>153</v>
      </c>
      <c r="F52" s="13">
        <v>3</v>
      </c>
      <c r="G52" s="13">
        <v>1</v>
      </c>
      <c r="H52" s="40" t="str">
        <f t="shared" si="0"/>
        <v>1</v>
      </c>
      <c r="I52" s="40">
        <f>IF(OR(F52="",G52="",'📊 Resultat &amp; Tabell'!K53="",'📊 Resultat &amp; Tabell'!L53=""),"",IF(F52='📊 Resultat &amp; Tabell'!K53,2,0)+IF(G52='📊 Resultat &amp; Tabell'!L53,2,0))</f>
        <v>4</v>
      </c>
      <c r="J52" s="40">
        <f>IF(OR(H52="",'📊 Resultat &amp; Tabell'!M53=""),"",IF(H52='📊 Resultat &amp; Tabell'!M53,2,0))</f>
        <v>2</v>
      </c>
      <c r="K52" s="40">
        <f t="shared" si="1"/>
        <v>6</v>
      </c>
      <c r="L52" s="67" t="s">
        <v>269</v>
      </c>
      <c r="M52" s="59"/>
      <c r="N52" s="59"/>
      <c r="O52" s="59"/>
      <c r="P52" s="59"/>
      <c r="Q52" s="59"/>
      <c r="R52" s="60"/>
      <c r="S52" s="60"/>
      <c r="T52" s="7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>
      <c r="A53" s="12">
        <v>50</v>
      </c>
      <c r="B53" s="39" t="s">
        <v>50</v>
      </c>
      <c r="C53" s="39" t="s">
        <v>168</v>
      </c>
      <c r="D53" s="39" t="s">
        <v>155</v>
      </c>
      <c r="E53" s="39" t="s">
        <v>158</v>
      </c>
      <c r="F53" s="13">
        <v>0</v>
      </c>
      <c r="G53" s="13">
        <v>2</v>
      </c>
      <c r="H53" s="40" t="str">
        <f t="shared" si="0"/>
        <v>2</v>
      </c>
      <c r="I53" s="40">
        <f>IF(OR(F53="",G53="",'📊 Resultat &amp; Tabell'!K54="",'📊 Resultat &amp; Tabell'!L54=""),"",IF(F53='📊 Resultat &amp; Tabell'!K54,2,0)+IF(G53='📊 Resultat &amp; Tabell'!L54,2,0))</f>
        <v>0</v>
      </c>
      <c r="J53" s="40">
        <f>IF(OR(H53="",'📊 Resultat &amp; Tabell'!M54=""),"",IF(H53='📊 Resultat &amp; Tabell'!M54,2,0))</f>
        <v>2</v>
      </c>
      <c r="K53" s="40">
        <f t="shared" si="1"/>
        <v>2</v>
      </c>
      <c r="L53" s="64" t="s">
        <v>139</v>
      </c>
      <c r="M53" s="53" t="s">
        <v>269</v>
      </c>
      <c r="N53" s="53" t="s">
        <v>269</v>
      </c>
      <c r="O53" s="53" t="s">
        <v>269</v>
      </c>
      <c r="P53" s="53" t="s">
        <v>269</v>
      </c>
      <c r="Q53" s="53" t="s">
        <v>269</v>
      </c>
      <c r="R53" s="54" t="s">
        <v>269</v>
      </c>
      <c r="S53" s="54" t="s">
        <v>269</v>
      </c>
      <c r="T53" s="69" t="s">
        <v>269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5.75" customHeight="1">
      <c r="A54" s="15">
        <v>51</v>
      </c>
      <c r="B54" s="38" t="s">
        <v>50</v>
      </c>
      <c r="C54" s="38" t="s">
        <v>168</v>
      </c>
      <c r="D54" s="38" t="s">
        <v>158</v>
      </c>
      <c r="E54" s="38" t="s">
        <v>153</v>
      </c>
      <c r="F54" s="13">
        <v>2</v>
      </c>
      <c r="G54" s="13">
        <v>1</v>
      </c>
      <c r="H54" s="40" t="str">
        <f t="shared" si="0"/>
        <v>1</v>
      </c>
      <c r="I54" s="40">
        <f>IF(OR(F54="",G54="",'📊 Resultat &amp; Tabell'!K55="",'📊 Resultat &amp; Tabell'!L55=""),"",IF(F54='📊 Resultat &amp; Tabell'!K55,2,0)+IF(G54='📊 Resultat &amp; Tabell'!L55,2,0))</f>
        <v>0</v>
      </c>
      <c r="J54" s="40">
        <f>IF(OR(H54="",'📊 Resultat &amp; Tabell'!M55=""),"",IF(H54='📊 Resultat &amp; Tabell'!M55,2,0))</f>
        <v>2</v>
      </c>
      <c r="K54" s="40">
        <f t="shared" si="1"/>
        <v>2</v>
      </c>
      <c r="L54" s="65" t="s">
        <v>53</v>
      </c>
      <c r="M54" s="55" t="s">
        <v>54</v>
      </c>
      <c r="N54" s="55" t="s">
        <v>55</v>
      </c>
      <c r="O54" s="55" t="s">
        <v>56</v>
      </c>
      <c r="P54" s="55" t="s">
        <v>57</v>
      </c>
      <c r="Q54" s="55" t="s">
        <v>58</v>
      </c>
      <c r="R54" s="56" t="s">
        <v>59</v>
      </c>
      <c r="S54" s="57" t="s">
        <v>60</v>
      </c>
      <c r="T54" s="70" t="s">
        <v>289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>
      <c r="A55" s="12">
        <v>52</v>
      </c>
      <c r="B55" s="39" t="s">
        <v>50</v>
      </c>
      <c r="C55" s="39" t="s">
        <v>168</v>
      </c>
      <c r="D55" s="39" t="s">
        <v>151</v>
      </c>
      <c r="E55" s="39" t="s">
        <v>155</v>
      </c>
      <c r="F55" s="13">
        <v>3</v>
      </c>
      <c r="G55" s="13">
        <v>1</v>
      </c>
      <c r="H55" s="40" t="str">
        <f t="shared" si="0"/>
        <v>1</v>
      </c>
      <c r="I55" s="40">
        <f>IF(OR(F55="",G55="",'📊 Resultat &amp; Tabell'!K56="",'📊 Resultat &amp; Tabell'!L56=""),"",IF(F55='📊 Resultat &amp; Tabell'!K56,2,0)+IF(G55='📊 Resultat &amp; Tabell'!L56,2,0))</f>
        <v>2</v>
      </c>
      <c r="J55" s="40">
        <f>IF(OR(H55="",'📊 Resultat &amp; Tabell'!M56=""),"",IF(H55='📊 Resultat &amp; Tabell'!M56,2,0))</f>
        <v>2</v>
      </c>
      <c r="K55" s="40">
        <f t="shared" si="1"/>
        <v>4</v>
      </c>
      <c r="L55" s="66" t="s">
        <v>141</v>
      </c>
      <c r="M55" s="59" cm="1">
        <f t="array" ref="M55">SUMPRODUCT(--($C$4:$C$75="H"),--($D$4:$D$75=L55),--($F$4:$F$75&gt;$G$4:$G$75),--($F$4:$F$75&lt;&gt;""),--($G$4:$G$75&lt;&gt;""))+SUMPRODUCT(--($C$4:$C$75="H"),--($E$4:$E$75=L55),--($G$4:$G$75&gt;$F$4:$F$75),--($F$4:$F$75&lt;&gt;""),--($G$4:$G$75&lt;&gt;""))</f>
        <v>2</v>
      </c>
      <c r="N55" s="59" cm="1">
        <f t="array" ref="N55">SUMPRODUCT(--($C$4:$C$75="H"),--(($D$4:$D$75=L55)+($E$4:$E$75=L55)&gt;0),--($F$4:$F$75=$G$4:$G$75),--($F$4:$F$75&lt;&gt;""),--($G$4:$G$75&lt;&gt;""))</f>
        <v>1</v>
      </c>
      <c r="O55" s="59" cm="1">
        <f t="array" ref="O55">SUMPRODUCT(--($C$4:$C$75="H"),--($D$4:$D$75=L55),--($F$4:$F$75&lt;$G$4:$G$75),--($F$4:$F$75&lt;&gt;""),--($G$4:$G$75&lt;&gt;""))+SUMPRODUCT(--($C$4:$C$75="H"),--($E$4:$E$75=L55),--($G$4:$G$75&lt;$F$4:$F$75),--($F$4:$F$75&lt;&gt;""),--($G$4:$G$75&lt;&gt;""))</f>
        <v>0</v>
      </c>
      <c r="P55" s="59" cm="1">
        <f t="array" ref="P55">SUMPRODUCT(--($C$4:$C$75="H"),--($D$4:$D$75=L55),$F$4:$F$75,--($F$4:$F$75&lt;&gt;""),--($G$4:$G$75&lt;&gt;""))+SUMPRODUCT(--($C$4:$C$75="H"),--($E$4:$E$75=L55),$G$4:$G$75,--($F$4:$F$75&lt;&gt;""),--($G$4:$G$75&lt;&gt;""))</f>
        <v>9</v>
      </c>
      <c r="Q55" s="59" cm="1">
        <f t="array" ref="Q55">SUMPRODUCT(--($C$4:$C$75="H"),--($D$4:$D$75=L55),$G$4:$G$75,--($F$4:$F$75&lt;&gt;""),--($G$4:$G$75&lt;&gt;""))+SUMPRODUCT(--($C$4:$C$75="H"),--($E$4:$E$75=L55),$F$4:$F$75,--($F$4:$F$75&lt;&gt;""),--($G$4:$G$75&lt;&gt;""))</f>
        <v>1</v>
      </c>
      <c r="R55" s="60">
        <f t="shared" ref="R55:R58" si="24">P55-Q55</f>
        <v>8</v>
      </c>
      <c r="S55" s="60">
        <f t="shared" ref="S55:S58" si="25">M55*3+N55</f>
        <v>7</v>
      </c>
      <c r="T55" s="71">
        <f t="shared" ref="T55:T58" si="26">S55*100000+R55*1000+P55</f>
        <v>708009</v>
      </c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>
      <c r="A56" s="15">
        <v>53</v>
      </c>
      <c r="B56" s="38" t="s">
        <v>50</v>
      </c>
      <c r="C56" s="38" t="s">
        <v>168</v>
      </c>
      <c r="D56" s="38" t="s">
        <v>158</v>
      </c>
      <c r="E56" s="38" t="s">
        <v>151</v>
      </c>
      <c r="F56" s="13">
        <v>2</v>
      </c>
      <c r="G56" s="13">
        <v>2</v>
      </c>
      <c r="H56" s="40" t="str">
        <f t="shared" si="0"/>
        <v>X</v>
      </c>
      <c r="I56" s="40">
        <f>IF(OR(F56="",G56="",'📊 Resultat &amp; Tabell'!K57="",'📊 Resultat &amp; Tabell'!L57=""),"",IF(F56='📊 Resultat &amp; Tabell'!K57,2,0)+IF(G56='📊 Resultat &amp; Tabell'!L57,2,0))</f>
        <v>0</v>
      </c>
      <c r="J56" s="40">
        <f>IF(OR(H56="",'📊 Resultat &amp; Tabell'!M57=""),"",IF(H56='📊 Resultat &amp; Tabell'!M57,2,0))</f>
        <v>0</v>
      </c>
      <c r="K56" s="40">
        <f t="shared" si="1"/>
        <v>0</v>
      </c>
      <c r="L56" s="66" t="s">
        <v>143</v>
      </c>
      <c r="M56" s="59" cm="1">
        <f t="array" ref="M56">SUMPRODUCT(--($C$4:$C$75="H"),--($D$4:$D$75=L56),--($F$4:$F$75&gt;$G$4:$G$75),--($F$4:$F$75&lt;&gt;""),--($G$4:$G$75&lt;&gt;""))+SUMPRODUCT(--($C$4:$C$75="H"),--($E$4:$E$75=L56),--($G$4:$G$75&gt;$F$4:$F$75),--($F$4:$F$75&lt;&gt;""),--($G$4:$G$75&lt;&gt;""))</f>
        <v>0</v>
      </c>
      <c r="N56" s="59" cm="1">
        <f t="array" ref="N56">SUMPRODUCT(--($C$4:$C$75="H"),--(($D$4:$D$75=L56)+($E$4:$E$75=L56)&gt;0),--($F$4:$F$75=$G$4:$G$75),--($F$4:$F$75&lt;&gt;""),--($G$4:$G$75&lt;&gt;""))</f>
        <v>0</v>
      </c>
      <c r="O56" s="59" cm="1">
        <f t="array" ref="O56">SUMPRODUCT(--($C$4:$C$75="H"),--($D$4:$D$75=L56),--($F$4:$F$75&lt;$G$4:$G$75),--($F$4:$F$75&lt;&gt;""),--($G$4:$G$75&lt;&gt;""))+SUMPRODUCT(--($C$4:$C$75="H"),--($E$4:$E$75=L56),--($G$4:$G$75&lt;$F$4:$F$75),--($F$4:$F$75&lt;&gt;""),--($G$4:$G$75&lt;&gt;""))</f>
        <v>3</v>
      </c>
      <c r="P56" s="59" cm="1">
        <f t="array" ref="P56">SUMPRODUCT(--($C$4:$C$75="H"),--($D$4:$D$75=L56),$F$4:$F$75,--($F$4:$F$75&lt;&gt;""),--($G$4:$G$75&lt;&gt;""))+SUMPRODUCT(--($C$4:$C$75="H"),--($E$4:$E$75=L56),$G$4:$G$75,--($F$4:$F$75&lt;&gt;""),--($G$4:$G$75&lt;&gt;""))</f>
        <v>2</v>
      </c>
      <c r="Q56" s="59" cm="1">
        <f t="array" ref="Q56">SUMPRODUCT(--($C$4:$C$75="H"),--($D$4:$D$75=L56),$G$4:$G$75,--($F$4:$F$75&lt;&gt;""),--($G$4:$G$75&lt;&gt;""))+SUMPRODUCT(--($C$4:$C$75="H"),--($E$4:$E$75=L56),$F$4:$F$75,--($F$4:$F$75&lt;&gt;""),--($G$4:$G$75&lt;&gt;""))</f>
        <v>9</v>
      </c>
      <c r="R56" s="60">
        <f t="shared" si="24"/>
        <v>-7</v>
      </c>
      <c r="S56" s="60">
        <f t="shared" si="25"/>
        <v>0</v>
      </c>
      <c r="T56" s="71">
        <f t="shared" si="26"/>
        <v>-6998</v>
      </c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>
      <c r="A57" s="12">
        <v>54</v>
      </c>
      <c r="B57" s="39" t="s">
        <v>50</v>
      </c>
      <c r="C57" s="39" t="s">
        <v>168</v>
      </c>
      <c r="D57" s="39" t="s">
        <v>153</v>
      </c>
      <c r="E57" s="39" t="s">
        <v>155</v>
      </c>
      <c r="F57" s="13">
        <v>2</v>
      </c>
      <c r="G57" s="13">
        <v>0</v>
      </c>
      <c r="H57" s="40" t="str">
        <f t="shared" si="0"/>
        <v>1</v>
      </c>
      <c r="I57" s="40">
        <f>IF(OR(F57="",G57="",'📊 Resultat &amp; Tabell'!K58="",'📊 Resultat &amp; Tabell'!L58=""),"",IF(F57='📊 Resultat &amp; Tabell'!K58,2,0)+IF(G57='📊 Resultat &amp; Tabell'!L58,2,0))</f>
        <v>2</v>
      </c>
      <c r="J57" s="40">
        <f>IF(OR(H57="",'📊 Resultat &amp; Tabell'!M58=""),"",IF(H57='📊 Resultat &amp; Tabell'!M58,2,0))</f>
        <v>2</v>
      </c>
      <c r="K57" s="40">
        <f t="shared" si="1"/>
        <v>4</v>
      </c>
      <c r="L57" s="66" t="s">
        <v>146</v>
      </c>
      <c r="M57" s="59" cm="1">
        <f t="array" ref="M57">SUMPRODUCT(--($C$4:$C$75="H"),--($D$4:$D$75=L57),--($F$4:$F$75&gt;$G$4:$G$75),--($F$4:$F$75&lt;&gt;""),--($G$4:$G$75&lt;&gt;""))+SUMPRODUCT(--($C$4:$C$75="H"),--($E$4:$E$75=L57),--($G$4:$G$75&gt;$F$4:$F$75),--($F$4:$F$75&lt;&gt;""),--($G$4:$G$75&lt;&gt;""))</f>
        <v>1</v>
      </c>
      <c r="N57" s="59" cm="1">
        <f t="array" ref="N57">SUMPRODUCT(--($C$4:$C$75="H"),--(($D$4:$D$75=L57)+($E$4:$E$75=L57)&gt;0),--($F$4:$F$75=$G$4:$G$75),--($F$4:$F$75&lt;&gt;""),--($G$4:$G$75&lt;&gt;""))</f>
        <v>0</v>
      </c>
      <c r="O57" s="59" cm="1">
        <f t="array" ref="O57">SUMPRODUCT(--($C$4:$C$75="H"),--($D$4:$D$75=L57),--($F$4:$F$75&lt;$G$4:$G$75),--($F$4:$F$75&lt;&gt;""),--($G$4:$G$75&lt;&gt;""))+SUMPRODUCT(--($C$4:$C$75="H"),--($E$4:$E$75=L57),--($G$4:$G$75&lt;$F$4:$F$75),--($F$4:$F$75&lt;&gt;""),--($G$4:$G$75&lt;&gt;""))</f>
        <v>2</v>
      </c>
      <c r="P57" s="59" cm="1">
        <f t="array" ref="P57">SUMPRODUCT(--($C$4:$C$75="H"),--($D$4:$D$75=L57),$F$4:$F$75,--($F$4:$F$75&lt;&gt;""),--($G$4:$G$75&lt;&gt;""))+SUMPRODUCT(--($C$4:$C$75="H"),--($E$4:$E$75=L57),$G$4:$G$75,--($F$4:$F$75&lt;&gt;""),--($G$4:$G$75&lt;&gt;""))</f>
        <v>2</v>
      </c>
      <c r="Q57" s="59" cm="1">
        <f t="array" ref="Q57">SUMPRODUCT(--($C$4:$C$75="H"),--($D$4:$D$75=L57),$G$4:$G$75,--($F$4:$F$75&lt;&gt;""),--($G$4:$G$75&lt;&gt;""))+SUMPRODUCT(--($C$4:$C$75="H"),--($E$4:$E$75=L57),$F$4:$F$75,--($F$4:$F$75&lt;&gt;""),--($G$4:$G$75&lt;&gt;""))</f>
        <v>6</v>
      </c>
      <c r="R57" s="60">
        <f t="shared" si="24"/>
        <v>-4</v>
      </c>
      <c r="S57" s="60">
        <f t="shared" si="25"/>
        <v>3</v>
      </c>
      <c r="T57" s="71">
        <f t="shared" si="26"/>
        <v>296002</v>
      </c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>
      <c r="A58" s="15">
        <v>55</v>
      </c>
      <c r="B58" s="38" t="s">
        <v>50</v>
      </c>
      <c r="C58" s="38" t="s">
        <v>179</v>
      </c>
      <c r="D58" s="38" t="s">
        <v>161</v>
      </c>
      <c r="E58" s="38" t="s">
        <v>163</v>
      </c>
      <c r="F58" s="13">
        <v>3</v>
      </c>
      <c r="G58" s="13">
        <v>1</v>
      </c>
      <c r="H58" s="40" t="str">
        <f t="shared" si="0"/>
        <v>1</v>
      </c>
      <c r="I58" s="40">
        <f>IF(OR(F58="",G58="",'📊 Resultat &amp; Tabell'!K59="",'📊 Resultat &amp; Tabell'!L59=""),"",IF(F58='📊 Resultat &amp; Tabell'!K59,2,0)+IF(G58='📊 Resultat &amp; Tabell'!L59,2,0))</f>
        <v>2</v>
      </c>
      <c r="J58" s="40">
        <f>IF(OR(H58="",'📊 Resultat &amp; Tabell'!M59=""),"",IF(H58='📊 Resultat &amp; Tabell'!M59,2,0))</f>
        <v>2</v>
      </c>
      <c r="K58" s="40">
        <f t="shared" si="1"/>
        <v>4</v>
      </c>
      <c r="L58" s="66" t="s">
        <v>148</v>
      </c>
      <c r="M58" s="59" cm="1">
        <f t="array" ref="M58">SUMPRODUCT(--($C$4:$C$75="H"),--($D$4:$D$75=L58),--($F$4:$F$75&gt;$G$4:$G$75),--($F$4:$F$75&lt;&gt;""),--($G$4:$G$75&lt;&gt;""))+SUMPRODUCT(--($C$4:$C$75="H"),--($E$4:$E$75=L58),--($G$4:$G$75&gt;$F$4:$F$75),--($F$4:$F$75&lt;&gt;""),--($G$4:$G$75&lt;&gt;""))</f>
        <v>2</v>
      </c>
      <c r="N58" s="59" cm="1">
        <f t="array" ref="N58">SUMPRODUCT(--($C$4:$C$75="H"),--(($D$4:$D$75=L58)+($E$4:$E$75=L58)&gt;0),--($F$4:$F$75=$G$4:$G$75),--($F$4:$F$75&lt;&gt;""),--($G$4:$G$75&lt;&gt;""))</f>
        <v>1</v>
      </c>
      <c r="O58" s="59" cm="1">
        <f t="array" ref="O58">SUMPRODUCT(--($C$4:$C$75="H"),--($D$4:$D$75=L58),--($F$4:$F$75&lt;$G$4:$G$75),--($F$4:$F$75&lt;&gt;""),--($G$4:$G$75&lt;&gt;""))+SUMPRODUCT(--($C$4:$C$75="H"),--($E$4:$E$75=L58),--($G$4:$G$75&lt;$F$4:$F$75),--($F$4:$F$75&lt;&gt;""),--($G$4:$G$75&lt;&gt;""))</f>
        <v>0</v>
      </c>
      <c r="P58" s="59" cm="1">
        <f t="array" ref="P58">SUMPRODUCT(--($C$4:$C$75="H"),--($D$4:$D$75=L58),$F$4:$F$75,--($F$4:$F$75&lt;&gt;""),--($G$4:$G$75&lt;&gt;""))+SUMPRODUCT(--($C$4:$C$75="H"),--($E$4:$E$75=L58),$G$4:$G$75,--($F$4:$F$75&lt;&gt;""),--($G$4:$G$75&lt;&gt;""))</f>
        <v>5</v>
      </c>
      <c r="Q58" s="59" cm="1">
        <f t="array" ref="Q58">SUMPRODUCT(--($C$4:$C$75="H"),--($D$4:$D$75=L58),$G$4:$G$75,--($F$4:$F$75&lt;&gt;""),--($G$4:$G$75&lt;&gt;""))+SUMPRODUCT(--($C$4:$C$75="H"),--($E$4:$E$75=L58),$F$4:$F$75,--($F$4:$F$75&lt;&gt;""),--($G$4:$G$75&lt;&gt;""))</f>
        <v>2</v>
      </c>
      <c r="R58" s="60">
        <f t="shared" si="24"/>
        <v>3</v>
      </c>
      <c r="S58" s="60">
        <f t="shared" si="25"/>
        <v>7</v>
      </c>
      <c r="T58" s="71">
        <f t="shared" si="26"/>
        <v>703005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>
      <c r="A59" s="12">
        <v>56</v>
      </c>
      <c r="B59" s="39" t="s">
        <v>50</v>
      </c>
      <c r="C59" s="39" t="s">
        <v>179</v>
      </c>
      <c r="D59" s="39" t="s">
        <v>165</v>
      </c>
      <c r="E59" s="39" t="s">
        <v>167</v>
      </c>
      <c r="F59" s="13">
        <v>2</v>
      </c>
      <c r="G59" s="13">
        <v>0</v>
      </c>
      <c r="H59" s="40" t="str">
        <f t="shared" si="0"/>
        <v>1</v>
      </c>
      <c r="I59" s="40">
        <f>IF(OR(F59="",G59="",'📊 Resultat &amp; Tabell'!K60="",'📊 Resultat &amp; Tabell'!L60=""),"",IF(F59='📊 Resultat &amp; Tabell'!K60,2,0)+IF(G59='📊 Resultat &amp; Tabell'!L60,2,0))</f>
        <v>0</v>
      </c>
      <c r="J59" s="40">
        <f>IF(OR(H59="",'📊 Resultat &amp; Tabell'!M60=""),"",IF(H59='📊 Resultat &amp; Tabell'!M60,2,0))</f>
        <v>2</v>
      </c>
      <c r="K59" s="40">
        <f t="shared" si="1"/>
        <v>2</v>
      </c>
      <c r="L59" s="67" t="s">
        <v>269</v>
      </c>
      <c r="M59" s="59"/>
      <c r="N59" s="59"/>
      <c r="O59" s="59"/>
      <c r="P59" s="59"/>
      <c r="Q59" s="59"/>
      <c r="R59" s="60"/>
      <c r="S59" s="60"/>
      <c r="T59" s="7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>
      <c r="A60" s="15">
        <v>57</v>
      </c>
      <c r="B60" s="38" t="s">
        <v>50</v>
      </c>
      <c r="C60" s="38" t="s">
        <v>179</v>
      </c>
      <c r="D60" s="38" t="s">
        <v>167</v>
      </c>
      <c r="E60" s="38" t="s">
        <v>163</v>
      </c>
      <c r="F60" s="13">
        <v>1</v>
      </c>
      <c r="G60" s="13">
        <v>1</v>
      </c>
      <c r="H60" s="40" t="str">
        <f t="shared" si="0"/>
        <v>X</v>
      </c>
      <c r="I60" s="40">
        <f>IF(OR(F60="",G60="",'📊 Resultat &amp; Tabell'!K61="",'📊 Resultat &amp; Tabell'!L61=""),"",IF(F60='📊 Resultat &amp; Tabell'!K61,2,0)+IF(G60='📊 Resultat &amp; Tabell'!L61,2,0))</f>
        <v>2</v>
      </c>
      <c r="J60" s="40">
        <f>IF(OR(H60="",'📊 Resultat &amp; Tabell'!M61=""),"",IF(H60='📊 Resultat &amp; Tabell'!M61,2,0))</f>
        <v>0</v>
      </c>
      <c r="K60" s="40">
        <f t="shared" si="1"/>
        <v>2</v>
      </c>
      <c r="L60" s="64" t="s">
        <v>149</v>
      </c>
      <c r="M60" s="53" t="s">
        <v>269</v>
      </c>
      <c r="N60" s="53" t="s">
        <v>269</v>
      </c>
      <c r="O60" s="53" t="s">
        <v>269</v>
      </c>
      <c r="P60" s="53" t="s">
        <v>269</v>
      </c>
      <c r="Q60" s="53" t="s">
        <v>269</v>
      </c>
      <c r="R60" s="54" t="s">
        <v>269</v>
      </c>
      <c r="S60" s="54" t="s">
        <v>269</v>
      </c>
      <c r="T60" s="69" t="s">
        <v>269</v>
      </c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25" customHeight="1">
      <c r="A61" s="12">
        <v>58</v>
      </c>
      <c r="B61" s="39" t="s">
        <v>50</v>
      </c>
      <c r="C61" s="39" t="s">
        <v>179</v>
      </c>
      <c r="D61" s="39" t="s">
        <v>161</v>
      </c>
      <c r="E61" s="39" t="s">
        <v>165</v>
      </c>
      <c r="F61" s="13">
        <v>2</v>
      </c>
      <c r="G61" s="13">
        <v>1</v>
      </c>
      <c r="H61" s="40" t="str">
        <f t="shared" si="0"/>
        <v>1</v>
      </c>
      <c r="I61" s="40">
        <f>IF(OR(F61="",G61="",'📊 Resultat &amp; Tabell'!K62="",'📊 Resultat &amp; Tabell'!L62=""),"",IF(F61='📊 Resultat &amp; Tabell'!K62,2,0)+IF(G61='📊 Resultat &amp; Tabell'!L62,2,0))</f>
        <v>2</v>
      </c>
      <c r="J61" s="40">
        <f>IF(OR(H61="",'📊 Resultat &amp; Tabell'!M62=""),"",IF(H61='📊 Resultat &amp; Tabell'!M62,2,0))</f>
        <v>2</v>
      </c>
      <c r="K61" s="40">
        <f t="shared" si="1"/>
        <v>4</v>
      </c>
      <c r="L61" s="65" t="s">
        <v>53</v>
      </c>
      <c r="M61" s="55" t="s">
        <v>54</v>
      </c>
      <c r="N61" s="55" t="s">
        <v>55</v>
      </c>
      <c r="O61" s="55" t="s">
        <v>56</v>
      </c>
      <c r="P61" s="55" t="s">
        <v>57</v>
      </c>
      <c r="Q61" s="55" t="s">
        <v>58</v>
      </c>
      <c r="R61" s="56" t="s">
        <v>59</v>
      </c>
      <c r="S61" s="57" t="s">
        <v>60</v>
      </c>
      <c r="T61" s="70" t="s">
        <v>289</v>
      </c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>
      <c r="A62" s="15">
        <v>59</v>
      </c>
      <c r="B62" s="38" t="s">
        <v>50</v>
      </c>
      <c r="C62" s="38" t="s">
        <v>179</v>
      </c>
      <c r="D62" s="38" t="s">
        <v>167</v>
      </c>
      <c r="E62" s="38" t="s">
        <v>161</v>
      </c>
      <c r="F62" s="13">
        <v>0</v>
      </c>
      <c r="G62" s="13">
        <v>3</v>
      </c>
      <c r="H62" s="40" t="str">
        <f t="shared" si="0"/>
        <v>2</v>
      </c>
      <c r="I62" s="40">
        <f>IF(OR(F62="",G62="",'📊 Resultat &amp; Tabell'!K63="",'📊 Resultat &amp; Tabell'!L63=""),"",IF(F62='📊 Resultat &amp; Tabell'!K63,2,0)+IF(G62='📊 Resultat &amp; Tabell'!L63,2,0))</f>
        <v>2</v>
      </c>
      <c r="J62" s="40">
        <f>IF(OR(H62="",'📊 Resultat &amp; Tabell'!M63=""),"",IF(H62='📊 Resultat &amp; Tabell'!M63,2,0))</f>
        <v>2</v>
      </c>
      <c r="K62" s="40">
        <f t="shared" si="1"/>
        <v>4</v>
      </c>
      <c r="L62" s="66" t="s">
        <v>151</v>
      </c>
      <c r="M62" s="59" cm="1">
        <f t="array" ref="M62">SUMPRODUCT(--($C$4:$C$75="I"),--($D$4:$D$75=L62),--($F$4:$F$75&gt;$G$4:$G$75),--($F$4:$F$75&lt;&gt;""),--($G$4:$G$75&lt;&gt;""))+SUMPRODUCT(--($C$4:$C$75="I"),--($E$4:$E$75=L62),--($G$4:$G$75&gt;$F$4:$F$75),--($F$4:$F$75&lt;&gt;""),--($G$4:$G$75&lt;&gt;""))</f>
        <v>2</v>
      </c>
      <c r="N62" s="59" cm="1">
        <f t="array" ref="N62">SUMPRODUCT(--($C$4:$C$75="I"),--(($D$4:$D$75=L62)+($E$4:$E$75=L62)&gt;0),--($F$4:$F$75=$G$4:$G$75),--($F$4:$F$75&lt;&gt;""),--($G$4:$G$75&lt;&gt;""))</f>
        <v>1</v>
      </c>
      <c r="O62" s="59" cm="1">
        <f t="array" ref="O62">SUMPRODUCT(--($C$4:$C$75="I"),--($D$4:$D$75=L62),--($F$4:$F$75&lt;$G$4:$G$75),--($F$4:$F$75&lt;&gt;""),--($G$4:$G$75&lt;&gt;""))+SUMPRODUCT(--($C$4:$C$75="i"),--($E$4:$E$75=L62),--($G$4:$G$75&lt;$F$4:$F$75),--($F$4:$F$75&lt;&gt;""),--($G$4:$G$75&lt;&gt;""))</f>
        <v>0</v>
      </c>
      <c r="P62" s="59" cm="1">
        <f t="array" ref="P62">SUMPRODUCT(--($C$4:$C$75="I"),--($D$4:$D$75=L62),$F$4:$F$75,--($F$4:$F$75&lt;&gt;""),--($G$4:$G$75&lt;&gt;""))+SUMPRODUCT(--($C$4:$C$75="I"),--($E$4:$E$75=L62),$G$4:$G$75,--($F$4:$F$75&lt;&gt;""),--($G$4:$G$75&lt;&gt;""))</f>
        <v>8</v>
      </c>
      <c r="Q62" s="59" cm="1">
        <f t="array" ref="Q62">SUMPRODUCT(--($C$4:$C$75="I"),--($D$4:$D$75=L62),$G$4:$G$75,--($F$4:$F$75&lt;&gt;""),--($G$4:$G$75&lt;&gt;""))+SUMPRODUCT(--($C$4:$C$75="I"),--($E$4:$E$75=L62),$F$4:$F$75,--($F$4:$F$75&lt;&gt;""),--($G$4:$G$75&lt;&gt;""))</f>
        <v>4</v>
      </c>
      <c r="R62" s="60">
        <f t="shared" ref="R62:R65" si="27">P62-Q62</f>
        <v>4</v>
      </c>
      <c r="S62" s="60">
        <f t="shared" ref="S62:S65" si="28">M62*3+N62</f>
        <v>7</v>
      </c>
      <c r="T62" s="71">
        <f t="shared" ref="T62:T65" si="29">S62*100000+R62*1000+P62</f>
        <v>704008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>
      <c r="A63" s="12">
        <v>60</v>
      </c>
      <c r="B63" s="39" t="s">
        <v>50</v>
      </c>
      <c r="C63" s="39" t="s">
        <v>179</v>
      </c>
      <c r="D63" s="39" t="s">
        <v>163</v>
      </c>
      <c r="E63" s="39" t="s">
        <v>165</v>
      </c>
      <c r="F63" s="13">
        <v>1</v>
      </c>
      <c r="G63" s="13">
        <v>2</v>
      </c>
      <c r="H63" s="40" t="str">
        <f t="shared" si="0"/>
        <v>2</v>
      </c>
      <c r="I63" s="40">
        <f>IF(OR(F63="",G63="",'📊 Resultat &amp; Tabell'!K64="",'📊 Resultat &amp; Tabell'!L64=""),"",IF(F63='📊 Resultat &amp; Tabell'!K64,2,0)+IF(G63='📊 Resultat &amp; Tabell'!L64,2,0))</f>
        <v>0</v>
      </c>
      <c r="J63" s="40">
        <f>IF(OR(H63="",'📊 Resultat &amp; Tabell'!M64=""),"",IF(H63='📊 Resultat &amp; Tabell'!M64,2,0))</f>
        <v>0</v>
      </c>
      <c r="K63" s="40">
        <f t="shared" si="1"/>
        <v>0</v>
      </c>
      <c r="L63" s="66" t="s">
        <v>153</v>
      </c>
      <c r="M63" s="59" cm="1">
        <f t="array" ref="M63">SUMPRODUCT(--($C$4:$C$75="I"),--($D$4:$D$75=L63),--($F$4:$F$75&gt;$G$4:$G$75),--($F$4:$F$75&lt;&gt;""),--($G$4:$G$75&lt;&gt;""))+SUMPRODUCT(--($C$4:$C$75="I"),--($E$4:$E$75=L63),--($G$4:$G$75&gt;$F$4:$F$75),--($F$4:$F$75&lt;&gt;""),--($G$4:$G$75&lt;&gt;""))</f>
        <v>1</v>
      </c>
      <c r="N63" s="59" cm="1">
        <f t="array" ref="N63">SUMPRODUCT(--($C$4:$C$75="I"),--(($D$4:$D$75=L63)+($E$4:$E$75=L63)&gt;0),--($F$4:$F$75=$G$4:$G$75),--($F$4:$F$75&lt;&gt;""),--($G$4:$G$75&lt;&gt;""))</f>
        <v>0</v>
      </c>
      <c r="O63" s="59" cm="1">
        <f t="array" ref="O63">SUMPRODUCT(--($C$4:$C$75="I"),--($D$4:$D$75=L63),--($F$4:$F$75&lt;$G$4:$G$75),--($F$4:$F$75&lt;&gt;""),--($G$4:$G$75&lt;&gt;""))+SUMPRODUCT(--($C$4:$C$75="i"),--($E$4:$E$75=L63),--($G$4:$G$75&lt;$F$4:$F$75),--($F$4:$F$75&lt;&gt;""),--($G$4:$G$75&lt;&gt;""))</f>
        <v>2</v>
      </c>
      <c r="P63" s="59" cm="1">
        <f t="array" ref="P63">SUMPRODUCT(--($C$4:$C$75="I"),--($D$4:$D$75=L63),$F$4:$F$75,--($F$4:$F$75&lt;&gt;""),--($G$4:$G$75&lt;&gt;""))+SUMPRODUCT(--($C$4:$C$75="I"),--($E$4:$E$75=L63),$G$4:$G$75,--($F$4:$F$75&lt;&gt;""),--($G$4:$G$75&lt;&gt;""))</f>
        <v>4</v>
      </c>
      <c r="Q63" s="59" cm="1">
        <f t="array" ref="Q63">SUMPRODUCT(--($C$4:$C$75="I"),--($D$4:$D$75=L63),$G$4:$G$75,--($F$4:$F$75&lt;&gt;""),--($G$4:$G$75&lt;&gt;""))+SUMPRODUCT(--($C$4:$C$75="I"),--($E$4:$E$75=L63),$F$4:$F$75,--($F$4:$F$75&lt;&gt;""),--($G$4:$G$75&lt;&gt;""))</f>
        <v>5</v>
      </c>
      <c r="R63" s="60">
        <f t="shared" si="27"/>
        <v>-1</v>
      </c>
      <c r="S63" s="60">
        <f t="shared" si="28"/>
        <v>3</v>
      </c>
      <c r="T63" s="71">
        <f t="shared" si="29"/>
        <v>299004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>
      <c r="A64" s="15">
        <v>61</v>
      </c>
      <c r="B64" s="38" t="s">
        <v>50</v>
      </c>
      <c r="C64" s="38" t="s">
        <v>188</v>
      </c>
      <c r="D64" s="38" t="s">
        <v>171</v>
      </c>
      <c r="E64" s="38" t="s">
        <v>173</v>
      </c>
      <c r="F64" s="13">
        <v>3</v>
      </c>
      <c r="G64" s="13">
        <v>1</v>
      </c>
      <c r="H64" s="40" t="str">
        <f t="shared" si="0"/>
        <v>1</v>
      </c>
      <c r="I64" s="40">
        <f>IF(OR(F64="",G64="",'📊 Resultat &amp; Tabell'!K65="",'📊 Resultat &amp; Tabell'!L65=""),"",IF(F64='📊 Resultat &amp; Tabell'!K65,2,0)+IF(G64='📊 Resultat &amp; Tabell'!L65,2,0))</f>
        <v>2</v>
      </c>
      <c r="J64" s="40">
        <f>IF(OR(H64="",'📊 Resultat &amp; Tabell'!M65=""),"",IF(H64='📊 Resultat &amp; Tabell'!M65,2,0))</f>
        <v>0</v>
      </c>
      <c r="K64" s="40">
        <f t="shared" si="1"/>
        <v>2</v>
      </c>
      <c r="L64" s="66" t="s">
        <v>155</v>
      </c>
      <c r="M64" s="59" cm="1">
        <f t="array" ref="M64">SUMPRODUCT(--($C$4:$C$75="I"),--($D$4:$D$75=L64),--($F$4:$F$75&gt;$G$4:$G$75),--($F$4:$F$75&lt;&gt;""),--($G$4:$G$75&lt;&gt;""))+SUMPRODUCT(--($C$4:$C$75="I"),--($E$4:$E$75=L64),--($G$4:$G$75&gt;$F$4:$F$75),--($F$4:$F$75&lt;&gt;""),--($G$4:$G$75&lt;&gt;""))</f>
        <v>0</v>
      </c>
      <c r="N64" s="59" cm="1">
        <f t="array" ref="N64">SUMPRODUCT(--($C$4:$C$75="I"),--(($D$4:$D$75=L64)+($E$4:$E$75=L64)&gt;0),--($F$4:$F$75=$G$4:$G$75),--($F$4:$F$75&lt;&gt;""),--($G$4:$G$75&lt;&gt;""))</f>
        <v>0</v>
      </c>
      <c r="O64" s="59" cm="1">
        <f t="array" ref="O64">SUMPRODUCT(--($C$4:$C$75="I"),--($D$4:$D$75=L64),--($F$4:$F$75&lt;$G$4:$G$75),--($F$4:$F$75&lt;&gt;""),--($G$4:$G$75&lt;&gt;""))+SUMPRODUCT(--($C$4:$C$75="i"),--($E$4:$E$75=L64),--($G$4:$G$75&lt;$F$4:$F$75),--($F$4:$F$75&lt;&gt;""),--($G$4:$G$75&lt;&gt;""))</f>
        <v>3</v>
      </c>
      <c r="P64" s="59" cm="1">
        <f t="array" ref="P64">SUMPRODUCT(--($C$4:$C$75="I"),--($D$4:$D$75=L64),$F$4:$F$75,--($F$4:$F$75&lt;&gt;""),--($G$4:$G$75&lt;&gt;""))+SUMPRODUCT(--($C$4:$C$75="I"),--($E$4:$E$75=L64),$G$4:$G$75,--($F$4:$F$75&lt;&gt;""),--($G$4:$G$75&lt;&gt;""))</f>
        <v>1</v>
      </c>
      <c r="Q64" s="59" cm="1">
        <f t="array" ref="Q64">SUMPRODUCT(--($C$4:$C$75="I"),--($D$4:$D$75=L64),$G$4:$G$75,--($F$4:$F$75&lt;&gt;""),--($G$4:$G$75&lt;&gt;""))+SUMPRODUCT(--($C$4:$C$75="I"),--($E$4:$E$75=L64),$F$4:$F$75,--($F$4:$F$75&lt;&gt;""),--($G$4:$G$75&lt;&gt;""))</f>
        <v>7</v>
      </c>
      <c r="R64" s="60">
        <f t="shared" si="27"/>
        <v>-6</v>
      </c>
      <c r="S64" s="60">
        <f t="shared" si="28"/>
        <v>0</v>
      </c>
      <c r="T64" s="71">
        <f t="shared" si="29"/>
        <v>-5999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>
      <c r="A65" s="12">
        <v>62</v>
      </c>
      <c r="B65" s="39" t="s">
        <v>50</v>
      </c>
      <c r="C65" s="39" t="s">
        <v>188</v>
      </c>
      <c r="D65" s="39" t="s">
        <v>175</v>
      </c>
      <c r="E65" s="39" t="s">
        <v>177</v>
      </c>
      <c r="F65" s="13">
        <v>0</v>
      </c>
      <c r="G65" s="13">
        <v>2</v>
      </c>
      <c r="H65" s="40" t="str">
        <f t="shared" si="0"/>
        <v>2</v>
      </c>
      <c r="I65" s="40">
        <f>IF(OR(F65="",G65="",'📊 Resultat &amp; Tabell'!K66="",'📊 Resultat &amp; Tabell'!L66=""),"",IF(F65='📊 Resultat &amp; Tabell'!K66,2,0)+IF(G65='📊 Resultat &amp; Tabell'!L66,2,0))</f>
        <v>0</v>
      </c>
      <c r="J65" s="40">
        <f>IF(OR(H65="",'📊 Resultat &amp; Tabell'!M66=""),"",IF(H65='📊 Resultat &amp; Tabell'!M66,2,0))</f>
        <v>2</v>
      </c>
      <c r="K65" s="40">
        <f t="shared" si="1"/>
        <v>2</v>
      </c>
      <c r="L65" s="66" t="s">
        <v>158</v>
      </c>
      <c r="M65" s="59" cm="1">
        <f t="array" ref="M65">SUMPRODUCT(--($C$4:$C$75="I"),--($D$4:$D$75=L65),--($F$4:$F$75&gt;$G$4:$G$75),--($F$4:$F$75&lt;&gt;""),--($G$4:$G$75&lt;&gt;""))+SUMPRODUCT(--($C$4:$C$75="I"),--($E$4:$E$75=L65),--($G$4:$G$75&gt;$F$4:$F$75),--($F$4:$F$75&lt;&gt;""),--($G$4:$G$75&lt;&gt;""))</f>
        <v>2</v>
      </c>
      <c r="N65" s="59" cm="1">
        <f t="array" ref="N65">SUMPRODUCT(--($C$4:$C$75="I"),--(($D$4:$D$75=L65)+($E$4:$E$75=L65)&gt;0),--($F$4:$F$75=$G$4:$G$75),--($F$4:$F$75&lt;&gt;""),--($G$4:$G$75&lt;&gt;""))</f>
        <v>1</v>
      </c>
      <c r="O65" s="59" cm="1">
        <f t="array" ref="O65">SUMPRODUCT(--($C$4:$C$75="I"),--($D$4:$D$75=L65),--($F$4:$F$75&lt;$G$4:$G$75),--($F$4:$F$75&lt;&gt;""),--($G$4:$G$75&lt;&gt;""))+SUMPRODUCT(--($C$4:$C$75="i"),--($E$4:$E$75=L65),--($G$4:$G$75&lt;$F$4:$F$75),--($F$4:$F$75&lt;&gt;""),--($G$4:$G$75&lt;&gt;""))</f>
        <v>0</v>
      </c>
      <c r="P65" s="59" cm="1">
        <f t="array" ref="P65">SUMPRODUCT(--($C$4:$C$75="I"),--($D$4:$D$75=L65),$F$4:$F$75,--($F$4:$F$75&lt;&gt;""),--($G$4:$G$75&lt;&gt;""))+SUMPRODUCT(--($C$4:$C$75="I"),--($E$4:$E$75=L65),$G$4:$G$75,--($F$4:$F$75&lt;&gt;""),--($G$4:$G$75&lt;&gt;""))</f>
        <v>6</v>
      </c>
      <c r="Q65" s="59" cm="1">
        <f t="array" ref="Q65">SUMPRODUCT(--($C$4:$C$75="I"),--($D$4:$D$75=L65),$G$4:$G$75,--($F$4:$F$75&lt;&gt;""),--($G$4:$G$75&lt;&gt;""))+SUMPRODUCT(--($C$4:$C$75="I"),--($E$4:$E$75=L65),$F$4:$F$75,--($F$4:$F$75&lt;&gt;""),--($G$4:$G$75&lt;&gt;""))</f>
        <v>3</v>
      </c>
      <c r="R65" s="60">
        <f t="shared" si="27"/>
        <v>3</v>
      </c>
      <c r="S65" s="60">
        <f t="shared" si="28"/>
        <v>7</v>
      </c>
      <c r="T65" s="71">
        <f t="shared" si="29"/>
        <v>703006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>
      <c r="A66" s="15">
        <v>63</v>
      </c>
      <c r="B66" s="38" t="s">
        <v>50</v>
      </c>
      <c r="C66" s="38" t="s">
        <v>188</v>
      </c>
      <c r="D66" s="38" t="s">
        <v>177</v>
      </c>
      <c r="E66" s="38" t="s">
        <v>173</v>
      </c>
      <c r="F66" s="13">
        <v>2</v>
      </c>
      <c r="G66" s="13">
        <v>0</v>
      </c>
      <c r="H66" s="40" t="str">
        <f t="shared" si="0"/>
        <v>1</v>
      </c>
      <c r="I66" s="40">
        <f>IF(OR(F66="",G66="",'📊 Resultat &amp; Tabell'!K67="",'📊 Resultat &amp; Tabell'!L67=""),"",IF(F66='📊 Resultat &amp; Tabell'!K67,2,0)+IF(G66='📊 Resultat &amp; Tabell'!L67,2,0))</f>
        <v>2</v>
      </c>
      <c r="J66" s="40">
        <f>IF(OR(H66="",'📊 Resultat &amp; Tabell'!M67=""),"",IF(H66='📊 Resultat &amp; Tabell'!M67,2,0))</f>
        <v>2</v>
      </c>
      <c r="K66" s="40">
        <f t="shared" si="1"/>
        <v>4</v>
      </c>
      <c r="L66" s="67" t="s">
        <v>269</v>
      </c>
      <c r="M66" s="59"/>
      <c r="N66" s="59"/>
      <c r="O66" s="59"/>
      <c r="P66" s="59"/>
      <c r="Q66" s="59"/>
      <c r="R66" s="60"/>
      <c r="S66" s="60"/>
      <c r="T66" s="7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>
      <c r="A67" s="12">
        <v>64</v>
      </c>
      <c r="B67" s="39" t="s">
        <v>50</v>
      </c>
      <c r="C67" s="39" t="s">
        <v>188</v>
      </c>
      <c r="D67" s="39" t="s">
        <v>171</v>
      </c>
      <c r="E67" s="39" t="s">
        <v>175</v>
      </c>
      <c r="F67" s="13">
        <v>2</v>
      </c>
      <c r="G67" s="13">
        <v>0</v>
      </c>
      <c r="H67" s="40" t="str">
        <f t="shared" si="0"/>
        <v>1</v>
      </c>
      <c r="I67" s="40">
        <f>IF(OR(F67="",G67="",'📊 Resultat &amp; Tabell'!K68="",'📊 Resultat &amp; Tabell'!L68=""),"",IF(F67='📊 Resultat &amp; Tabell'!K68,2,0)+IF(G67='📊 Resultat &amp; Tabell'!L68,2,0))</f>
        <v>2</v>
      </c>
      <c r="J67" s="40">
        <f>IF(OR(H67="",'📊 Resultat &amp; Tabell'!M68=""),"",IF(H67='📊 Resultat &amp; Tabell'!M68,2,0))</f>
        <v>2</v>
      </c>
      <c r="K67" s="40">
        <f t="shared" si="1"/>
        <v>4</v>
      </c>
      <c r="L67" s="64" t="s">
        <v>159</v>
      </c>
      <c r="M67" s="53" t="s">
        <v>269</v>
      </c>
      <c r="N67" s="53" t="s">
        <v>269</v>
      </c>
      <c r="O67" s="53" t="s">
        <v>269</v>
      </c>
      <c r="P67" s="53" t="s">
        <v>269</v>
      </c>
      <c r="Q67" s="53" t="s">
        <v>269</v>
      </c>
      <c r="R67" s="54" t="s">
        <v>269</v>
      </c>
      <c r="S67" s="54" t="s">
        <v>269</v>
      </c>
      <c r="T67" s="69" t="s">
        <v>269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" customHeight="1">
      <c r="A68" s="15">
        <v>65</v>
      </c>
      <c r="B68" s="38" t="s">
        <v>50</v>
      </c>
      <c r="C68" s="38" t="s">
        <v>188</v>
      </c>
      <c r="D68" s="38" t="s">
        <v>177</v>
      </c>
      <c r="E68" s="38" t="s">
        <v>171</v>
      </c>
      <c r="F68" s="13">
        <v>1</v>
      </c>
      <c r="G68" s="13">
        <v>1</v>
      </c>
      <c r="H68" s="40" t="str">
        <f t="shared" ref="H68:H107" si="30">IF(OR(F68="",G68=""),"",IF(F68&gt;G68,"1",IF(F68&lt;G68,"2","X")))</f>
        <v>X</v>
      </c>
      <c r="I68" s="40">
        <f>IF(OR(F68="",G68="",'📊 Resultat &amp; Tabell'!K69="",'📊 Resultat &amp; Tabell'!L69=""),"",IF(F68='📊 Resultat &amp; Tabell'!K69,2,0)+IF(G68='📊 Resultat &amp; Tabell'!L69,2,0))</f>
        <v>0</v>
      </c>
      <c r="J68" s="40">
        <f>IF(OR(H68="",'📊 Resultat &amp; Tabell'!M69=""),"",IF(H68='📊 Resultat &amp; Tabell'!M69,2,0))</f>
        <v>2</v>
      </c>
      <c r="K68" s="40">
        <f t="shared" ref="K68:K107" si="31">IF(AND(I68="",J68=""),"",N(I68)+N(J68))</f>
        <v>2</v>
      </c>
      <c r="L68" s="65" t="s">
        <v>53</v>
      </c>
      <c r="M68" s="55" t="s">
        <v>54</v>
      </c>
      <c r="N68" s="55" t="s">
        <v>55</v>
      </c>
      <c r="O68" s="55" t="s">
        <v>56</v>
      </c>
      <c r="P68" s="55" t="s">
        <v>57</v>
      </c>
      <c r="Q68" s="55" t="s">
        <v>58</v>
      </c>
      <c r="R68" s="56" t="s">
        <v>59</v>
      </c>
      <c r="S68" s="57" t="s">
        <v>60</v>
      </c>
      <c r="T68" s="70" t="s">
        <v>289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>
      <c r="A69" s="12">
        <v>66</v>
      </c>
      <c r="B69" s="39" t="s">
        <v>50</v>
      </c>
      <c r="C69" s="39" t="s">
        <v>188</v>
      </c>
      <c r="D69" s="39" t="s">
        <v>173</v>
      </c>
      <c r="E69" s="39" t="s">
        <v>175</v>
      </c>
      <c r="F69" s="13">
        <v>0</v>
      </c>
      <c r="G69" s="13">
        <v>1</v>
      </c>
      <c r="H69" s="40" t="str">
        <f t="shared" si="30"/>
        <v>2</v>
      </c>
      <c r="I69" s="40">
        <f>IF(OR(F69="",G69="",'📊 Resultat &amp; Tabell'!K70="",'📊 Resultat &amp; Tabell'!L70=""),"",IF(F69='📊 Resultat &amp; Tabell'!K70,2,0)+IF(G69='📊 Resultat &amp; Tabell'!L70,2,0))</f>
        <v>2</v>
      </c>
      <c r="J69" s="40">
        <f>IF(OR(H69="",'📊 Resultat &amp; Tabell'!M70=""),"",IF(H69='📊 Resultat &amp; Tabell'!M70,2,0))</f>
        <v>0</v>
      </c>
      <c r="K69" s="40">
        <f t="shared" si="31"/>
        <v>2</v>
      </c>
      <c r="L69" s="66" t="s">
        <v>161</v>
      </c>
      <c r="M69" s="59" cm="1">
        <f t="array" ref="M69">SUMPRODUCT(--($C$4:$C$75="J"),--($D$4:$D$75=L69),--($F$4:$F$75&gt;$G$4:$G$75),--($F$4:$F$75&lt;&gt;""),--($G$4:$G$75&lt;&gt;""))+SUMPRODUCT(--($C$4:$C$75="J"),--($E$4:$E$75=L69),--($G$4:$G$75&gt;$F$4:$F$75),--($F$4:$F$75&lt;&gt;""),--($G$4:$G$75&lt;&gt;""))</f>
        <v>3</v>
      </c>
      <c r="N69" s="59" cm="1">
        <f t="array" ref="N69">SUMPRODUCT(--($C$4:$C$75="J"),--(($D$4:$D$75=L69)+($E$4:$E$75=L69)&gt;0),--($F$4:$F$75=$G$4:$G$75),--($F$4:$F$75&lt;&gt;""),--($G$4:$G$75&lt;&gt;""))</f>
        <v>0</v>
      </c>
      <c r="O69" s="59" cm="1">
        <f t="array" ref="O69">SUMPRODUCT(--($C$4:$C$75="J"),--($D$4:$D$75=L69),--($F$4:$F$75&lt;$G$4:$G$75),--($F$4:$F$75&lt;&gt;""),--($G$4:$G$75&lt;&gt;""))+SUMPRODUCT(--($C$4:$C$75="J"),--($E$4:$E$75=L69),--($G$4:$G$75&lt;$F$4:$F$75),--($F$4:$F$75&lt;&gt;""),--($G$4:$G$75&lt;&gt;""))</f>
        <v>0</v>
      </c>
      <c r="P69" s="59" cm="1">
        <f t="array" ref="P69">SUMPRODUCT(--($C$4:$C$75="J"),--($D$4:$D$75=L69),$F$4:$F$75,--($F$4:$F$75&lt;&gt;""),--($G$4:$G$75&lt;&gt;""))+SUMPRODUCT(--($C$4:$C$75="J"),--($E$4:$E$75=L69),$G$4:$G$75,--($F$4:$F$75&lt;&gt;""),--($G$4:$G$75&lt;&gt;""))</f>
        <v>8</v>
      </c>
      <c r="Q69" s="59" cm="1">
        <f t="array" ref="Q69">SUMPRODUCT(--($C$4:$C$75="J"),--($D$4:$D$75=L69),$G$4:$G$75,--($F$4:$F$75&lt;&gt;""),--($G$4:$G$75&lt;&gt;""))+SUMPRODUCT(--($C$4:$C$75="J"),--($E$4:$E$75=L69),$F$4:$F$75,--($F$4:$F$75&lt;&gt;""),--($G$4:$G$75&lt;&gt;""))</f>
        <v>2</v>
      </c>
      <c r="R69" s="60">
        <f t="shared" ref="R69:R72" si="32">P69-Q69</f>
        <v>6</v>
      </c>
      <c r="S69" s="60">
        <f t="shared" ref="S69:S72" si="33">M69*3+N69</f>
        <v>9</v>
      </c>
      <c r="T69" s="71">
        <f t="shared" ref="T69:T72" si="34">S69*100000+R69*1000+P69</f>
        <v>906008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>
      <c r="A70" s="15">
        <v>67</v>
      </c>
      <c r="B70" s="38" t="s">
        <v>50</v>
      </c>
      <c r="C70" s="38" t="s">
        <v>189</v>
      </c>
      <c r="D70" s="38" t="s">
        <v>181</v>
      </c>
      <c r="E70" s="38" t="s">
        <v>183</v>
      </c>
      <c r="F70" s="13">
        <v>2</v>
      </c>
      <c r="G70" s="13">
        <v>1</v>
      </c>
      <c r="H70" s="40" t="str">
        <f t="shared" si="30"/>
        <v>1</v>
      </c>
      <c r="I70" s="40">
        <f>IF(OR(F70="",G70="",'📊 Resultat &amp; Tabell'!K71="",'📊 Resultat &amp; Tabell'!L71=""),"",IF(F70='📊 Resultat &amp; Tabell'!K71,2,0)+IF(G70='📊 Resultat &amp; Tabell'!L71,2,0))</f>
        <v>0</v>
      </c>
      <c r="J70" s="40">
        <f>IF(OR(H70="",'📊 Resultat &amp; Tabell'!M71=""),"",IF(H70='📊 Resultat &amp; Tabell'!M71,2,0))</f>
        <v>2</v>
      </c>
      <c r="K70" s="40">
        <f t="shared" si="31"/>
        <v>2</v>
      </c>
      <c r="L70" s="66" t="s">
        <v>163</v>
      </c>
      <c r="M70" s="59" cm="1">
        <f t="array" ref="M70">SUMPRODUCT(--($C$4:$C$75="J"),--($D$4:$D$75=L70),--($F$4:$F$75&gt;$G$4:$G$75),--($F$4:$F$75&lt;&gt;""),--($G$4:$G$75&lt;&gt;""))+SUMPRODUCT(--($C$4:$C$75="J"),--($E$4:$E$75=L70),--($G$4:$G$75&gt;$F$4:$F$75),--($F$4:$F$75&lt;&gt;""),--($G$4:$G$75&lt;&gt;""))</f>
        <v>0</v>
      </c>
      <c r="N70" s="59" cm="1">
        <f t="array" ref="N70">SUMPRODUCT(--($C$4:$C$75="J"),--(($D$4:$D$75=L70)+($E$4:$E$75=L70)&gt;0),--($F$4:$F$75=$G$4:$G$75),--($F$4:$F$75&lt;&gt;""),--($G$4:$G$75&lt;&gt;""))</f>
        <v>1</v>
      </c>
      <c r="O70" s="59" cm="1">
        <f t="array" ref="O70">SUMPRODUCT(--($C$4:$C$75="J"),--($D$4:$D$75=L70),--($F$4:$F$75&lt;$G$4:$G$75),--($F$4:$F$75&lt;&gt;""),--($G$4:$G$75&lt;&gt;""))+SUMPRODUCT(--($C$4:$C$75="J"),--($E$4:$E$75=L70),--($G$4:$G$75&lt;$F$4:$F$75),--($F$4:$F$75&lt;&gt;""),--($G$4:$G$75&lt;&gt;""))</f>
        <v>2</v>
      </c>
      <c r="P70" s="59" cm="1">
        <f t="array" ref="P70">SUMPRODUCT(--($C$4:$C$75="J"),--($D$4:$D$75=L70),$F$4:$F$75,--($F$4:$F$75&lt;&gt;""),--($G$4:$G$75&lt;&gt;""))+SUMPRODUCT(--($C$4:$C$75="J"),--($E$4:$E$75=L70),$G$4:$G$75,--($F$4:$F$75&lt;&gt;""),--($G$4:$G$75&lt;&gt;""))</f>
        <v>3</v>
      </c>
      <c r="Q70" s="59" cm="1">
        <f t="array" ref="Q70">SUMPRODUCT(--($C$4:$C$75="J"),--($D$4:$D$75=L70),$G$4:$G$75,--($F$4:$F$75&lt;&gt;""),--($G$4:$G$75&lt;&gt;""))+SUMPRODUCT(--($C$4:$C$75="J"),--($E$4:$E$75=L70),$F$4:$F$75,--($F$4:$F$75&lt;&gt;""),--($G$4:$G$75&lt;&gt;""))</f>
        <v>6</v>
      </c>
      <c r="R70" s="60">
        <f t="shared" si="32"/>
        <v>-3</v>
      </c>
      <c r="S70" s="60">
        <f t="shared" si="33"/>
        <v>1</v>
      </c>
      <c r="T70" s="71">
        <f t="shared" si="34"/>
        <v>97003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>
      <c r="A71" s="12">
        <v>68</v>
      </c>
      <c r="B71" s="39" t="s">
        <v>50</v>
      </c>
      <c r="C71" s="39" t="s">
        <v>189</v>
      </c>
      <c r="D71" s="39" t="s">
        <v>185</v>
      </c>
      <c r="E71" s="39" t="s">
        <v>187</v>
      </c>
      <c r="F71" s="13">
        <v>1</v>
      </c>
      <c r="G71" s="13">
        <v>1</v>
      </c>
      <c r="H71" s="40" t="str">
        <f t="shared" si="30"/>
        <v>X</v>
      </c>
      <c r="I71" s="40">
        <f>IF(OR(F71="",G71="",'📊 Resultat &amp; Tabell'!K72="",'📊 Resultat &amp; Tabell'!L72=""),"",IF(F71='📊 Resultat &amp; Tabell'!K72,2,0)+IF(G71='📊 Resultat &amp; Tabell'!L72,2,0))</f>
        <v>2</v>
      </c>
      <c r="J71" s="40">
        <f>IF(OR(H71="",'📊 Resultat &amp; Tabell'!M72=""),"",IF(H71='📊 Resultat &amp; Tabell'!M72,2,0))</f>
        <v>0</v>
      </c>
      <c r="K71" s="40">
        <f t="shared" si="31"/>
        <v>2</v>
      </c>
      <c r="L71" s="66" t="s">
        <v>165</v>
      </c>
      <c r="M71" s="59" cm="1">
        <f t="array" ref="M71">SUMPRODUCT(--($C$4:$C$75="J"),--($D$4:$D$75=L71),--($F$4:$F$75&gt;$G$4:$G$75),--($F$4:$F$75&lt;&gt;""),--($G$4:$G$75&lt;&gt;""))+SUMPRODUCT(--($C$4:$C$75="J"),--($E$4:$E$75=L71),--($G$4:$G$75&gt;$F$4:$F$75),--($F$4:$F$75&lt;&gt;""),--($G$4:$G$75&lt;&gt;""))</f>
        <v>2</v>
      </c>
      <c r="N71" s="59" cm="1">
        <f t="array" ref="N71">SUMPRODUCT(--($C$4:$C$75="J"),--(($D$4:$D$75=L71)+($E$4:$E$75=L71)&gt;0),--($F$4:$F$75=$G$4:$G$75),--($F$4:$F$75&lt;&gt;""),--($G$4:$G$75&lt;&gt;""))</f>
        <v>0</v>
      </c>
      <c r="O71" s="59" cm="1">
        <f t="array" ref="O71">SUMPRODUCT(--($C$4:$C$75="J"),--($D$4:$D$75=L71),--($F$4:$F$75&lt;$G$4:$G$75),--($F$4:$F$75&lt;&gt;""),--($G$4:$G$75&lt;&gt;""))+SUMPRODUCT(--($C$4:$C$75="J"),--($E$4:$E$75=L71),--($G$4:$G$75&lt;$F$4:$F$75),--($F$4:$F$75&lt;&gt;""),--($G$4:$G$75&lt;&gt;""))</f>
        <v>1</v>
      </c>
      <c r="P71" s="59" cm="1">
        <f t="array" ref="P71">SUMPRODUCT(--($C$4:$C$75="J"),--($D$4:$D$75=L71),$F$4:$F$75,--($F$4:$F$75&lt;&gt;""),--($G$4:$G$75&lt;&gt;""))+SUMPRODUCT(--($C$4:$C$75="J"),--($E$4:$E$75=L71),$G$4:$G$75,--($F$4:$F$75&lt;&gt;""),--($G$4:$G$75&lt;&gt;""))</f>
        <v>5</v>
      </c>
      <c r="Q71" s="59" cm="1">
        <f t="array" ref="Q71">SUMPRODUCT(--($C$4:$C$75="J"),--($D$4:$D$75=L71),$G$4:$G$75,--($F$4:$F$75&lt;&gt;""),--($G$4:$G$75&lt;&gt;""))+SUMPRODUCT(--($C$4:$C$75="J"),--($E$4:$E$75=L71),$F$4:$F$75,--($F$4:$F$75&lt;&gt;""),--($G$4:$G$75&lt;&gt;""))</f>
        <v>3</v>
      </c>
      <c r="R71" s="60">
        <f t="shared" si="32"/>
        <v>2</v>
      </c>
      <c r="S71" s="60">
        <f t="shared" si="33"/>
        <v>6</v>
      </c>
      <c r="T71" s="71">
        <f t="shared" si="34"/>
        <v>602005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>
      <c r="A72" s="15">
        <v>69</v>
      </c>
      <c r="B72" s="38" t="s">
        <v>50</v>
      </c>
      <c r="C72" s="38" t="s">
        <v>189</v>
      </c>
      <c r="D72" s="38" t="s">
        <v>187</v>
      </c>
      <c r="E72" s="38" t="s">
        <v>183</v>
      </c>
      <c r="F72" s="13">
        <v>0</v>
      </c>
      <c r="G72" s="13">
        <v>2</v>
      </c>
      <c r="H72" s="40" t="str">
        <f t="shared" si="30"/>
        <v>2</v>
      </c>
      <c r="I72" s="40">
        <f>IF(OR(F72="",G72="",'📊 Resultat &amp; Tabell'!K73="",'📊 Resultat &amp; Tabell'!L73=""),"",IF(F72='📊 Resultat &amp; Tabell'!K73,2,0)+IF(G72='📊 Resultat &amp; Tabell'!L73,2,0))</f>
        <v>2</v>
      </c>
      <c r="J72" s="40">
        <f>IF(OR(H72="",'📊 Resultat &amp; Tabell'!M73=""),"",IF(H72='📊 Resultat &amp; Tabell'!M73,2,0))</f>
        <v>2</v>
      </c>
      <c r="K72" s="40">
        <f t="shared" si="31"/>
        <v>4</v>
      </c>
      <c r="L72" s="66" t="s">
        <v>167</v>
      </c>
      <c r="M72" s="59" cm="1">
        <f t="array" ref="M72">SUMPRODUCT(--($C$4:$C$75="J"),--($D$4:$D$75=L72),--($F$4:$F$75&gt;$G$4:$G$75),--($F$4:$F$75&lt;&gt;""),--($G$4:$G$75&lt;&gt;""))+SUMPRODUCT(--($C$4:$C$75="J"),--($E$4:$E$75=L72),--($G$4:$G$75&gt;$F$4:$F$75),--($F$4:$F$75&lt;&gt;""),--($G$4:$G$75&lt;&gt;""))</f>
        <v>0</v>
      </c>
      <c r="N72" s="59" cm="1">
        <f t="array" ref="N72">SUMPRODUCT(--($C$4:$C$75="J"),--(($D$4:$D$75=L72)+($E$4:$E$75=L72)&gt;0),--($F$4:$F$75=$G$4:$G$75),--($F$4:$F$75&lt;&gt;""),--($G$4:$G$75&lt;&gt;""))</f>
        <v>1</v>
      </c>
      <c r="O72" s="59" cm="1">
        <f t="array" ref="O72">SUMPRODUCT(--($C$4:$C$75="J"),--($D$4:$D$75=L72),--($F$4:$F$75&lt;$G$4:$G$75),--($F$4:$F$75&lt;&gt;""),--($G$4:$G$75&lt;&gt;""))+SUMPRODUCT(--($C$4:$C$75="J"),--($E$4:$E$75=L72),--($G$4:$G$75&lt;$F$4:$F$75),--($F$4:$F$75&lt;&gt;""),--($G$4:$G$75&lt;&gt;""))</f>
        <v>2</v>
      </c>
      <c r="P72" s="59" cm="1">
        <f t="array" ref="P72">SUMPRODUCT(--($C$4:$C$75="J"),--($D$4:$D$75=L72),$F$4:$F$75,--($F$4:$F$75&lt;&gt;""),--($G$4:$G$75&lt;&gt;""))+SUMPRODUCT(--($C$4:$C$75="J"),--($E$4:$E$75=L72),$G$4:$G$75,--($F$4:$F$75&lt;&gt;""),--($G$4:$G$75&lt;&gt;""))</f>
        <v>1</v>
      </c>
      <c r="Q72" s="59" cm="1">
        <f t="array" ref="Q72">SUMPRODUCT(--($C$4:$C$75="J"),--($D$4:$D$75=L72),$G$4:$G$75,--($F$4:$F$75&lt;&gt;""),--($G$4:$G$75&lt;&gt;""))+SUMPRODUCT(--($C$4:$C$75="J"),--($E$4:$E$75=L72),$F$4:$F$75,--($F$4:$F$75&lt;&gt;""),--($G$4:$G$75&lt;&gt;""))</f>
        <v>6</v>
      </c>
      <c r="R72" s="60">
        <f t="shared" si="32"/>
        <v>-5</v>
      </c>
      <c r="S72" s="60">
        <f t="shared" si="33"/>
        <v>1</v>
      </c>
      <c r="T72" s="71">
        <f t="shared" si="34"/>
        <v>95001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>
      <c r="A73" s="12">
        <v>70</v>
      </c>
      <c r="B73" s="39" t="s">
        <v>50</v>
      </c>
      <c r="C73" s="39" t="s">
        <v>189</v>
      </c>
      <c r="D73" s="39" t="s">
        <v>181</v>
      </c>
      <c r="E73" s="39" t="s">
        <v>185</v>
      </c>
      <c r="F73" s="13">
        <v>2</v>
      </c>
      <c r="G73" s="13">
        <v>1</v>
      </c>
      <c r="H73" s="40" t="str">
        <f t="shared" si="30"/>
        <v>1</v>
      </c>
      <c r="I73" s="40">
        <f>IF(OR(F73="",G73="",'📊 Resultat &amp; Tabell'!K74="",'📊 Resultat &amp; Tabell'!L74=""),"",IF(F73='📊 Resultat &amp; Tabell'!K74,2,0)+IF(G73='📊 Resultat &amp; Tabell'!L74,2,0))</f>
        <v>0</v>
      </c>
      <c r="J73" s="40">
        <f>IF(OR(H73="",'📊 Resultat &amp; Tabell'!M74=""),"",IF(H73='📊 Resultat &amp; Tabell'!M74,2,0))</f>
        <v>0</v>
      </c>
      <c r="K73" s="40">
        <f t="shared" si="31"/>
        <v>0</v>
      </c>
      <c r="L73" s="67" t="s">
        <v>269</v>
      </c>
      <c r="M73" s="59"/>
      <c r="N73" s="59"/>
      <c r="O73" s="59"/>
      <c r="P73" s="59"/>
      <c r="Q73" s="59"/>
      <c r="R73" s="60"/>
      <c r="S73" s="60"/>
      <c r="T73" s="7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>
      <c r="A74" s="15">
        <v>71</v>
      </c>
      <c r="B74" s="38" t="s">
        <v>50</v>
      </c>
      <c r="C74" s="38" t="s">
        <v>189</v>
      </c>
      <c r="D74" s="38" t="s">
        <v>187</v>
      </c>
      <c r="E74" s="38" t="s">
        <v>181</v>
      </c>
      <c r="F74" s="13">
        <v>0</v>
      </c>
      <c r="G74" s="13">
        <v>3</v>
      </c>
      <c r="H74" s="40" t="str">
        <f t="shared" si="30"/>
        <v>2</v>
      </c>
      <c r="I74" s="40">
        <f>IF(OR(F74="",G74="",'📊 Resultat &amp; Tabell'!K75="",'📊 Resultat &amp; Tabell'!L75=""),"",IF(F74='📊 Resultat &amp; Tabell'!K75,2,0)+IF(G74='📊 Resultat &amp; Tabell'!L75,2,0))</f>
        <v>2</v>
      </c>
      <c r="J74" s="40">
        <f>IF(OR(H74="",'📊 Resultat &amp; Tabell'!M75=""),"",IF(H74='📊 Resultat &amp; Tabell'!M75,2,0))</f>
        <v>2</v>
      </c>
      <c r="K74" s="40">
        <f t="shared" si="31"/>
        <v>4</v>
      </c>
      <c r="L74" s="64" t="s">
        <v>169</v>
      </c>
      <c r="M74" s="53" t="s">
        <v>269</v>
      </c>
      <c r="N74" s="53" t="s">
        <v>269</v>
      </c>
      <c r="O74" s="53" t="s">
        <v>269</v>
      </c>
      <c r="P74" s="53" t="s">
        <v>269</v>
      </c>
      <c r="Q74" s="53" t="s">
        <v>269</v>
      </c>
      <c r="R74" s="54" t="s">
        <v>269</v>
      </c>
      <c r="S74" s="54" t="s">
        <v>269</v>
      </c>
      <c r="T74" s="69" t="s">
        <v>269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2.75" customHeight="1">
      <c r="A75" s="12">
        <v>72</v>
      </c>
      <c r="B75" s="39" t="s">
        <v>50</v>
      </c>
      <c r="C75" s="74" t="s">
        <v>189</v>
      </c>
      <c r="D75" s="39" t="s">
        <v>183</v>
      </c>
      <c r="E75" s="39" t="s">
        <v>185</v>
      </c>
      <c r="F75" s="13">
        <v>2</v>
      </c>
      <c r="G75" s="13">
        <v>1</v>
      </c>
      <c r="H75" s="40" t="str">
        <f t="shared" si="30"/>
        <v>1</v>
      </c>
      <c r="I75" s="40">
        <f>IF(OR(F75="",G75="",'📊 Resultat &amp; Tabell'!K76="",'📊 Resultat &amp; Tabell'!L76=""),"",IF(F75='📊 Resultat &amp; Tabell'!K76,2,0)+IF(G75='📊 Resultat &amp; Tabell'!L76,2,0))</f>
        <v>4</v>
      </c>
      <c r="J75" s="40">
        <f>IF(OR(H75="",'📊 Resultat &amp; Tabell'!M76=""),"",IF(H75='📊 Resultat &amp; Tabell'!M76,2,0))</f>
        <v>2</v>
      </c>
      <c r="K75" s="40">
        <f t="shared" si="31"/>
        <v>6</v>
      </c>
      <c r="L75" s="65" t="s">
        <v>53</v>
      </c>
      <c r="M75" s="55" t="s">
        <v>54</v>
      </c>
      <c r="N75" s="55" t="s">
        <v>55</v>
      </c>
      <c r="O75" s="55" t="s">
        <v>56</v>
      </c>
      <c r="P75" s="55" t="s">
        <v>57</v>
      </c>
      <c r="Q75" s="55" t="s">
        <v>58</v>
      </c>
      <c r="R75" s="56" t="s">
        <v>59</v>
      </c>
      <c r="S75" s="57" t="s">
        <v>60</v>
      </c>
      <c r="T75" s="70" t="s">
        <v>289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>
      <c r="A76" s="76">
        <v>73</v>
      </c>
      <c r="B76" s="81" t="s">
        <v>190</v>
      </c>
      <c r="C76" s="76"/>
      <c r="D76" s="81" t="s">
        <v>290</v>
      </c>
      <c r="E76" s="81" t="s">
        <v>70</v>
      </c>
      <c r="F76" s="13">
        <v>0</v>
      </c>
      <c r="G76" s="13">
        <v>1</v>
      </c>
      <c r="H76" s="40" t="str">
        <f t="shared" si="30"/>
        <v>2</v>
      </c>
      <c r="I76" s="40">
        <f>IF(OR(F76="",G76="",'📊 Resultat &amp; Tabell'!K77="",'📊 Resultat &amp; Tabell'!L77=""),"",IF(F76='📊 Resultat &amp; Tabell'!K77,2,0)+IF(G76='📊 Resultat &amp; Tabell'!L77,2,0))</f>
        <v>4</v>
      </c>
      <c r="J76" s="40">
        <f>IF(OR(H76="",'📊 Resultat &amp; Tabell'!M77=""),"",IF(H76='📊 Resultat &amp; Tabell'!M77,2,0))</f>
        <v>2</v>
      </c>
      <c r="K76" s="40">
        <f t="shared" si="31"/>
        <v>6</v>
      </c>
      <c r="L76" s="66" t="s">
        <v>171</v>
      </c>
      <c r="M76" s="59" cm="1">
        <f t="array" ref="M76">SUMPRODUCT(--($C$4:$C$75="K"),--($D$4:$D$75=L76),--($F$4:$F$75&gt;$G$4:$G$75),--($F$4:$F$75&lt;&gt;""),--($G$4:$G$75&lt;&gt;""))+SUMPRODUCT(--($C$4:$C$75="K"),--($E$4:$E$75=L76),--($G$4:$G$75&gt;$F$4:$F$75),--($F$4:$F$75&lt;&gt;""),--($G$4:$G$75&lt;&gt;""))</f>
        <v>2</v>
      </c>
      <c r="N76" s="59" cm="1">
        <f t="array" ref="N76">SUMPRODUCT(--($C$4:$C$75="K"),--(($D$4:$D$75=L76)+($E$4:$E$75=L76)&gt;0),--($F$4:$F$75=$G$4:$G$75),--($F$4:$F$75&lt;&gt;""),--($G$4:$G$75&lt;&gt;""))</f>
        <v>1</v>
      </c>
      <c r="O76" s="59" cm="1">
        <f t="array" ref="O76">SUMPRODUCT(--($C$4:$C$75="K"),--($D$4:$D$75=L76),--($F$4:$F$75&lt;$G$4:$G$75),--($F$4:$F$75&lt;&gt;""),--($G$4:$G$75&lt;&gt;""))+SUMPRODUCT(--($C$4:$C$75="K"),--($E$4:$E$75=L76),--($G$4:$G$75&lt;$F$4:$F$75),--($F$4:$F$75&lt;&gt;""),--($G$4:$G$75&lt;&gt;""))</f>
        <v>0</v>
      </c>
      <c r="P76" s="59" cm="1">
        <f t="array" ref="P76">SUMPRODUCT(--($C$4:$C$75="K"),--($D$4:$D$75=L76),$F$4:$F$75,--($F$4:$F$75&lt;&gt;""),--($G$4:$G$75&lt;&gt;""))+SUMPRODUCT(--($C$4:$C$75="K"),--($E$4:$E$75=L76),$G$4:$G$75,--($F$4:$F$75&lt;&gt;""),--($G$4:$G$75&lt;&gt;""))</f>
        <v>6</v>
      </c>
      <c r="Q76" s="59" cm="1">
        <f t="array" ref="Q76">SUMPRODUCT(--($C$4:$C$75="K"),--($D$4:$D$75=L76),$G$4:$G$75,--($F$4:$F$75&lt;&gt;""),--($G$4:$G$75&lt;&gt;""))+SUMPRODUCT(--($C$4:$C$75="K"),--($E$4:$E$75=L76),$F$4:$F$75,--($F$4:$F$75&lt;&gt;""),--($G$4:$G$75&lt;&gt;""))</f>
        <v>2</v>
      </c>
      <c r="R76" s="60">
        <f t="shared" ref="R76:R79" si="35">P76-Q76</f>
        <v>4</v>
      </c>
      <c r="S76" s="60">
        <f t="shared" ref="S76:S79" si="36">M76*3+N76</f>
        <v>7</v>
      </c>
      <c r="T76" s="71">
        <f t="shared" ref="T76:T79" si="37">S76*100000+R76*1000+P76</f>
        <v>704006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>
      <c r="A77" s="33">
        <v>74</v>
      </c>
      <c r="B77" s="41" t="s">
        <v>190</v>
      </c>
      <c r="C77" s="33"/>
      <c r="D77" s="78" t="s">
        <v>85</v>
      </c>
      <c r="E77" s="78" t="s">
        <v>123</v>
      </c>
      <c r="F77" s="13">
        <v>2</v>
      </c>
      <c r="G77" s="13">
        <v>2</v>
      </c>
      <c r="H77" s="40" t="str">
        <f t="shared" si="30"/>
        <v>X</v>
      </c>
      <c r="I77" s="40">
        <f>IF(OR(F77="",G77="",'📊 Resultat &amp; Tabell'!K78="",'📊 Resultat &amp; Tabell'!L78=""),"",IF(F77='📊 Resultat &amp; Tabell'!K78,2,0)+IF(G77='📊 Resultat &amp; Tabell'!L78,2,0))</f>
        <v>2</v>
      </c>
      <c r="J77" s="40">
        <f>IF(OR(H77="",'📊 Resultat &amp; Tabell'!M78=""),"",IF(H77='📊 Resultat &amp; Tabell'!M78,2,0))</f>
        <v>0</v>
      </c>
      <c r="K77" s="40">
        <f t="shared" si="31"/>
        <v>2</v>
      </c>
      <c r="L77" s="66" t="s">
        <v>173</v>
      </c>
      <c r="M77" s="59" cm="1">
        <f t="array" ref="M77">SUMPRODUCT(--($C$4:$C$75="K"),--($D$4:$D$75=L77),--($F$4:$F$75&gt;$G$4:$G$75),--($F$4:$F$75&lt;&gt;""),--($G$4:$G$75&lt;&gt;""))+SUMPRODUCT(--($C$4:$C$75="K"),--($E$4:$E$75=L77),--($G$4:$G$75&gt;$F$4:$F$75),--($F$4:$F$75&lt;&gt;""),--($G$4:$G$75&lt;&gt;""))</f>
        <v>0</v>
      </c>
      <c r="N77" s="59" cm="1">
        <f t="array" ref="N77">SUMPRODUCT(--($C$4:$C$75="K"),--(($D$4:$D$75=L77)+($E$4:$E$75=L77)&gt;0),--($F$4:$F$75=$G$4:$G$75),--($F$4:$F$75&lt;&gt;""),--($G$4:$G$75&lt;&gt;""))</f>
        <v>0</v>
      </c>
      <c r="O77" s="59" cm="1">
        <f t="array" ref="O77">SUMPRODUCT(--($C$4:$C$75="K"),--($D$4:$D$75=L77),--($F$4:$F$75&lt;$G$4:$G$75),--($F$4:$F$75&lt;&gt;""),--($G$4:$G$75&lt;&gt;""))+SUMPRODUCT(--($C$4:$C$75="K"),--($E$4:$E$75=L77),--($G$4:$G$75&lt;$F$4:$F$75),--($F$4:$F$75&lt;&gt;""),--($G$4:$G$75&lt;&gt;""))</f>
        <v>3</v>
      </c>
      <c r="P77" s="59" cm="1">
        <f t="array" ref="P77">SUMPRODUCT(--($C$4:$C$75="K"),--($D$4:$D$75=L77),$F$4:$F$75,--($F$4:$F$75&lt;&gt;""),--($G$4:$G$75&lt;&gt;""))+SUMPRODUCT(--($C$4:$C$75="K"),--($E$4:$E$75=L77),$G$4:$G$75,--($F$4:$F$75&lt;&gt;""),--($G$4:$G$75&lt;&gt;""))</f>
        <v>1</v>
      </c>
      <c r="Q77" s="59" cm="1">
        <f t="array" ref="Q77">SUMPRODUCT(--($C$4:$C$75="K"),--($D$4:$D$75=L77),$G$4:$G$75,--($F$4:$F$75&lt;&gt;""),--($G$4:$G$75&lt;&gt;""))+SUMPRODUCT(--($C$4:$C$75="K"),--($E$4:$E$75=L77),$F$4:$F$75,--($F$4:$F$75&lt;&gt;""),--($G$4:$G$75&lt;&gt;""))</f>
        <v>6</v>
      </c>
      <c r="R77" s="60">
        <f t="shared" si="35"/>
        <v>-5</v>
      </c>
      <c r="S77" s="60">
        <f t="shared" si="36"/>
        <v>0</v>
      </c>
      <c r="T77" s="71">
        <f t="shared" si="37"/>
        <v>-4999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>
      <c r="A78" s="76">
        <v>75</v>
      </c>
      <c r="B78" s="81" t="s">
        <v>190</v>
      </c>
      <c r="C78" s="76"/>
      <c r="D78" s="81" t="s">
        <v>110</v>
      </c>
      <c r="E78" s="81" t="s">
        <v>101</v>
      </c>
      <c r="F78" s="13">
        <v>3</v>
      </c>
      <c r="G78" s="13">
        <v>1</v>
      </c>
      <c r="H78" s="40" t="str">
        <f t="shared" si="30"/>
        <v>1</v>
      </c>
      <c r="I78" s="40">
        <f>IF(OR(F78="",G78="",'📊 Resultat &amp; Tabell'!K79="",'📊 Resultat &amp; Tabell'!L79=""),"",IF(F78='📊 Resultat &amp; Tabell'!K79,2,0)+IF(G78='📊 Resultat &amp; Tabell'!L79,2,0))</f>
        <v>2</v>
      </c>
      <c r="J78" s="40">
        <f>IF(OR(H78="",'📊 Resultat &amp; Tabell'!M79=""),"",IF(H78='📊 Resultat &amp; Tabell'!M79,2,0))</f>
        <v>0</v>
      </c>
      <c r="K78" s="40">
        <f t="shared" si="31"/>
        <v>2</v>
      </c>
      <c r="L78" s="66" t="s">
        <v>175</v>
      </c>
      <c r="M78" s="59" cm="1">
        <f t="array" ref="M78">SUMPRODUCT(--($C$4:$C$75="K"),--($D$4:$D$75=L78),--($F$4:$F$75&gt;$G$4:$G$75),--($F$4:$F$75&lt;&gt;""),--($G$4:$G$75&lt;&gt;""))+SUMPRODUCT(--($C$4:$C$75="K"),--($E$4:$E$75=L78),--($G$4:$G$75&gt;$F$4:$F$75),--($F$4:$F$75&lt;&gt;""),--($G$4:$G$75&lt;&gt;""))</f>
        <v>1</v>
      </c>
      <c r="N78" s="59" cm="1">
        <f t="array" ref="N78">SUMPRODUCT(--($C$4:$C$75="K"),--(($D$4:$D$75=L78)+($E$4:$E$75=L78)&gt;0),--($F$4:$F$75=$G$4:$G$75),--($F$4:$F$75&lt;&gt;""),--($G$4:$G$75&lt;&gt;""))</f>
        <v>0</v>
      </c>
      <c r="O78" s="59" cm="1">
        <f t="array" ref="O78">SUMPRODUCT(--($C$4:$C$75="K"),--($D$4:$D$75=L78),--($F$4:$F$75&lt;$G$4:$G$75),--($F$4:$F$75&lt;&gt;""),--($G$4:$G$75&lt;&gt;""))+SUMPRODUCT(--($C$4:$C$75="K"),--($E$4:$E$75=L78),--($G$4:$G$75&lt;$F$4:$F$75),--($F$4:$F$75&lt;&gt;""),--($G$4:$G$75&lt;&gt;""))</f>
        <v>2</v>
      </c>
      <c r="P78" s="59" cm="1">
        <f t="array" ref="P78">SUMPRODUCT(--($C$4:$C$75="K"),--($D$4:$D$75=L78),$F$4:$F$75,--($F$4:$F$75&lt;&gt;""),--($G$4:$G$75&lt;&gt;""))+SUMPRODUCT(--($C$4:$C$75="K"),--($E$4:$E$75=L78),$G$4:$G$75,--($F$4:$F$75&lt;&gt;""),--($G$4:$G$75&lt;&gt;""))</f>
        <v>1</v>
      </c>
      <c r="Q78" s="59" cm="1">
        <f t="array" ref="Q78">SUMPRODUCT(--($C$4:$C$75="K"),--($D$4:$D$75=L78),$G$4:$G$75,--($F$4:$F$75&lt;&gt;""),--($G$4:$G$75&lt;&gt;""))+SUMPRODUCT(--($C$4:$C$75="K"),--($E$4:$E$75=L78),$F$4:$F$75,--($F$4:$F$75&lt;&gt;""),--($G$4:$G$75&lt;&gt;""))</f>
        <v>4</v>
      </c>
      <c r="R78" s="60">
        <f t="shared" si="35"/>
        <v>-3</v>
      </c>
      <c r="S78" s="60">
        <f t="shared" si="36"/>
        <v>3</v>
      </c>
      <c r="T78" s="71">
        <f t="shared" si="37"/>
        <v>297001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>
      <c r="A79" s="33">
        <v>76</v>
      </c>
      <c r="B79" s="41" t="s">
        <v>190</v>
      </c>
      <c r="C79" s="33"/>
      <c r="D79" s="78" t="s">
        <v>121</v>
      </c>
      <c r="E79" s="78" t="s">
        <v>87</v>
      </c>
      <c r="F79" s="13">
        <v>1</v>
      </c>
      <c r="G79" s="13">
        <v>0</v>
      </c>
      <c r="H79" s="40" t="str">
        <f t="shared" si="30"/>
        <v>1</v>
      </c>
      <c r="I79" s="40">
        <f>IF(OR(F79="",G79="",'📊 Resultat &amp; Tabell'!K80="",'📊 Resultat &amp; Tabell'!L80=""),"",IF(F79='📊 Resultat &amp; Tabell'!K80,2,0)+IF(G79='📊 Resultat &amp; Tabell'!L80,2,0))</f>
        <v>2</v>
      </c>
      <c r="J79" s="40">
        <f>IF(OR(H79="",'📊 Resultat &amp; Tabell'!M80=""),"",IF(H79='📊 Resultat &amp; Tabell'!M80,2,0))</f>
        <v>0</v>
      </c>
      <c r="K79" s="40">
        <f t="shared" si="31"/>
        <v>2</v>
      </c>
      <c r="L79" s="66" t="s">
        <v>177</v>
      </c>
      <c r="M79" s="59" cm="1">
        <f t="array" ref="M79">SUMPRODUCT(--($C$4:$C$75="K"),--($D$4:$D$75=L79),--($F$4:$F$75&gt;$G$4:$G$75),--($F$4:$F$75&lt;&gt;""),--($G$4:$G$75&lt;&gt;""))+SUMPRODUCT(--($C$4:$C$75="K"),--($E$4:$E$75=L79),--($G$4:$G$75&gt;$F$4:$F$75),--($F$4:$F$75&lt;&gt;""),--($G$4:$G$75&lt;&gt;""))</f>
        <v>2</v>
      </c>
      <c r="N79" s="59" cm="1">
        <f t="array" ref="N79">SUMPRODUCT(--($C$4:$C$75="K"),--(($D$4:$D$75=L79)+($E$4:$E$75=L79)&gt;0),--($F$4:$F$75=$G$4:$G$75),--($F$4:$F$75&lt;&gt;""),--($G$4:$G$75&lt;&gt;""))</f>
        <v>1</v>
      </c>
      <c r="O79" s="59" cm="1">
        <f t="array" ref="O79">SUMPRODUCT(--($C$4:$C$75="K"),--($D$4:$D$75=L79),--($F$4:$F$75&lt;$G$4:$G$75),--($F$4:$F$75&lt;&gt;""),--($G$4:$G$75&lt;&gt;""))+SUMPRODUCT(--($C$4:$C$75="K"),--($E$4:$E$75=L79),--($G$4:$G$75&lt;$F$4:$F$75),--($F$4:$F$75&lt;&gt;""),--($G$4:$G$75&lt;&gt;""))</f>
        <v>0</v>
      </c>
      <c r="P79" s="59" cm="1">
        <f t="array" ref="P79">SUMPRODUCT(--($C$4:$C$75="K"),--($D$4:$D$75=L79),$F$4:$F$75,--($F$4:$F$75&lt;&gt;""),--($G$4:$G$75&lt;&gt;""))+SUMPRODUCT(--($C$4:$C$75="K"),--($E$4:$E$75=L79),$G$4:$G$75,--($F$4:$F$75&lt;&gt;""),--($G$4:$G$75&lt;&gt;""))</f>
        <v>5</v>
      </c>
      <c r="Q79" s="59" cm="1">
        <f t="array" ref="Q79">SUMPRODUCT(--($C$4:$C$75="K"),--($D$4:$D$75=L79),$G$4:$G$75,--($F$4:$F$75&lt;&gt;""),--($G$4:$G$75&lt;&gt;""))+SUMPRODUCT(--($C$4:$C$75="K"),--($E$4:$E$75=L79),$F$4:$F$75,--($F$4:$F$75&lt;&gt;""),--($G$4:$G$75&lt;&gt;""))</f>
        <v>1</v>
      </c>
      <c r="R79" s="60">
        <f t="shared" si="35"/>
        <v>4</v>
      </c>
      <c r="S79" s="60">
        <f t="shared" si="36"/>
        <v>7</v>
      </c>
      <c r="T79" s="71">
        <f t="shared" si="37"/>
        <v>704005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>
      <c r="A80" s="76">
        <v>77</v>
      </c>
      <c r="B80" s="81" t="s">
        <v>190</v>
      </c>
      <c r="C80" s="76"/>
      <c r="D80" s="81" t="s">
        <v>291</v>
      </c>
      <c r="E80" s="81" t="s">
        <v>158</v>
      </c>
      <c r="F80" s="13">
        <v>0</v>
      </c>
      <c r="G80" s="13">
        <v>2</v>
      </c>
      <c r="H80" s="40" t="str">
        <f t="shared" si="30"/>
        <v>2</v>
      </c>
      <c r="I80" s="40">
        <f>IF(OR(F80="",G80="",'📊 Resultat &amp; Tabell'!K81="",'📊 Resultat &amp; Tabell'!L81=""),"",IF(F80='📊 Resultat &amp; Tabell'!K81,2,0)+IF(G80='📊 Resultat &amp; Tabell'!L81,2,0))</f>
        <v>2</v>
      </c>
      <c r="J80" s="40">
        <f>IF(OR(H80="",'📊 Resultat &amp; Tabell'!M81=""),"",IF(H80='📊 Resultat &amp; Tabell'!M81,2,0))</f>
        <v>2</v>
      </c>
      <c r="K80" s="40">
        <f t="shared" si="31"/>
        <v>4</v>
      </c>
      <c r="L80" s="67" t="s">
        <v>269</v>
      </c>
      <c r="M80" s="59"/>
      <c r="N80" s="59"/>
      <c r="O80" s="59"/>
      <c r="P80" s="59"/>
      <c r="Q80" s="59"/>
      <c r="R80" s="60"/>
      <c r="S80" s="60"/>
      <c r="T80" s="7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>
      <c r="A81" s="33">
        <v>78</v>
      </c>
      <c r="B81" s="41" t="s">
        <v>190</v>
      </c>
      <c r="C81" s="33"/>
      <c r="D81" s="78" t="s">
        <v>151</v>
      </c>
      <c r="E81" s="78" t="s">
        <v>126</v>
      </c>
      <c r="F81" s="13">
        <v>3</v>
      </c>
      <c r="G81" s="13">
        <v>2</v>
      </c>
      <c r="H81" s="40" t="str">
        <f t="shared" si="30"/>
        <v>1</v>
      </c>
      <c r="I81" s="40">
        <f>IF(OR(F81="",G81="",'📊 Resultat &amp; Tabell'!K82="",'📊 Resultat &amp; Tabell'!L82=""),"",IF(F81='📊 Resultat &amp; Tabell'!K82,2,0)+IF(G81='📊 Resultat &amp; Tabell'!L82,2,0))</f>
        <v>2</v>
      </c>
      <c r="J81" s="40">
        <f>IF(OR(H81="",'📊 Resultat &amp; Tabell'!M82=""),"",IF(H81='📊 Resultat &amp; Tabell'!M82,2,0))</f>
        <v>2</v>
      </c>
      <c r="K81" s="40">
        <f t="shared" si="31"/>
        <v>4</v>
      </c>
      <c r="L81" s="64" t="s">
        <v>178</v>
      </c>
      <c r="M81" s="53" t="s">
        <v>269</v>
      </c>
      <c r="N81" s="53" t="s">
        <v>269</v>
      </c>
      <c r="O81" s="53" t="s">
        <v>269</v>
      </c>
      <c r="P81" s="53" t="s">
        <v>269</v>
      </c>
      <c r="Q81" s="53" t="s">
        <v>269</v>
      </c>
      <c r="R81" s="54" t="s">
        <v>269</v>
      </c>
      <c r="S81" s="54" t="s">
        <v>269</v>
      </c>
      <c r="T81" s="69" t="s">
        <v>269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>
      <c r="A82" s="76">
        <v>79</v>
      </c>
      <c r="B82" s="81" t="s">
        <v>190</v>
      </c>
      <c r="C82" s="76"/>
      <c r="D82" s="81" t="s">
        <v>48</v>
      </c>
      <c r="E82" s="81" t="s">
        <v>116</v>
      </c>
      <c r="F82" s="13">
        <v>0</v>
      </c>
      <c r="G82" s="13">
        <v>0</v>
      </c>
      <c r="H82" s="40" t="str">
        <f t="shared" si="30"/>
        <v>X</v>
      </c>
      <c r="I82" s="40">
        <f>IF(OR(F82="",G82="",'📊 Resultat &amp; Tabell'!K83="",'📊 Resultat &amp; Tabell'!L83=""),"",IF(F82='📊 Resultat &amp; Tabell'!K83,2,0)+IF(G82='📊 Resultat &amp; Tabell'!L83,2,0))</f>
        <v>2</v>
      </c>
      <c r="J82" s="40">
        <f>IF(OR(H82="",'📊 Resultat &amp; Tabell'!M83=""),"",IF(H82='📊 Resultat &amp; Tabell'!M83,2,0))</f>
        <v>0</v>
      </c>
      <c r="K82" s="40">
        <f t="shared" si="31"/>
        <v>2</v>
      </c>
      <c r="L82" s="65" t="s">
        <v>53</v>
      </c>
      <c r="M82" s="55" t="s">
        <v>54</v>
      </c>
      <c r="N82" s="55" t="s">
        <v>55</v>
      </c>
      <c r="O82" s="55" t="s">
        <v>56</v>
      </c>
      <c r="P82" s="55" t="s">
        <v>57</v>
      </c>
      <c r="Q82" s="55" t="s">
        <v>58</v>
      </c>
      <c r="R82" s="56" t="s">
        <v>59</v>
      </c>
      <c r="S82" s="57" t="s">
        <v>60</v>
      </c>
      <c r="T82" s="70" t="s">
        <v>289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>
      <c r="A83" s="33">
        <v>80</v>
      </c>
      <c r="B83" s="41" t="s">
        <v>190</v>
      </c>
      <c r="C83" s="33"/>
      <c r="D83" s="78" t="s">
        <v>181</v>
      </c>
      <c r="E83" s="78" t="s">
        <v>292</v>
      </c>
      <c r="F83" s="13">
        <v>3</v>
      </c>
      <c r="G83" s="13">
        <v>0</v>
      </c>
      <c r="H83" s="40" t="str">
        <f t="shared" si="30"/>
        <v>1</v>
      </c>
      <c r="I83" s="40">
        <f>IF(OR(F83="",G83="",'📊 Resultat &amp; Tabell'!K84="",'📊 Resultat &amp; Tabell'!L84=""),"",IF(F83='📊 Resultat &amp; Tabell'!K84,2,0)+IF(G83='📊 Resultat &amp; Tabell'!L84,2,0))</f>
        <v>0</v>
      </c>
      <c r="J83" s="40">
        <f>IF(OR(H83="",'📊 Resultat &amp; Tabell'!M84=""),"",IF(H83='📊 Resultat &amp; Tabell'!M84,2,0))</f>
        <v>2</v>
      </c>
      <c r="K83" s="40">
        <f t="shared" si="31"/>
        <v>2</v>
      </c>
      <c r="L83" s="66" t="s">
        <v>181</v>
      </c>
      <c r="M83" s="59" cm="1">
        <f t="array" ref="M83">SUMPRODUCT(--($C$4:$C$75="L"),--($D$4:$D$75=L83),--($F$4:$F$75&gt;$G$4:$G$75),--($F$4:$F$75&lt;&gt;""),--($G$4:$G$75&lt;&gt;""))+SUMPRODUCT(--($C$4:$C$75="L"),--($E$4:$E$75=L83),--($G$4:$G$75&gt;$F$4:$F$75),--($F$4:$F$75&lt;&gt;""),--($G$4:$G$75&lt;&gt;""))</f>
        <v>3</v>
      </c>
      <c r="N83" s="59" cm="1">
        <f t="array" ref="N83">SUMPRODUCT(--($C$4:$C$75="L"),--(($D$4:$D$75=L83)+($E$4:$E$75=L83)&gt;0),--($F$4:$F$75=$G$4:$G$75),--($F$4:$F$75&lt;&gt;""),--($G$4:$G$75&lt;&gt;""))</f>
        <v>0</v>
      </c>
      <c r="O83" s="59" cm="1">
        <f t="array" ref="O83">SUMPRODUCT(--($C$4:$C$75="L"),--($D$4:$D$75=L83),--($F$4:$F$75&lt;$G$4:$G$75),--($F$4:$F$75&lt;&gt;""),--($G$4:$G$75&lt;&gt;""))+SUMPRODUCT(--($C$4:$C$75="L"),--($E$4:$E$75=L83),--($G$4:$G$75&lt;$F$4:$F$75),--($F$4:$F$75&lt;&gt;""),--($G$4:$G$75&lt;&gt;""))</f>
        <v>0</v>
      </c>
      <c r="P83" s="59" cm="1">
        <f t="array" ref="P83">SUMPRODUCT(--($C$4:$C$75="L"),--($D$4:$D$75=L83),$F$4:$F$75,--($F$4:$F$75&lt;&gt;""),--($G$4:$G$75&lt;&gt;""))+SUMPRODUCT(--($C$4:$C$75="L"),--($E$4:$E$75=L83),$G$4:$G$75,--($F$4:$F$75&lt;&gt;""),--($G$4:$G$75&lt;&gt;""))</f>
        <v>7</v>
      </c>
      <c r="Q83" s="59" cm="1">
        <f t="array" ref="Q83">SUMPRODUCT(--($C$4:$C$75="L"),--($D$4:$D$75=L83),$G$4:$G$75,--($F$4:$F$75&lt;&gt;""),--($G$4:$G$75&lt;&gt;""))+SUMPRODUCT(--($C$4:$C$75="L"),--($E$4:$E$75=L83),$F$4:$F$75,--($F$4:$F$75&lt;&gt;""),--($G$4:$G$75&lt;&gt;""))</f>
        <v>2</v>
      </c>
      <c r="R83" s="60">
        <f t="shared" ref="R83:R86" si="38">P83-Q83</f>
        <v>5</v>
      </c>
      <c r="S83" s="60">
        <f t="shared" ref="S83:S86" si="39">M83*3+N83</f>
        <v>9</v>
      </c>
      <c r="T83" s="71">
        <f t="shared" ref="T83:T86" si="40">S83*100000+R83*1000+P83</f>
        <v>905007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>
      <c r="A84" s="76">
        <v>81</v>
      </c>
      <c r="B84" s="81" t="s">
        <v>190</v>
      </c>
      <c r="C84" s="76"/>
      <c r="D84" s="81" t="s">
        <v>131</v>
      </c>
      <c r="E84" s="81" t="s">
        <v>153</v>
      </c>
      <c r="F84" s="13">
        <v>1</v>
      </c>
      <c r="G84" s="13">
        <v>0</v>
      </c>
      <c r="H84" s="40" t="str">
        <f t="shared" si="30"/>
        <v>1</v>
      </c>
      <c r="I84" s="40">
        <f>IF(OR(F84="",G84="",'📊 Resultat &amp; Tabell'!K85="",'📊 Resultat &amp; Tabell'!L85=""),"",IF(F84='📊 Resultat &amp; Tabell'!K85,2,0)+IF(G84='📊 Resultat &amp; Tabell'!L85,2,0))</f>
        <v>0</v>
      </c>
      <c r="J84" s="40">
        <f>IF(OR(H84="",'📊 Resultat &amp; Tabell'!M85=""),"",IF(H84='📊 Resultat &amp; Tabell'!M85,2,0))</f>
        <v>0</v>
      </c>
      <c r="K84" s="40">
        <f t="shared" si="31"/>
        <v>0</v>
      </c>
      <c r="L84" s="66" t="s">
        <v>183</v>
      </c>
      <c r="M84" s="59" cm="1">
        <f t="array" ref="M84">SUMPRODUCT(--($C$4:$C$75="L"),--($D$4:$D$75=L84),--($F$4:$F$75&gt;$G$4:$G$75),--($F$4:$F$75&lt;&gt;""),--($G$4:$G$75&lt;&gt;""))+SUMPRODUCT(--($C$4:$C$75="L"),--($E$4:$E$75=L84),--($G$4:$G$75&gt;$F$4:$F$75),--($F$4:$F$75&lt;&gt;""),--($G$4:$G$75&lt;&gt;""))</f>
        <v>2</v>
      </c>
      <c r="N84" s="59" cm="1">
        <f t="array" ref="N84">SUMPRODUCT(--($C$4:$C$75="L"),--(($D$4:$D$75=L84)+($E$4:$E$75=L84)&gt;0),--($F$4:$F$75=$G$4:$G$75),--($F$4:$F$75&lt;&gt;""),--($G$4:$G$75&lt;&gt;""))</f>
        <v>0</v>
      </c>
      <c r="O84" s="59" cm="1">
        <f t="array" ref="O84">SUMPRODUCT(--($C$4:$C$75="L"),--($D$4:$D$75=L84),--($F$4:$F$75&lt;$G$4:$G$75),--($F$4:$F$75&lt;&gt;""),--($G$4:$G$75&lt;&gt;""))+SUMPRODUCT(--($C$4:$C$75="L"),--($E$4:$E$75=L84),--($G$4:$G$75&lt;$F$4:$F$75),--($F$4:$F$75&lt;&gt;""),--($G$4:$G$75&lt;&gt;""))</f>
        <v>1</v>
      </c>
      <c r="P84" s="59" cm="1">
        <f t="array" ref="P84">SUMPRODUCT(--($C$4:$C$75="L"),--($D$4:$D$75=L84),$F$4:$F$75,--($F$4:$F$75&lt;&gt;""),--($G$4:$G$75&lt;&gt;""))+SUMPRODUCT(--($C$4:$C$75="L"),--($E$4:$E$75=L84),$G$4:$G$75,--($F$4:$F$75&lt;&gt;""),--($G$4:$G$75&lt;&gt;""))</f>
        <v>5</v>
      </c>
      <c r="Q84" s="59" cm="1">
        <f t="array" ref="Q84">SUMPRODUCT(--($C$4:$C$75="L"),--($D$4:$D$75=L84),$G$4:$G$75,--($F$4:$F$75&lt;&gt;""),--($G$4:$G$75&lt;&gt;""))+SUMPRODUCT(--($C$4:$C$75="L"),--($E$4:$E$75=L84),$F$4:$F$75,--($F$4:$F$75&lt;&gt;""),--($G$4:$G$75&lt;&gt;""))</f>
        <v>3</v>
      </c>
      <c r="R84" s="60">
        <f t="shared" si="38"/>
        <v>2</v>
      </c>
      <c r="S84" s="60">
        <f t="shared" si="39"/>
        <v>6</v>
      </c>
      <c r="T84" s="71">
        <f t="shared" si="40"/>
        <v>602005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>
      <c r="A85" s="33">
        <v>82</v>
      </c>
      <c r="B85" s="41" t="s">
        <v>190</v>
      </c>
      <c r="C85" s="33"/>
      <c r="D85" s="78" t="s">
        <v>293</v>
      </c>
      <c r="E85" s="78" t="s">
        <v>294</v>
      </c>
      <c r="F85" s="13">
        <v>2</v>
      </c>
      <c r="G85" s="13">
        <v>1</v>
      </c>
      <c r="H85" s="40" t="str">
        <f t="shared" si="30"/>
        <v>1</v>
      </c>
      <c r="I85" s="40">
        <f>IF(OR(F85="",G85="",'📊 Resultat &amp; Tabell'!K86="",'📊 Resultat &amp; Tabell'!L86=""),"",IF(F85='📊 Resultat &amp; Tabell'!K86,2,0)+IF(G85='📊 Resultat &amp; Tabell'!L86,2,0))</f>
        <v>2</v>
      </c>
      <c r="J85" s="40">
        <f>IF(OR(H85="",'📊 Resultat &amp; Tabell'!M86=""),"",IF(H85='📊 Resultat &amp; Tabell'!M86,2,0))</f>
        <v>2</v>
      </c>
      <c r="K85" s="40">
        <f t="shared" si="31"/>
        <v>4</v>
      </c>
      <c r="L85" s="66" t="s">
        <v>185</v>
      </c>
      <c r="M85" s="59" cm="1">
        <f t="array" ref="M85">SUMPRODUCT(--($C$4:$C$75="L"),--($D$4:$D$75=L85),--($F$4:$F$75&gt;$G$4:$G$75),--($F$4:$F$75&lt;&gt;""),--($G$4:$G$75&lt;&gt;""))+SUMPRODUCT(--($C$4:$C$75="L"),--($E$4:$E$75=L85),--($G$4:$G$75&gt;$F$4:$F$75),--($F$4:$F$75&lt;&gt;""),--($G$4:$G$75&lt;&gt;""))</f>
        <v>0</v>
      </c>
      <c r="N85" s="59" cm="1">
        <f t="array" ref="N85">SUMPRODUCT(--($C$4:$C$75="L"),--(($D$4:$D$75=L85)+($E$4:$E$75=L85)&gt;0),--($F$4:$F$75=$G$4:$G$75),--($F$4:$F$75&lt;&gt;""),--($G$4:$G$75&lt;&gt;""))</f>
        <v>1</v>
      </c>
      <c r="O85" s="59" cm="1">
        <f t="array" ref="O85">SUMPRODUCT(--($C$4:$C$75="L"),--($D$4:$D$75=L85),--($F$4:$F$75&lt;$G$4:$G$75),--($F$4:$F$75&lt;&gt;""),--($G$4:$G$75&lt;&gt;""))+SUMPRODUCT(--($C$4:$C$75="L"),--($E$4:$E$75=L85),--($G$4:$G$75&lt;$F$4:$F$75),--($F$4:$F$75&lt;&gt;""),--($G$4:$G$75&lt;&gt;""))</f>
        <v>2</v>
      </c>
      <c r="P85" s="59" cm="1">
        <f t="array" ref="P85">SUMPRODUCT(--($C$4:$C$75="L"),--($D$4:$D$75=L85),$F$4:$F$75,--($F$4:$F$75&lt;&gt;""),--($G$4:$G$75&lt;&gt;""))+SUMPRODUCT(--($C$4:$C$75="L"),--($E$4:$E$75=L85),$G$4:$G$75,--($F$4:$F$75&lt;&gt;""),--($G$4:$G$75&lt;&gt;""))</f>
        <v>3</v>
      </c>
      <c r="Q85" s="59" cm="1">
        <f t="array" ref="Q85">SUMPRODUCT(--($C$4:$C$75="L"),--($D$4:$D$75=L85),$G$4:$G$75,--($F$4:$F$75&lt;&gt;""),--($G$4:$G$75&lt;&gt;""))+SUMPRODUCT(--($C$4:$C$75="L"),--($E$4:$E$75=L85),$F$4:$F$75,--($F$4:$F$75&lt;&gt;""),--($G$4:$G$75&lt;&gt;""))</f>
        <v>5</v>
      </c>
      <c r="R85" s="60">
        <f t="shared" si="38"/>
        <v>-2</v>
      </c>
      <c r="S85" s="60">
        <f t="shared" si="39"/>
        <v>1</v>
      </c>
      <c r="T85" s="71">
        <f t="shared" si="40"/>
        <v>98003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>
      <c r="A86" s="76">
        <v>83</v>
      </c>
      <c r="B86" s="81" t="s">
        <v>190</v>
      </c>
      <c r="C86" s="76"/>
      <c r="D86" s="81" t="s">
        <v>141</v>
      </c>
      <c r="E86" s="81" t="s">
        <v>165</v>
      </c>
      <c r="F86" s="13">
        <v>2</v>
      </c>
      <c r="G86" s="13">
        <v>0</v>
      </c>
      <c r="H86" s="40" t="str">
        <f t="shared" si="30"/>
        <v>1</v>
      </c>
      <c r="I86" s="40">
        <f>IF(OR(F86="",G86="",'📊 Resultat &amp; Tabell'!K87="",'📊 Resultat &amp; Tabell'!L87=""),"",IF(F86='📊 Resultat &amp; Tabell'!K87,2,0)+IF(G86='📊 Resultat &amp; Tabell'!L87,2,0))</f>
        <v>2</v>
      </c>
      <c r="J86" s="40">
        <f>IF(OR(H86="",'📊 Resultat &amp; Tabell'!M87=""),"",IF(H86='📊 Resultat &amp; Tabell'!M87,2,0))</f>
        <v>2</v>
      </c>
      <c r="K86" s="40">
        <f t="shared" si="31"/>
        <v>4</v>
      </c>
      <c r="L86" s="66" t="s">
        <v>187</v>
      </c>
      <c r="M86" s="59" cm="1">
        <f t="array" ref="M86">SUMPRODUCT(--($C$4:$C$75="L"),--($D$4:$D$75=L86),--($F$4:$F$75&gt;$G$4:$G$75),--($F$4:$F$75&lt;&gt;""),--($G$4:$G$75&lt;&gt;""))+SUMPRODUCT(--($C$4:$C$75="L"),--($E$4:$E$75=L86),--($G$4:$G$75&gt;$F$4:$F$75),--($F$4:$F$75&lt;&gt;""),--($G$4:$G$75&lt;&gt;""))</f>
        <v>0</v>
      </c>
      <c r="N86" s="59" cm="1">
        <f t="array" ref="N86">SUMPRODUCT(--($C$4:$C$75="L"),--(($D$4:$D$75=L86)+($E$4:$E$75=L86)&gt;0),--($F$4:$F$75=$G$4:$G$75),--($F$4:$F$75&lt;&gt;""),--($G$4:$G$75&lt;&gt;""))</f>
        <v>1</v>
      </c>
      <c r="O86" s="59" cm="1">
        <f t="array" ref="O86">SUMPRODUCT(--($C$4:$C$75="L"),--($D$4:$D$75=L86),--($F$4:$F$75&lt;$G$4:$G$75),--($F$4:$F$75&lt;&gt;""),--($G$4:$G$75&lt;&gt;""))+SUMPRODUCT(--($C$4:$C$75="L"),--($E$4:$E$75=L86),--($G$4:$G$75&lt;$F$4:$F$75),--($F$4:$F$75&lt;&gt;""),--($G$4:$G$75&lt;&gt;""))</f>
        <v>2</v>
      </c>
      <c r="P86" s="59" cm="1">
        <f t="array" ref="P86">SUMPRODUCT(--($C$4:$C$75="L"),--($D$4:$D$75=L86),$F$4:$F$75,--($F$4:$F$75&lt;&gt;""),--($G$4:$G$75&lt;&gt;""))+SUMPRODUCT(--($C$4:$C$75="L"),--($E$4:$E$75=L86),$G$4:$G$75,--($F$4:$F$75&lt;&gt;""),--($G$4:$G$75&lt;&gt;""))</f>
        <v>1</v>
      </c>
      <c r="Q86" s="59" cm="1">
        <f t="array" ref="Q86">SUMPRODUCT(--($C$4:$C$75="L"),--($D$4:$D$75=L86),$G$4:$G$75,--($F$4:$F$75&lt;&gt;""),--($G$4:$G$75&lt;&gt;""))+SUMPRODUCT(--($C$4:$C$75="L"),--($E$4:$E$75=L86),$F$4:$F$75,--($F$4:$F$75&lt;&gt;""),--($G$4:$G$75&lt;&gt;""))</f>
        <v>6</v>
      </c>
      <c r="R86" s="60">
        <f t="shared" si="38"/>
        <v>-5</v>
      </c>
      <c r="S86" s="60">
        <f t="shared" si="39"/>
        <v>1</v>
      </c>
      <c r="T86" s="71">
        <f t="shared" si="40"/>
        <v>95001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>
      <c r="A87" s="33">
        <v>84</v>
      </c>
      <c r="B87" s="41" t="s">
        <v>190</v>
      </c>
      <c r="C87" s="33"/>
      <c r="D87" s="78" t="s">
        <v>171</v>
      </c>
      <c r="E87" s="78" t="s">
        <v>183</v>
      </c>
      <c r="F87" s="13">
        <v>2</v>
      </c>
      <c r="G87" s="13">
        <v>1</v>
      </c>
      <c r="H87" s="40" t="str">
        <f t="shared" si="30"/>
        <v>1</v>
      </c>
      <c r="I87" s="40">
        <f>IF(OR(F87="",G87="",'📊 Resultat &amp; Tabell'!K88="",'📊 Resultat &amp; Tabell'!L88=""),"",IF(F87='📊 Resultat &amp; Tabell'!K88,2,0)+IF(G87='📊 Resultat &amp; Tabell'!L88,2,0))</f>
        <v>4</v>
      </c>
      <c r="J87" s="40">
        <f>IF(OR(H87="",'📊 Resultat &amp; Tabell'!M88=""),"",IF(H87='📊 Resultat &amp; Tabell'!M88,2,0))</f>
        <v>2</v>
      </c>
      <c r="K87" s="40">
        <f t="shared" si="31"/>
        <v>6</v>
      </c>
      <c r="L87" s="62"/>
      <c r="M87" s="62"/>
      <c r="N87" s="62"/>
      <c r="O87" s="62"/>
      <c r="P87" s="62"/>
      <c r="Q87" s="62"/>
      <c r="R87" s="62"/>
      <c r="S87" s="62"/>
      <c r="T87" s="62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>
      <c r="A88" s="76">
        <v>85</v>
      </c>
      <c r="B88" s="81" t="s">
        <v>190</v>
      </c>
      <c r="C88" s="76"/>
      <c r="D88" s="81" t="s">
        <v>79</v>
      </c>
      <c r="E88" s="81" t="s">
        <v>163</v>
      </c>
      <c r="F88" s="13">
        <v>1</v>
      </c>
      <c r="G88" s="13">
        <v>1</v>
      </c>
      <c r="H88" s="40" t="str">
        <f t="shared" si="30"/>
        <v>X</v>
      </c>
      <c r="I88" s="40">
        <f>IF(OR(F88="",G88="",'📊 Resultat &amp; Tabell'!K89="",'📊 Resultat &amp; Tabell'!L89=""),"",IF(F88='📊 Resultat &amp; Tabell'!K89,2,0)+IF(G88='📊 Resultat &amp; Tabell'!L89,2,0))</f>
        <v>0</v>
      </c>
      <c r="J88" s="40">
        <f>IF(OR(H88="",'📊 Resultat &amp; Tabell'!M89=""),"",IF(H88='📊 Resultat &amp; Tabell'!M89,2,0))</f>
        <v>0</v>
      </c>
      <c r="K88" s="40">
        <f t="shared" si="31"/>
        <v>0</v>
      </c>
      <c r="L88" s="62"/>
      <c r="M88" s="62"/>
      <c r="N88" s="62"/>
      <c r="O88" s="62"/>
      <c r="P88" s="62"/>
      <c r="Q88" s="62"/>
      <c r="R88" s="62"/>
      <c r="S88" s="62"/>
      <c r="T88" s="62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>
      <c r="A89" s="33">
        <v>86</v>
      </c>
      <c r="B89" s="41" t="s">
        <v>190</v>
      </c>
      <c r="C89" s="33"/>
      <c r="D89" s="78" t="s">
        <v>295</v>
      </c>
      <c r="E89" s="78" t="s">
        <v>134</v>
      </c>
      <c r="F89" s="13">
        <v>0</v>
      </c>
      <c r="G89" s="13">
        <v>0</v>
      </c>
      <c r="H89" s="40" t="str">
        <f t="shared" si="30"/>
        <v>X</v>
      </c>
      <c r="I89" s="40" t="str">
        <f>IF(OR(F89="",G89="",'📊 Resultat &amp; Tabell'!K90="",'📊 Resultat &amp; Tabell'!L90=""),"",IF(F89='📊 Resultat &amp; Tabell'!K90,2,0)+IF(G89='📊 Resultat &amp; Tabell'!L90,2,0))</f>
        <v/>
      </c>
      <c r="J89" s="40" t="str">
        <f>IF(OR(H89="",'📊 Resultat &amp; Tabell'!M90=""),"",IF(H89='📊 Resultat &amp; Tabell'!M90,2,0))</f>
        <v/>
      </c>
      <c r="K89" s="40" t="str">
        <f t="shared" si="31"/>
        <v/>
      </c>
      <c r="L89" s="62"/>
      <c r="M89" s="62"/>
      <c r="N89" s="62"/>
      <c r="O89" s="62"/>
      <c r="P89" s="62"/>
      <c r="Q89" s="62"/>
      <c r="R89" s="62"/>
      <c r="S89" s="62"/>
      <c r="T89" s="62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>
      <c r="A90" s="76">
        <v>87</v>
      </c>
      <c r="B90" s="81" t="s">
        <v>190</v>
      </c>
      <c r="C90" s="76"/>
      <c r="D90" s="81" t="s">
        <v>161</v>
      </c>
      <c r="E90" s="81" t="s">
        <v>143</v>
      </c>
      <c r="F90" s="13">
        <v>3</v>
      </c>
      <c r="G90" s="13">
        <v>0</v>
      </c>
      <c r="H90" s="40" t="str">
        <f t="shared" si="30"/>
        <v>1</v>
      </c>
      <c r="I90" s="40" t="str">
        <f>IF(OR(F90="",G90="",'📊 Resultat &amp; Tabell'!K91="",'📊 Resultat &amp; Tabell'!L91=""),"",IF(F90='📊 Resultat &amp; Tabell'!K91,2,0)+IF(G90='📊 Resultat &amp; Tabell'!L91,2,0))</f>
        <v/>
      </c>
      <c r="J90" s="40" t="str">
        <f>IF(OR(H90="",'📊 Resultat &amp; Tabell'!M91=""),"",IF(H90='📊 Resultat &amp; Tabell'!M91,2,0))</f>
        <v/>
      </c>
      <c r="K90" s="40" t="str">
        <f t="shared" si="31"/>
        <v/>
      </c>
      <c r="L90" s="62"/>
      <c r="M90" s="62"/>
      <c r="N90" s="62"/>
      <c r="O90" s="62"/>
      <c r="P90" s="62"/>
      <c r="Q90" s="62"/>
      <c r="R90" s="62"/>
      <c r="S90" s="62"/>
      <c r="T90" s="62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>
      <c r="A91" s="33">
        <v>88</v>
      </c>
      <c r="B91" s="41" t="s">
        <v>190</v>
      </c>
      <c r="C91" s="33"/>
      <c r="D91" s="78" t="s">
        <v>296</v>
      </c>
      <c r="E91" s="78" t="s">
        <v>185</v>
      </c>
      <c r="F91" s="13">
        <v>2</v>
      </c>
      <c r="G91" s="13">
        <v>1</v>
      </c>
      <c r="H91" s="40" t="str">
        <f t="shared" si="30"/>
        <v>1</v>
      </c>
      <c r="I91" s="40" t="str">
        <f>IF(OR(F91="",G91="",'📊 Resultat &amp; Tabell'!K92="",'📊 Resultat &amp; Tabell'!L92=""),"",IF(F91='📊 Resultat &amp; Tabell'!K92,2,0)+IF(G91='📊 Resultat &amp; Tabell'!L92,2,0))</f>
        <v/>
      </c>
      <c r="J91" s="40" t="str">
        <f>IF(OR(H91="",'📊 Resultat &amp; Tabell'!M92=""),"",IF(H91='📊 Resultat &amp; Tabell'!M92,2,0))</f>
        <v/>
      </c>
      <c r="K91" s="40" t="str">
        <f t="shared" si="31"/>
        <v/>
      </c>
      <c r="L91" s="62"/>
      <c r="M91" s="62"/>
      <c r="N91" s="62"/>
      <c r="O91" s="62"/>
      <c r="P91" s="62"/>
      <c r="Q91" s="62"/>
      <c r="R91" s="62"/>
      <c r="S91" s="62"/>
      <c r="T91" s="62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>
      <c r="A92" s="76">
        <v>89</v>
      </c>
      <c r="B92" s="81" t="s">
        <v>192</v>
      </c>
      <c r="C92" s="76"/>
      <c r="D92" s="39" t="s">
        <v>70</v>
      </c>
      <c r="E92" s="39" t="s">
        <v>87</v>
      </c>
      <c r="F92" s="13"/>
      <c r="G92" s="13"/>
      <c r="H92" s="40" t="str">
        <f t="shared" si="30"/>
        <v/>
      </c>
      <c r="I92" s="40" t="str">
        <f>IF(OR(F92="",G92="",'📊 Resultat &amp; Tabell'!K93="",'📊 Resultat &amp; Tabell'!L93=""),"",IF(F92='📊 Resultat &amp; Tabell'!K93,2,0)+IF(G92='📊 Resultat &amp; Tabell'!L93,2,0))</f>
        <v/>
      </c>
      <c r="J92" s="40" t="str">
        <f>IF(OR(H92="",'📊 Resultat &amp; Tabell'!M93=""),"",IF(H92='📊 Resultat &amp; Tabell'!M93,2,0))</f>
        <v/>
      </c>
      <c r="K92" s="40" t="str">
        <f t="shared" si="31"/>
        <v/>
      </c>
      <c r="L92" s="62"/>
      <c r="M92" s="62"/>
      <c r="N92" s="62"/>
      <c r="O92" s="62"/>
      <c r="P92" s="62"/>
      <c r="Q92" s="62"/>
      <c r="R92" s="62"/>
      <c r="S92" s="62"/>
      <c r="T92" s="6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>
      <c r="A93" s="33">
        <v>90</v>
      </c>
      <c r="B93" s="41" t="s">
        <v>192</v>
      </c>
      <c r="C93" s="33"/>
      <c r="D93" s="38" t="s">
        <v>101</v>
      </c>
      <c r="E93" s="38" t="s">
        <v>151</v>
      </c>
      <c r="F93" s="13"/>
      <c r="G93" s="13"/>
      <c r="H93" s="40" t="str">
        <f t="shared" si="30"/>
        <v/>
      </c>
      <c r="I93" s="40" t="str">
        <f>IF(OR(F93="",G93="",'📊 Resultat &amp; Tabell'!K94="",'📊 Resultat &amp; Tabell'!L94=""),"",IF(F93='📊 Resultat &amp; Tabell'!K94,2,0)+IF(G93='📊 Resultat &amp; Tabell'!L94,2,0))</f>
        <v/>
      </c>
      <c r="J93" s="40" t="str">
        <f>IF(OR(H93="",'📊 Resultat &amp; Tabell'!M94=""),"",IF(H93='📊 Resultat &amp; Tabell'!M94,2,0))</f>
        <v/>
      </c>
      <c r="K93" s="40" t="str">
        <f t="shared" si="31"/>
        <v/>
      </c>
      <c r="L93" s="62"/>
      <c r="M93" s="62"/>
      <c r="N93" s="62"/>
      <c r="O93" s="62"/>
      <c r="P93" s="62"/>
      <c r="Q93" s="62"/>
      <c r="R93" s="62"/>
      <c r="S93" s="62"/>
      <c r="T93" s="6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>
      <c r="A94" s="76">
        <v>91</v>
      </c>
      <c r="B94" s="81" t="s">
        <v>192</v>
      </c>
      <c r="C94" s="76"/>
      <c r="D94" s="39" t="s">
        <v>85</v>
      </c>
      <c r="E94" s="39" t="s">
        <v>158</v>
      </c>
      <c r="F94" s="13"/>
      <c r="G94" s="13"/>
      <c r="H94" s="40" t="str">
        <f t="shared" si="30"/>
        <v/>
      </c>
      <c r="I94" s="40" t="str">
        <f>IF(OR(F94="",G94="",'📊 Resultat &amp; Tabell'!K95="",'📊 Resultat &amp; Tabell'!L95=""),"",IF(F94='📊 Resultat &amp; Tabell'!K95,2,0)+IF(G94='📊 Resultat &amp; Tabell'!L95,2,0))</f>
        <v/>
      </c>
      <c r="J94" s="40" t="str">
        <f>IF(OR(H94="",'📊 Resultat &amp; Tabell'!M95=""),"",IF(H94='📊 Resultat &amp; Tabell'!M95,2,0))</f>
        <v/>
      </c>
      <c r="K94" s="40" t="str">
        <f t="shared" si="31"/>
        <v/>
      </c>
      <c r="L94" s="62"/>
      <c r="M94" s="62"/>
      <c r="N94" s="62"/>
      <c r="O94" s="62"/>
      <c r="P94" s="62"/>
      <c r="Q94" s="62"/>
      <c r="R94" s="62"/>
      <c r="S94" s="62"/>
      <c r="T94" s="62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>
      <c r="A95" s="33">
        <v>92</v>
      </c>
      <c r="B95" s="41" t="s">
        <v>192</v>
      </c>
      <c r="C95" s="33"/>
      <c r="D95" s="38" t="s">
        <v>48</v>
      </c>
      <c r="E95" s="38" t="s">
        <v>181</v>
      </c>
      <c r="F95" s="13"/>
      <c r="G95" s="13"/>
      <c r="H95" s="40" t="str">
        <f t="shared" si="30"/>
        <v/>
      </c>
      <c r="I95" s="40" t="str">
        <f>IF(OR(F95="",G95="",'📊 Resultat &amp; Tabell'!K96="",'📊 Resultat &amp; Tabell'!L96=""),"",IF(F95='📊 Resultat &amp; Tabell'!K96,2,0)+IF(G95='📊 Resultat &amp; Tabell'!L96,2,0))</f>
        <v/>
      </c>
      <c r="J95" s="40" t="str">
        <f>IF(OR(H95="",'📊 Resultat &amp; Tabell'!M96=""),"",IF(H95='📊 Resultat &amp; Tabell'!M96,2,0))</f>
        <v/>
      </c>
      <c r="K95" s="40" t="str">
        <f t="shared" si="31"/>
        <v/>
      </c>
      <c r="L95" s="62"/>
      <c r="M95" s="62"/>
      <c r="N95" s="62"/>
      <c r="O95" s="62"/>
      <c r="P95" s="62"/>
      <c r="Q95" s="62"/>
      <c r="R95" s="62"/>
      <c r="S95" s="62"/>
      <c r="T95" s="62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>
      <c r="A96" s="76">
        <v>93</v>
      </c>
      <c r="B96" s="81" t="s">
        <v>192</v>
      </c>
      <c r="C96" s="76"/>
      <c r="D96" s="39" t="s">
        <v>171</v>
      </c>
      <c r="E96" s="39" t="s">
        <v>141</v>
      </c>
      <c r="F96" s="13"/>
      <c r="G96" s="13"/>
      <c r="H96" s="40" t="str">
        <f t="shared" si="30"/>
        <v/>
      </c>
      <c r="I96" s="40" t="str">
        <f>IF(OR(F96="",G96="",'📊 Resultat &amp; Tabell'!K97="",'📊 Resultat &amp; Tabell'!L97=""),"",IF(F96='📊 Resultat &amp; Tabell'!K97,2,0)+IF(G96='📊 Resultat &amp; Tabell'!L97,2,0))</f>
        <v/>
      </c>
      <c r="J96" s="40" t="str">
        <f>IF(OR(H96="",'📊 Resultat &amp; Tabell'!M97=""),"",IF(H96='📊 Resultat &amp; Tabell'!M97,2,0))</f>
        <v/>
      </c>
      <c r="K96" s="40" t="str">
        <f t="shared" si="31"/>
        <v/>
      </c>
      <c r="L96" s="62"/>
      <c r="M96" s="62"/>
      <c r="N96" s="62"/>
      <c r="O96" s="62"/>
      <c r="P96" s="62"/>
      <c r="Q96" s="62"/>
      <c r="R96" s="62"/>
      <c r="S96" s="62"/>
      <c r="T96" s="62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>
      <c r="A97" s="33">
        <v>94</v>
      </c>
      <c r="B97" s="41" t="s">
        <v>192</v>
      </c>
      <c r="C97" s="33"/>
      <c r="D97" s="38" t="s">
        <v>98</v>
      </c>
      <c r="E97" s="38" t="s">
        <v>131</v>
      </c>
      <c r="F97" s="13"/>
      <c r="G97" s="13"/>
      <c r="H97" s="40" t="str">
        <f t="shared" si="30"/>
        <v/>
      </c>
      <c r="I97" s="40" t="str">
        <f>IF(OR(F97="",G97="",'📊 Resultat &amp; Tabell'!K98="",'📊 Resultat &amp; Tabell'!L98=""),"",IF(F97='📊 Resultat &amp; Tabell'!K98,2,0)+IF(G97='📊 Resultat &amp; Tabell'!L98,2,0))</f>
        <v/>
      </c>
      <c r="J97" s="40" t="str">
        <f>IF(OR(H97="",'📊 Resultat &amp; Tabell'!M98=""),"",IF(H97='📊 Resultat &amp; Tabell'!M98,2,0))</f>
        <v/>
      </c>
      <c r="K97" s="40" t="str">
        <f t="shared" si="31"/>
        <v/>
      </c>
      <c r="L97" s="62"/>
      <c r="M97" s="62"/>
      <c r="N97" s="62"/>
      <c r="O97" s="62"/>
      <c r="P97" s="62"/>
      <c r="Q97" s="62"/>
      <c r="R97" s="62"/>
      <c r="S97" s="62"/>
      <c r="T97" s="62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>
      <c r="A98" s="76">
        <v>95</v>
      </c>
      <c r="B98" s="81" t="s">
        <v>192</v>
      </c>
      <c r="C98" s="76"/>
      <c r="D98" s="39" t="s">
        <v>79</v>
      </c>
      <c r="E98" s="39"/>
      <c r="F98" s="13"/>
      <c r="G98" s="13"/>
      <c r="H98" s="40" t="str">
        <f t="shared" si="30"/>
        <v/>
      </c>
      <c r="I98" s="40" t="str">
        <f>IF(OR(F98="",G98="",'📊 Resultat &amp; Tabell'!K99="",'📊 Resultat &amp; Tabell'!L99=""),"",IF(F98='📊 Resultat &amp; Tabell'!K99,2,0)+IF(G98='📊 Resultat &amp; Tabell'!L99,2,0))</f>
        <v/>
      </c>
      <c r="J98" s="40" t="str">
        <f>IF(OR(H98="",'📊 Resultat &amp; Tabell'!M99=""),"",IF(H98='📊 Resultat &amp; Tabell'!M99,2,0))</f>
        <v/>
      </c>
      <c r="K98" s="40" t="str">
        <f t="shared" si="31"/>
        <v/>
      </c>
      <c r="L98" s="62"/>
      <c r="M98" s="62"/>
      <c r="N98" s="62"/>
      <c r="O98" s="62"/>
      <c r="P98" s="62"/>
      <c r="Q98" s="62"/>
      <c r="R98" s="62"/>
      <c r="S98" s="62"/>
      <c r="T98" s="62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>
      <c r="A99" s="33">
        <v>96</v>
      </c>
      <c r="B99" s="41" t="s">
        <v>192</v>
      </c>
      <c r="C99" s="33"/>
      <c r="D99" s="78"/>
      <c r="E99" s="78"/>
      <c r="F99" s="13"/>
      <c r="G99" s="13"/>
      <c r="H99" s="40" t="str">
        <f t="shared" si="30"/>
        <v/>
      </c>
      <c r="I99" s="40" t="str">
        <f>IF(OR(F99="",G99="",'📊 Resultat &amp; Tabell'!K100="",'📊 Resultat &amp; Tabell'!L100=""),"",IF(F99='📊 Resultat &amp; Tabell'!K100,2,0)+IF(G99='📊 Resultat &amp; Tabell'!L100,2,0))</f>
        <v/>
      </c>
      <c r="J99" s="40" t="str">
        <f>IF(OR(H99="",'📊 Resultat &amp; Tabell'!M100=""),"",IF(H99='📊 Resultat &amp; Tabell'!M100,2,0))</f>
        <v/>
      </c>
      <c r="K99" s="40" t="str">
        <f t="shared" si="31"/>
        <v/>
      </c>
      <c r="L99" s="62"/>
      <c r="M99" s="62"/>
      <c r="N99" s="62"/>
      <c r="O99" s="62"/>
      <c r="P99" s="62"/>
      <c r="Q99" s="62"/>
      <c r="R99" s="62"/>
      <c r="S99" s="62"/>
      <c r="T99" s="62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>
      <c r="A100" s="76">
        <v>97</v>
      </c>
      <c r="B100" s="81" t="s">
        <v>193</v>
      </c>
      <c r="C100" s="76"/>
      <c r="D100" s="76" t="str">
        <f>IF(OR(F92="",G92=""),"",IF(F92&gt;G92,D92,IF(F92&lt;G92,E92,"")))</f>
        <v/>
      </c>
      <c r="E100" s="76" t="str">
        <f>IF(OR(F93="",G93=""),"",IF(F93&gt;G93,D93,IF(F93&lt;G93,E93,"")))</f>
        <v/>
      </c>
      <c r="F100" s="13"/>
      <c r="G100" s="13"/>
      <c r="H100" s="40" t="str">
        <f t="shared" si="30"/>
        <v/>
      </c>
      <c r="I100" s="40" t="str">
        <f>IF(OR(F100="",G100="",'📊 Resultat &amp; Tabell'!K101="",'📊 Resultat &amp; Tabell'!L101=""),"",IF(F100='📊 Resultat &amp; Tabell'!K101,2,0)+IF(G100='📊 Resultat &amp; Tabell'!L101,2,0))</f>
        <v/>
      </c>
      <c r="J100" s="40" t="str">
        <f>IF(OR(H100="",'📊 Resultat &amp; Tabell'!M101=""),"",IF(H100='📊 Resultat &amp; Tabell'!M101,2,0))</f>
        <v/>
      </c>
      <c r="K100" s="40" t="str">
        <f t="shared" si="31"/>
        <v/>
      </c>
      <c r="L100" s="62"/>
      <c r="M100" s="62"/>
      <c r="N100" s="62"/>
      <c r="O100" s="62"/>
      <c r="P100" s="62"/>
      <c r="Q100" s="62"/>
      <c r="R100" s="62"/>
      <c r="S100" s="62"/>
      <c r="T100" s="62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>
      <c r="A101" s="33">
        <v>98</v>
      </c>
      <c r="B101" s="41" t="s">
        <v>193</v>
      </c>
      <c r="C101" s="33"/>
      <c r="D101" s="75" t="str">
        <f>IF(OR(F96="",G96=""),"",IF(F96&gt;G96,D96,IF(F96&lt;G96,E96,"")))</f>
        <v/>
      </c>
      <c r="E101" s="78" t="str">
        <f>IF(OR(F97="",G97=""),"",IF(F97&gt;G97,D97,IF(F97&lt;G97,E97,"")))</f>
        <v/>
      </c>
      <c r="F101" s="13"/>
      <c r="G101" s="13"/>
      <c r="H101" s="40" t="str">
        <f t="shared" si="30"/>
        <v/>
      </c>
      <c r="I101" s="40" t="str">
        <f>IF(OR(F101="",G101="",'📊 Resultat &amp; Tabell'!K102="",'📊 Resultat &amp; Tabell'!L102=""),"",IF(F101='📊 Resultat &amp; Tabell'!K102,2,0)+IF(G101='📊 Resultat &amp; Tabell'!L102,2,0))</f>
        <v/>
      </c>
      <c r="J101" s="40" t="str">
        <f>IF(OR(H101="",'📊 Resultat &amp; Tabell'!M102=""),"",IF(H101='📊 Resultat &amp; Tabell'!M102,2,0))</f>
        <v/>
      </c>
      <c r="K101" s="40" t="str">
        <f t="shared" si="31"/>
        <v/>
      </c>
      <c r="L101" s="62"/>
      <c r="M101" s="62"/>
      <c r="N101" s="62"/>
      <c r="O101" s="62"/>
      <c r="P101" s="62"/>
      <c r="Q101" s="62"/>
      <c r="R101" s="62"/>
      <c r="S101" s="62"/>
      <c r="T101" s="62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>
      <c r="A102" s="76">
        <v>99</v>
      </c>
      <c r="B102" s="81" t="s">
        <v>193</v>
      </c>
      <c r="C102" s="76"/>
      <c r="D102" s="76" t="str">
        <f>IF(OR(F94="",G94=""),"",IF(F94&gt;G94,D94,IF(F94&lt;G94,E94,"")))</f>
        <v/>
      </c>
      <c r="E102" s="76" t="str">
        <f>IF(OR(F95="",G95=""),"",IF(F95&gt;G95,D95,IF(F95&lt;G95,E95,"")))</f>
        <v/>
      </c>
      <c r="F102" s="13"/>
      <c r="G102" s="13"/>
      <c r="H102" s="40" t="str">
        <f t="shared" si="30"/>
        <v/>
      </c>
      <c r="I102" s="40" t="str">
        <f>IF(OR(F102="",G102="",'📊 Resultat &amp; Tabell'!K103="",'📊 Resultat &amp; Tabell'!L103=""),"",IF(F102='📊 Resultat &amp; Tabell'!K103,2,0)+IF(G102='📊 Resultat &amp; Tabell'!L103,2,0))</f>
        <v/>
      </c>
      <c r="J102" s="40" t="str">
        <f>IF(OR(H102="",'📊 Resultat &amp; Tabell'!M103=""),"",IF(H102='📊 Resultat &amp; Tabell'!M103,2,0))</f>
        <v/>
      </c>
      <c r="K102" s="40" t="str">
        <f t="shared" si="31"/>
        <v/>
      </c>
      <c r="L102" s="62"/>
      <c r="M102" s="62"/>
      <c r="N102" s="62"/>
      <c r="O102" s="62"/>
      <c r="P102" s="62"/>
      <c r="Q102" s="62"/>
      <c r="R102" s="62"/>
      <c r="S102" s="62"/>
      <c r="T102" s="62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>
      <c r="A103" s="33">
        <v>100</v>
      </c>
      <c r="B103" s="41" t="s">
        <v>193</v>
      </c>
      <c r="C103" s="33"/>
      <c r="D103" s="75" t="str">
        <f>IF(OR(F98="",G98=""),"",IF(F98&gt;G98,D98,IF(F98&lt;G98,E98,"")))</f>
        <v/>
      </c>
      <c r="E103" s="78" t="str">
        <f>IF(OR(F99="",G99=""),"",IF(F99&gt;G99,D99,IF(F99&lt;G99,E99,"")))</f>
        <v/>
      </c>
      <c r="F103" s="13"/>
      <c r="G103" s="13"/>
      <c r="H103" s="40" t="str">
        <f t="shared" si="30"/>
        <v/>
      </c>
      <c r="I103" s="40" t="str">
        <f>IF(OR(F103="",G103="",'📊 Resultat &amp; Tabell'!K104="",'📊 Resultat &amp; Tabell'!L104=""),"",IF(F103='📊 Resultat &amp; Tabell'!K104,2,0)+IF(G103='📊 Resultat &amp; Tabell'!L104,2,0))</f>
        <v/>
      </c>
      <c r="J103" s="40" t="str">
        <f>IF(OR(H103="",'📊 Resultat &amp; Tabell'!M104=""),"",IF(H103='📊 Resultat &amp; Tabell'!M104,2,0))</f>
        <v/>
      </c>
      <c r="K103" s="40" t="str">
        <f t="shared" si="31"/>
        <v/>
      </c>
      <c r="L103" s="62"/>
      <c r="M103" s="62"/>
      <c r="N103" s="62"/>
      <c r="O103" s="62"/>
      <c r="P103" s="62"/>
      <c r="Q103" s="62"/>
      <c r="R103" s="62"/>
      <c r="S103" s="62"/>
      <c r="T103" s="62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>
      <c r="A104" s="76">
        <v>101</v>
      </c>
      <c r="B104" s="81" t="s">
        <v>194</v>
      </c>
      <c r="C104" s="76"/>
      <c r="D104" s="76" t="str">
        <f>IF(OR(F100="",G100=""),"",IF(F100&gt;G100,D100,IF(F100&lt;G100,E100,"")))</f>
        <v/>
      </c>
      <c r="E104" s="76" t="str">
        <f>IF(OR(F101="",G101=""),"",IF(F101&gt;G101,D101,IF(F101&lt;G101,E101,"")))</f>
        <v/>
      </c>
      <c r="F104" s="13"/>
      <c r="G104" s="13"/>
      <c r="H104" s="40" t="str">
        <f t="shared" si="30"/>
        <v/>
      </c>
      <c r="I104" s="40" t="str">
        <f>IF(OR(F104="",G104="",'📊 Resultat &amp; Tabell'!K105="",'📊 Resultat &amp; Tabell'!L105=""),"",IF(F104='📊 Resultat &amp; Tabell'!K105,2,0)+IF(G104='📊 Resultat &amp; Tabell'!L105,2,0))</f>
        <v/>
      </c>
      <c r="J104" s="40" t="str">
        <f>IF(OR(H104="",'📊 Resultat &amp; Tabell'!M105=""),"",IF(H104='📊 Resultat &amp; Tabell'!M105,2,0))</f>
        <v/>
      </c>
      <c r="K104" s="40" t="str">
        <f t="shared" si="31"/>
        <v/>
      </c>
      <c r="L104" s="62"/>
      <c r="M104" s="62"/>
      <c r="N104" s="62"/>
      <c r="O104" s="62"/>
      <c r="P104" s="62"/>
      <c r="Q104" s="62"/>
      <c r="R104" s="62"/>
      <c r="S104" s="62"/>
      <c r="T104" s="62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>
      <c r="A105" s="33">
        <v>102</v>
      </c>
      <c r="B105" s="41" t="s">
        <v>194</v>
      </c>
      <c r="C105" s="33"/>
      <c r="D105" s="75" t="str">
        <f>IF(OR(F102="",G102=""),"",IF(F102&gt;G102,D102,IF(F102&lt;G102,E102,"")))</f>
        <v/>
      </c>
      <c r="E105" s="78" t="str">
        <f>IF(OR(F103="",G103=""),"",IF(F103&gt;G103,D103,IF(F103&lt;G103,E103,"")))</f>
        <v/>
      </c>
      <c r="F105" s="13"/>
      <c r="G105" s="13"/>
      <c r="H105" s="40" t="str">
        <f t="shared" si="30"/>
        <v/>
      </c>
      <c r="I105" s="40" t="str">
        <f>IF(OR(F105="",G105="",'📊 Resultat &amp; Tabell'!K106="",'📊 Resultat &amp; Tabell'!L106=""),"",IF(F105='📊 Resultat &amp; Tabell'!K106,2,0)+IF(G105='📊 Resultat &amp; Tabell'!L106,2,0))</f>
        <v/>
      </c>
      <c r="J105" s="40" t="str">
        <f>IF(OR(H105="",'📊 Resultat &amp; Tabell'!M106=""),"",IF(H105='📊 Resultat &amp; Tabell'!M106,2,0))</f>
        <v/>
      </c>
      <c r="K105" s="40" t="str">
        <f t="shared" si="31"/>
        <v/>
      </c>
      <c r="L105" s="62"/>
      <c r="M105" s="62"/>
      <c r="N105" s="62"/>
      <c r="O105" s="62"/>
      <c r="P105" s="62"/>
      <c r="Q105" s="62"/>
      <c r="R105" s="62"/>
      <c r="S105" s="62"/>
      <c r="T105" s="62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>
      <c r="A106" s="15">
        <v>103</v>
      </c>
      <c r="B106" s="38" t="s">
        <v>195</v>
      </c>
      <c r="C106" s="76"/>
      <c r="D106" s="76" t="str">
        <f>IF(OR(F104="",G104=""),"",IF(F104&lt;G104,D104,IF(F104&gt;G104,E104,"")))</f>
        <v/>
      </c>
      <c r="E106" s="76" t="str">
        <f>IF(OR(F105="",G105=""),"",IF(F105&lt;G105,D105,IF(F105&gt;G105,E105,"")))</f>
        <v/>
      </c>
      <c r="F106" s="13"/>
      <c r="G106" s="13"/>
      <c r="H106" s="40" t="str">
        <f t="shared" si="30"/>
        <v/>
      </c>
      <c r="I106" s="40" t="str">
        <f>IF(OR(F106="",G106="",'📊 Resultat &amp; Tabell'!K107="",'📊 Resultat &amp; Tabell'!L107=""),"",IF(F106='📊 Resultat &amp; Tabell'!K107,2,0)+IF(G106='📊 Resultat &amp; Tabell'!L107,2,0))</f>
        <v/>
      </c>
      <c r="J106" s="40" t="str">
        <f>IF(OR(H106="",'📊 Resultat &amp; Tabell'!M107=""),"",IF(H106='📊 Resultat &amp; Tabell'!M107,2,0))</f>
        <v/>
      </c>
      <c r="K106" s="40" t="str">
        <f t="shared" si="31"/>
        <v/>
      </c>
      <c r="L106" s="62"/>
      <c r="M106" s="62"/>
      <c r="N106" s="62"/>
      <c r="O106" s="62"/>
      <c r="P106" s="62"/>
      <c r="Q106" s="62"/>
      <c r="R106" s="62"/>
      <c r="S106" s="62"/>
      <c r="T106" s="62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>
      <c r="A107" s="33">
        <v>104</v>
      </c>
      <c r="B107" s="41" t="s">
        <v>197</v>
      </c>
      <c r="C107" s="33"/>
      <c r="D107" s="75" t="str">
        <f>IF(OR(F104="",G104=""),"",IF(F104&gt;G104,D104,IF(F104&lt;G104,E104,"")))</f>
        <v/>
      </c>
      <c r="E107" s="78" t="str">
        <f>IF(OR(F105="",G105=""),"",IF(F105&gt;G105,D105,IF(F105&lt;G105,E105,"")))</f>
        <v/>
      </c>
      <c r="F107" s="13"/>
      <c r="G107" s="13"/>
      <c r="H107" s="40" t="str">
        <f t="shared" si="30"/>
        <v/>
      </c>
      <c r="I107" s="40" t="str">
        <f>IF(OR(F107="",G107="",'📊 Resultat &amp; Tabell'!K108="",'📊 Resultat &amp; Tabell'!L108=""),"",IF(F107='📊 Resultat &amp; Tabell'!K108,2,0)+IF(G107='📊 Resultat &amp; Tabell'!L108,2,0))</f>
        <v/>
      </c>
      <c r="J107" s="40" t="str">
        <f>IF(OR(H107="",'📊 Resultat &amp; Tabell'!M108=""),"",IF(H107='📊 Resultat &amp; Tabell'!M108,2,0))</f>
        <v/>
      </c>
      <c r="K107" s="40" t="str">
        <f t="shared" si="31"/>
        <v/>
      </c>
      <c r="L107" s="62"/>
      <c r="M107" s="62"/>
      <c r="N107" s="62"/>
      <c r="O107" s="62"/>
      <c r="P107" s="62"/>
      <c r="Q107" s="62"/>
      <c r="R107" s="62"/>
      <c r="S107" s="62"/>
      <c r="T107" s="62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>
      <c r="A108" s="1"/>
      <c r="B108" s="1"/>
      <c r="C108" s="1"/>
      <c r="D108" s="1"/>
      <c r="E108" s="1"/>
      <c r="F108" s="13"/>
      <c r="G108" s="13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>
      <c r="A109" s="1"/>
      <c r="B109" s="1"/>
      <c r="C109" s="1"/>
      <c r="D109" s="1"/>
      <c r="E109" s="1"/>
      <c r="F109" s="13"/>
      <c r="G109" s="13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>
      <c r="A110" s="1"/>
      <c r="B110" s="1"/>
      <c r="C110" s="1"/>
      <c r="D110" s="1"/>
      <c r="E110" s="1"/>
      <c r="F110" s="13"/>
      <c r="G110" s="13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>
      <c r="A111" s="12" t="s">
        <v>196</v>
      </c>
      <c r="B111" s="1"/>
      <c r="C111" s="1"/>
      <c r="D111" s="1"/>
      <c r="E111" s="1"/>
      <c r="F111" s="13"/>
      <c r="G111" s="13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>
      <c r="A112" s="14" t="s">
        <v>198</v>
      </c>
      <c r="B112" s="15">
        <f>SUM(K4:K107)</f>
        <v>220</v>
      </c>
      <c r="C112" s="1"/>
      <c r="D112" s="1"/>
      <c r="E112" s="1"/>
      <c r="F112" s="13"/>
      <c r="G112" s="13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>
      <c r="A113" s="12" t="s">
        <v>199</v>
      </c>
      <c r="B113" s="12" t="s">
        <v>141</v>
      </c>
      <c r="C113" s="11" t="s">
        <v>4</v>
      </c>
      <c r="D113" s="12">
        <f>IF(AND(B113&lt;&gt;",",'📊 Resultat &amp; Tabell'!G112&lt;&gt;""),IF(B113='📊 Resultat &amp; Tabell'!G112,20,0),0)</f>
        <v>0</v>
      </c>
      <c r="E113" s="1"/>
      <c r="F113" s="13"/>
      <c r="G113" s="13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>
      <c r="A114" s="15" t="s">
        <v>200</v>
      </c>
      <c r="B114" s="15" t="s">
        <v>299</v>
      </c>
      <c r="C114" s="14" t="s">
        <v>4</v>
      </c>
      <c r="D114" s="15">
        <f>IF(AND(B114&lt;&gt;",",'📊 Resultat &amp; Tabell'!G113&lt;&gt;""),IF(B114='📊 Resultat &amp; Tabell'!G113,20,0),0)</f>
        <v>0</v>
      </c>
      <c r="E114" s="1"/>
      <c r="F114" s="13"/>
      <c r="G114" s="13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>
      <c r="A115" s="1"/>
      <c r="B115" s="1"/>
      <c r="C115" s="1"/>
      <c r="D115" s="1"/>
      <c r="E115" s="1"/>
      <c r="F115" s="13"/>
      <c r="G115" s="13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>
      <c r="A116" s="34" t="s">
        <v>203</v>
      </c>
      <c r="B116" s="35">
        <f>B112+D113+D114</f>
        <v>220</v>
      </c>
      <c r="C116" s="1"/>
      <c r="D116" s="1"/>
      <c r="E116" s="1"/>
      <c r="F116" s="13"/>
      <c r="G116" s="13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</sheetData>
  <mergeCells count="1">
    <mergeCell ref="A1:K1"/>
  </mergeCells>
  <dataValidations count="1">
    <dataValidation type="whole" allowBlank="1" sqref="F4:G107" xr:uid="{9471D7C4-3D94-42F4-A76D-8294856B2182}">
      <formula1>0</formula1>
      <formula2>20</formula2>
    </dataValidation>
  </dataValidations>
  <hyperlinks>
    <hyperlink ref="E77" r:id="rId1" display="=OMFEL(INDEX($Z$4:$Z$15;PASSA(MAX(OM(ÄRTAL(PASSA(@$W$4:$W$15;{&quot;A&quot;\&quot;B&quot;\&quot;C&quot;\&quot;D&quot;\&quot;F&quot;};0))*(@$AC$4:$AC$15&lt;=8)*(ANTAL.OM($D$76:E76;@$Z$4:$Z$15)=0);$AA$4:$AA$15));$AA$4:$AA$15;0));&quot;&quot;)" xr:uid="{34419A55-C124-4EF7-A1E1-B1805FC90E92}"/>
    <hyperlink ref="E80" r:id="rId2" display="=OMFEL(INDEX($Z$4:$Z$15;PASSA(MAX(OM(ÄRTAL(PASSA(@$W$4:$W$15;{&quot;C&quot;\&quot;D&quot;\&quot;F&quot;\&quot;G&quot;\&quot;H&quot;};0))*(@$AC$4:$AC$15&lt;=8)*(ANTAL.OM($D$76:E79;@$Z$4:$Z$15)=0);$AA$4:$AA$15));$AA$4:$AA$15;0));&quot;&quot;)" xr:uid="{215DBB52-EA1B-4658-A492-BEE21F3B2395}"/>
    <hyperlink ref="E82" r:id="rId3" display="=OMFEL(INDEX($Z$4:$Z$15;PASSA(MAX(OM(ÄRTAL(PASSA(@$W$4:$W$15;{&quot;C&quot;\&quot;E&quot;\&quot;F&quot;\&quot;H&quot;\&quot;I&quot;};0))*(@$AC$4:$AC$15&lt;=8)*(ANTAL.OM($D$76:E81;@$Z$4:$Z$15)=0);$AA$4:$AA$15));$AA$4:$AA$15;0));&quot;&quot;)" xr:uid="{EC1023EF-E84B-4A46-92EA-37300ACC4F26}"/>
    <hyperlink ref="E83" r:id="rId4" display="=OMFEL(INDEX($Z$4:$Z$15;PASSA(MAX(OM(ÄRTAL(PASSA(@$W$4:$W$15;{&quot;E&quot;\&quot;H&quot;\&quot;I&quot;\&quot;J&quot;\&quot;K&quot;};0))*(@$AC$4:$AC$15&lt;=8)*(ANTAL.OM($D$76:E82;@$Z$4:$Z$15)=0);$AA$4:$AA$15));$AA$4:$AA$15;0));&quot;&quot;)" xr:uid="{B9A36374-635B-44A0-AFEC-95551D472BC5}"/>
    <hyperlink ref="E84" r:id="rId5" display="=OMFEL(INDEX($Z$4:$Z$15;PASSA(MAX(OM(ÄRTAL(PASSA(@$W$4:$W$15;{&quot;B&quot;\&quot;E&quot;\&quot;F&quot;\&quot;I&quot;\&quot;J&quot;};0))*(@$AC$4:$AC$15&lt;=8)*(ANTAL.OM($D$76:E83;@$Z$4:$Z$15)=0);$AA$4:$AA$15));$AA$4:$AA$15;0));&quot;&quot;)" xr:uid="{BC95609E-0605-4283-9300-7B48058EA96E}"/>
    <hyperlink ref="E85" r:id="rId6" display="=OMFEL(INDEX($Z$4:$Z$15;PASSA(MAX(OM(ÄRTAL(PASSA(@$W$4:$W$15;{&quot;A&quot;\&quot;E&quot;\&quot;H&quot;\&quot;I&quot;\&quot;J&quot;};0))*(@$AC$4:$AC$15&lt;=8)*(ANTAL.OM($D$76:E84;@$Z$4:$Z$15)=0);$AA$4:$AA$15));$AA$4:$AA$15;0));&quot;&quot;)" xr:uid="{6E0B3A52-6766-4943-B010-C1633AF576AD}"/>
    <hyperlink ref="E88" r:id="rId7" display="=OMFEL(INDEX($Z$4:$Z$15;PASSA(MAX(OM(ÄRTAL(PASSA(@$W$4:$W$15;{&quot;E&quot;\&quot;F&quot;\&quot;G&quot;\&quot;I&quot;\&quot;J&quot;};0))*(@$AC$4:$AC$15&lt;=8)*(ANTAL.OM($D$76:E87;@$Z$4:$Z$15)=0);$AA$4:$AA$15));$AA$4:$AA$15;0));&quot;&quot;)" xr:uid="{53852A77-C719-4093-835F-1504136ADE67}"/>
    <hyperlink ref="E90" r:id="rId8" display="=OMFEL(INDEX($Z$4:$Z$15;PASSA(MAX(OM(ÄRTAL(PASSA(@$W$4:$W$15;{&quot;D&quot;\&quot;E&quot;\&quot;I&quot;\&quot;J&quot;\&quot;L&quot;};0))*(@$AC$4:$AC$15&lt;=8)*(ANTAL.OM($D$76:E89;@$Z$4:$Z$15)=0);$AA$4:$AA$15));$AA$4:$AA$15;0));&quot;&quot;)" xr:uid="{ECD3DF4A-EBE6-4AA8-92BA-BEF325CE0518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2026-05-25T18:34:15Z</dcterms:created>
  <dcterms:modified xsi:type="dcterms:W3CDTF">2026-07-03T20:14:20Z</dcterms:modified>
  <cp:category/>
  <cp:contentStatus/>
</cp:coreProperties>
</file>