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ni Work\Year 3\Entrepenurial Skills\10QFinalSubmission\"/>
    </mc:Choice>
  </mc:AlternateContent>
  <xr:revisionPtr revIDLastSave="0" documentId="13_ncr:1_{1076B553-DAA9-4DAC-9D17-01C302A5DB7E}" xr6:coauthVersionLast="47" xr6:coauthVersionMax="47" xr10:uidLastSave="{00000000-0000-0000-0000-000000000000}"/>
  <bookViews>
    <workbookView xWindow="-120" yWindow="-120" windowWidth="29040" windowHeight="15840" xr2:uid="{C07E3907-AB55-42ED-BB90-84ED80050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6" i="1" l="1"/>
  <c r="F60" i="1"/>
  <c r="H59" i="1"/>
  <c r="G59" i="1"/>
  <c r="F59" i="1"/>
  <c r="L59" i="1"/>
  <c r="Q35" i="1"/>
  <c r="I56" i="1"/>
  <c r="I57" i="1"/>
  <c r="H57" i="1"/>
  <c r="G57" i="1"/>
  <c r="F57" i="1"/>
  <c r="H56" i="1"/>
  <c r="G56" i="1"/>
  <c r="K45" i="1"/>
  <c r="T45" i="1"/>
  <c r="H10" i="1"/>
  <c r="H9" i="1"/>
  <c r="J49" i="1"/>
  <c r="I49" i="1"/>
  <c r="J47" i="1"/>
  <c r="I47" i="1"/>
  <c r="H49" i="1"/>
  <c r="H47" i="1"/>
  <c r="H45" i="1"/>
  <c r="J45" i="1"/>
  <c r="T39" i="1"/>
  <c r="T37" i="1"/>
  <c r="T35" i="1"/>
  <c r="F49" i="1"/>
  <c r="E49" i="1"/>
  <c r="F47" i="1"/>
  <c r="E47" i="1"/>
  <c r="F45" i="1"/>
  <c r="E45" i="1"/>
  <c r="D49" i="1"/>
  <c r="D47" i="1"/>
  <c r="D45" i="1"/>
  <c r="L12" i="1"/>
  <c r="S39" i="1"/>
  <c r="S37" i="1"/>
  <c r="S35" i="1"/>
  <c r="E32" i="1"/>
  <c r="R37" i="1"/>
  <c r="R39" i="1"/>
  <c r="R35" i="1"/>
  <c r="Q39" i="1"/>
  <c r="Q37" i="1"/>
  <c r="P37" i="1"/>
  <c r="P39" i="1"/>
  <c r="P35" i="1"/>
  <c r="N37" i="1"/>
  <c r="N39" i="1"/>
  <c r="N35" i="1"/>
  <c r="K40" i="1"/>
  <c r="K38" i="1"/>
  <c r="K36" i="1"/>
  <c r="I40" i="1"/>
  <c r="I38" i="1"/>
  <c r="I36" i="1"/>
  <c r="T22" i="1"/>
  <c r="T17" i="1"/>
  <c r="P12" i="1"/>
  <c r="Q12" i="1"/>
  <c r="R12" i="1"/>
  <c r="O12" i="1"/>
  <c r="P6" i="1"/>
  <c r="Q6" i="1"/>
  <c r="R6" i="1"/>
  <c r="O6" i="1"/>
  <c r="F6" i="1"/>
  <c r="G6" i="1"/>
  <c r="H6" i="1"/>
  <c r="I6" i="1"/>
  <c r="J6" i="1"/>
  <c r="E6" i="1"/>
  <c r="R7" i="1"/>
  <c r="Q7" i="1"/>
  <c r="P7" i="1"/>
  <c r="O7" i="1"/>
  <c r="F7" i="1"/>
  <c r="G7" i="1"/>
  <c r="H7" i="1"/>
  <c r="I7" i="1"/>
  <c r="J7" i="1"/>
  <c r="E7" i="1"/>
  <c r="S6" i="1" l="1"/>
  <c r="S12" i="1"/>
  <c r="K6" i="1"/>
  <c r="C10" i="1" s="1"/>
  <c r="S7" i="1"/>
  <c r="F32" i="1" s="1"/>
  <c r="K7" i="1"/>
  <c r="D27" i="1" l="1"/>
  <c r="D32" i="1"/>
  <c r="L11" i="1"/>
  <c r="O27" i="1" s="1"/>
  <c r="J9" i="1"/>
  <c r="I27" i="1" s="1"/>
  <c r="E27" i="1"/>
  <c r="I45" i="1" s="1"/>
  <c r="J11" i="1"/>
  <c r="K27" i="1" s="1"/>
  <c r="P27" i="1"/>
  <c r="L9" i="1"/>
  <c r="M27" i="1" s="1"/>
  <c r="F27" i="1"/>
  <c r="J12" i="1"/>
  <c r="L27" i="1" s="1"/>
  <c r="H12" i="1"/>
  <c r="H27" i="1" s="1"/>
  <c r="E10" i="1"/>
  <c r="L10" i="1"/>
  <c r="N27" i="1" s="1"/>
  <c r="H11" i="1"/>
  <c r="G27" i="1" s="1"/>
  <c r="J10" i="1"/>
  <c r="J27" i="1" s="1"/>
</calcChain>
</file>

<file path=xl/sharedStrings.xml><?xml version="1.0" encoding="utf-8"?>
<sst xmlns="http://schemas.openxmlformats.org/spreadsheetml/2006/main" count="155" uniqueCount="118">
  <si>
    <t xml:space="preserve">Marketing </t>
  </si>
  <si>
    <t>Human Recourses</t>
  </si>
  <si>
    <t>Accountant</t>
  </si>
  <si>
    <t>Logistics</t>
  </si>
  <si>
    <t>Engineers</t>
  </si>
  <si>
    <t>Operations</t>
  </si>
  <si>
    <t>No. At Business Start</t>
  </si>
  <si>
    <t>No. At Business Established</t>
  </si>
  <si>
    <t>Future Technologies</t>
  </si>
  <si>
    <t>Cost. At Business Start</t>
  </si>
  <si>
    <t>Cost. At Business Established</t>
  </si>
  <si>
    <t>Total Per Annum Cost</t>
  </si>
  <si>
    <t>Typical Entry LVL Salary per anum</t>
  </si>
  <si>
    <t>Role</t>
  </si>
  <si>
    <t>Area Manager</t>
  </si>
  <si>
    <t>Area Logistics</t>
  </si>
  <si>
    <t>Area Accountant</t>
  </si>
  <si>
    <t>Luke Goodman</t>
  </si>
  <si>
    <t>Iftiak Hussian</t>
  </si>
  <si>
    <t>Alastair Langmead</t>
  </si>
  <si>
    <t>Christopher Edmunds</t>
  </si>
  <si>
    <t xml:space="preserve">Founders Initial Salaries </t>
  </si>
  <si>
    <t>First Shop Cost</t>
  </si>
  <si>
    <t>No.</t>
  </si>
  <si>
    <t xml:space="preserve">Cost. 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</si>
  <si>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</si>
  <si>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</si>
  <si>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</si>
  <si>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</si>
  <si>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</si>
  <si>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</si>
  <si>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</si>
  <si>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</si>
  <si>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</si>
  <si>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10*</t>
  </si>
  <si>
    <t>11*</t>
  </si>
  <si>
    <t>12*</t>
  </si>
  <si>
    <t>Item</t>
  </si>
  <si>
    <t>Cost</t>
  </si>
  <si>
    <t>Basic Furnishings</t>
  </si>
  <si>
    <t>LiPO Battery Fire Box</t>
  </si>
  <si>
    <t>Full Tool Kit x2</t>
  </si>
  <si>
    <t>Torque Wrench Kit</t>
  </si>
  <si>
    <t>Wheel Truing Stand</t>
  </si>
  <si>
    <t>Ebike Specific Tools x2</t>
  </si>
  <si>
    <t>Pressure Washer</t>
  </si>
  <si>
    <t>Bike Maintence Stands x3</t>
  </si>
  <si>
    <t>Electric bike pumps</t>
  </si>
  <si>
    <t>Total</t>
  </si>
  <si>
    <t>Rent</t>
  </si>
  <si>
    <t>Electricity</t>
  </si>
  <si>
    <t>Heating</t>
  </si>
  <si>
    <t>Water</t>
  </si>
  <si>
    <t>Shop Insurance</t>
  </si>
  <si>
    <t>Personal Accident Insurance</t>
  </si>
  <si>
    <t>First Aid Kit</t>
  </si>
  <si>
    <t>Bike Consumables</t>
  </si>
  <si>
    <t>Shop Consumables</t>
  </si>
  <si>
    <t>First Shop</t>
  </si>
  <si>
    <t>First Chain</t>
  </si>
  <si>
    <t>Second Chain</t>
  </si>
  <si>
    <t>Third Chain</t>
  </si>
  <si>
    <t>Fourth Chain</t>
  </si>
  <si>
    <t>Fith Chain</t>
  </si>
  <si>
    <t>Sixth Chain</t>
  </si>
  <si>
    <t>Seventh Chain</t>
  </si>
  <si>
    <t xml:space="preserve">Ninth Chain </t>
  </si>
  <si>
    <t xml:space="preserve">Tenth Chain </t>
  </si>
  <si>
    <t>Eleventh Chain</t>
  </si>
  <si>
    <t>Twelth Chain</t>
  </si>
  <si>
    <t>Basic</t>
  </si>
  <si>
    <t xml:space="preserve">Eighth Chain </t>
  </si>
  <si>
    <t>Proceeding Monthly Net Outgoings</t>
  </si>
  <si>
    <t>Chains</t>
  </si>
  <si>
    <t>First Month Net Outgoings (Economy of scale splitting of the infastructure costs across multiple stores)</t>
  </si>
  <si>
    <t>Profit Margin %</t>
  </si>
  <si>
    <t>Price</t>
  </si>
  <si>
    <t>Profit</t>
  </si>
  <si>
    <t>Mid Range</t>
  </si>
  <si>
    <t xml:space="preserve">Upper Range </t>
  </si>
  <si>
    <t>Motor Cost</t>
  </si>
  <si>
    <t>Battery Cost</t>
  </si>
  <si>
    <t xml:space="preserve">Net Parts Cost </t>
  </si>
  <si>
    <t>End Prices</t>
  </si>
  <si>
    <t>Profit Per Bike</t>
  </si>
  <si>
    <t>Chain Infastructure per Area</t>
  </si>
  <si>
    <t>Conversion Cost Estimates (Priced on per case basis)</t>
  </si>
  <si>
    <t>Time to Convert (Hours)</t>
  </si>
  <si>
    <t>Maximum Income</t>
  </si>
  <si>
    <t>Maximum Product Per-Month (3 engineers)</t>
  </si>
  <si>
    <t>Max Profit (First Shop)</t>
  </si>
  <si>
    <t>Max Profit (Single Chain)</t>
  </si>
  <si>
    <t>Max Profit (12* Chains)</t>
  </si>
  <si>
    <t>Expenditure Baseline</t>
  </si>
  <si>
    <t>Income Min</t>
  </si>
  <si>
    <t>Income Max</t>
  </si>
  <si>
    <t>Year 1</t>
  </si>
  <si>
    <t>Year 2</t>
  </si>
  <si>
    <t>Year 3</t>
  </si>
  <si>
    <t>Individual Shop Staff (Employees of an individual shop)</t>
  </si>
  <si>
    <t>Area Management Staff (Staff who manage an entire area of shops, i.e. west midlands)</t>
  </si>
  <si>
    <t>Shop Set Up Costings (Cost to set up a shop initially)</t>
  </si>
  <si>
    <t>Shop Overheads (Monthly recurring costs)</t>
  </si>
  <si>
    <t>Cost Per Chain of Stores In Area</t>
  </si>
  <si>
    <t>Chain cost before admin staff</t>
  </si>
  <si>
    <t>Non-Expansionist 3 year plan</t>
  </si>
  <si>
    <t>Expansionist 3 year plan</t>
  </si>
  <si>
    <t>Soc Media Manager</t>
  </si>
  <si>
    <t xml:space="preserve">Flyering </t>
  </si>
  <si>
    <t xml:space="preserve">Tv Advertisement </t>
  </si>
  <si>
    <t>Billboarding</t>
  </si>
  <si>
    <t>Online Advertising</t>
  </si>
  <si>
    <t>Posters</t>
  </si>
  <si>
    <t>Radio Advertisment</t>
  </si>
  <si>
    <t>Advertising Costs (Monthly)</t>
  </si>
  <si>
    <t>Profit Marg</t>
  </si>
  <si>
    <t>Monthly Out</t>
  </si>
  <si>
    <t>Sales to Break Even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</si>
</sst>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8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5">
    <xf numFmtId="0" fontId="0" fillId="0" borderId="0" xfId="0"/>
    <xf numFmtId="44" fontId="1" fillId="6" borderId="4" xfId="6" applyNumberFormat="1" applyBorder="1" applyAlignment="1">
      <alignment vertical="center"/>
    </xf>
    <xf numFmtId="44" fontId="1" fillId="4" borderId="4" xfId="4" applyNumberFormat="1" applyBorder="1" applyAlignment="1">
      <alignment vertical="center"/>
    </xf>
    <xf numFmtId="0" fontId="1" fillId="6" borderId="1" xfId="6" applyBorder="1" applyAlignment="1">
      <alignment horizontal="center" vertical="center" wrapText="1"/>
    </xf>
    <xf numFmtId="0" fontId="1" fillId="4" borderId="1" xfId="4" applyBorder="1" applyAlignment="1">
      <alignment horizontal="center" vertical="center" wrapText="1"/>
    </xf>
    <xf numFmtId="0" fontId="1" fillId="6" borderId="21" xfId="6" applyBorder="1" applyAlignment="1">
      <alignment vertical="center"/>
    </xf>
    <xf numFmtId="0" fontId="1" fillId="6" borderId="1" xfId="6" applyBorder="1" applyAlignment="1">
      <alignment vertical="center"/>
    </xf>
    <xf numFmtId="0" fontId="1" fillId="4" borderId="1" xfId="4" applyBorder="1" applyAlignment="1">
      <alignment vertical="center"/>
    </xf>
    <xf numFmtId="44" fontId="1" fillId="6" borderId="1" xfId="6" applyNumberFormat="1" applyBorder="1" applyAlignment="1">
      <alignment vertical="center"/>
    </xf>
    <xf numFmtId="44" fontId="1" fillId="4" borderId="1" xfId="4" applyNumberFormat="1" applyBorder="1" applyAlignment="1">
      <alignment vertical="center"/>
    </xf>
    <xf numFmtId="0" fontId="1" fillId="6" borderId="24" xfId="6" applyBorder="1" applyAlignment="1">
      <alignment vertical="center"/>
    </xf>
    <xf numFmtId="0" fontId="1" fillId="6" borderId="25" xfId="6" applyBorder="1" applyAlignment="1">
      <alignment vertical="center"/>
    </xf>
    <xf numFmtId="44" fontId="1" fillId="6" borderId="25" xfId="6" applyNumberFormat="1" applyBorder="1" applyAlignment="1">
      <alignment vertical="center"/>
    </xf>
    <xf numFmtId="44" fontId="1" fillId="4" borderId="25" xfId="4" applyNumberFormat="1" applyBorder="1" applyAlignment="1">
      <alignment vertical="center"/>
    </xf>
    <xf numFmtId="0" fontId="1" fillId="3" borderId="1" xfId="3" applyBorder="1" applyAlignment="1">
      <alignment vertical="center"/>
    </xf>
    <xf numFmtId="44" fontId="1" fillId="3" borderId="1" xfId="3" applyNumberFormat="1" applyBorder="1" applyAlignment="1">
      <alignment vertical="center"/>
    </xf>
    <xf numFmtId="44" fontId="1" fillId="3" borderId="23" xfId="3" applyNumberFormat="1" applyBorder="1" applyAlignment="1">
      <alignment vertical="center"/>
    </xf>
    <xf numFmtId="44" fontId="1" fillId="5" borderId="4" xfId="5" applyNumberFormat="1" applyBorder="1" applyAlignment="1">
      <alignment vertical="center"/>
    </xf>
    <xf numFmtId="0" fontId="1" fillId="5" borderId="1" xfId="5" applyBorder="1" applyAlignment="1">
      <alignment horizontal="center" vertical="center" wrapText="1"/>
    </xf>
    <xf numFmtId="0" fontId="1" fillId="5" borderId="1" xfId="5" applyBorder="1" applyAlignment="1">
      <alignment vertical="center"/>
    </xf>
    <xf numFmtId="0" fontId="1" fillId="3" borderId="14" xfId="3" applyBorder="1" applyAlignment="1">
      <alignment vertical="center"/>
    </xf>
    <xf numFmtId="44" fontId="1" fillId="3" borderId="14" xfId="3" applyNumberFormat="1" applyBorder="1" applyAlignment="1">
      <alignment vertical="center"/>
    </xf>
    <xf numFmtId="44" fontId="1" fillId="3" borderId="38" xfId="3" applyNumberFormat="1" applyBorder="1" applyAlignment="1">
      <alignment vertical="center"/>
    </xf>
    <xf numFmtId="44" fontId="1" fillId="5" borderId="14" xfId="5" applyNumberFormat="1" applyBorder="1" applyAlignment="1">
      <alignment vertical="center"/>
    </xf>
    <xf numFmtId="0" fontId="0" fillId="0" borderId="24" xfId="0" applyBorder="1" applyAlignment="1">
      <alignment horizontal="center" vertical="center"/>
    </xf>
    <xf numFmtId="44" fontId="0" fillId="0" borderId="25" xfId="1" applyFont="1" applyBorder="1" applyAlignment="1">
      <alignment horizontal="center" vertical="center"/>
    </xf>
    <xf numFmtId="44" fontId="0" fillId="0" borderId="25" xfId="1" applyNumberFormat="1" applyFont="1" applyBorder="1" applyAlignment="1">
      <alignment horizontal="center" vertical="center"/>
    </xf>
    <xf numFmtId="8" fontId="4" fillId="0" borderId="44" xfId="0" applyNumberFormat="1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8" fontId="4" fillId="0" borderId="47" xfId="0" applyNumberFormat="1" applyFont="1" applyBorder="1" applyAlignment="1">
      <alignment horizontal="center" vertical="center" wrapText="1"/>
    </xf>
    <xf numFmtId="44" fontId="0" fillId="0" borderId="14" xfId="1" applyFont="1" applyBorder="1" applyAlignment="1">
      <alignment horizontal="center" vertical="center"/>
    </xf>
    <xf numFmtId="44" fontId="0" fillId="0" borderId="14" xfId="1" applyNumberFormat="1" applyFont="1" applyBorder="1" applyAlignment="1">
      <alignment horizontal="center" vertical="center"/>
    </xf>
    <xf numFmtId="8" fontId="4" fillId="0" borderId="0" xfId="0" applyNumberFormat="1" applyFont="1" applyBorder="1" applyAlignment="1">
      <alignment horizontal="center" vertical="center" wrapText="1"/>
    </xf>
    <xf numFmtId="8" fontId="4" fillId="0" borderId="64" xfId="0" applyNumberFormat="1" applyFont="1" applyBorder="1" applyAlignment="1">
      <alignment horizontal="center" vertical="center" wrapText="1"/>
    </xf>
    <xf numFmtId="44" fontId="0" fillId="0" borderId="25" xfId="1" applyFont="1" applyBorder="1" applyAlignment="1">
      <alignment vertical="center"/>
    </xf>
    <xf numFmtId="44" fontId="0" fillId="0" borderId="26" xfId="1" applyFont="1" applyBorder="1" applyAlignment="1">
      <alignment vertical="center"/>
    </xf>
    <xf numFmtId="44" fontId="0" fillId="0" borderId="14" xfId="1" applyFont="1" applyBorder="1" applyAlignment="1">
      <alignment vertical="center"/>
    </xf>
    <xf numFmtId="8" fontId="0" fillId="0" borderId="0" xfId="0" applyNumberFormat="1"/>
    <xf numFmtId="0" fontId="1" fillId="3" borderId="30" xfId="3" applyBorder="1" applyAlignment="1">
      <alignment horizontal="center" vertical="center"/>
    </xf>
    <xf numFmtId="0" fontId="1" fillId="3" borderId="31" xfId="3" applyBorder="1" applyAlignment="1">
      <alignment horizontal="center" vertical="center"/>
    </xf>
    <xf numFmtId="0" fontId="1" fillId="3" borderId="21" xfId="3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0" fontId="1" fillId="3" borderId="31" xfId="3" applyBorder="1" applyAlignment="1">
      <alignment horizontal="center" vertical="center" wrapText="1"/>
    </xf>
    <xf numFmtId="0" fontId="1" fillId="3" borderId="1" xfId="3" applyBorder="1" applyAlignment="1">
      <alignment horizontal="center" vertical="center" wrapText="1"/>
    </xf>
    <xf numFmtId="44" fontId="0" fillId="0" borderId="76" xfId="1" applyFont="1" applyBorder="1" applyAlignment="1">
      <alignment horizontal="center" vertical="center" wrapText="1"/>
    </xf>
    <xf numFmtId="44" fontId="0" fillId="0" borderId="74" xfId="1" applyFont="1" applyBorder="1" applyAlignment="1">
      <alignment horizontal="center" vertical="center" wrapText="1"/>
    </xf>
    <xf numFmtId="44" fontId="0" fillId="0" borderId="75" xfId="1" applyFont="1" applyBorder="1" applyAlignment="1">
      <alignment horizontal="center" vertical="center" wrapText="1"/>
    </xf>
    <xf numFmtId="0" fontId="1" fillId="6" borderId="5" xfId="6" applyBorder="1" applyAlignment="1">
      <alignment horizontal="center" vertical="center"/>
    </xf>
    <xf numFmtId="0" fontId="1" fillId="6" borderId="6" xfId="6" applyBorder="1" applyAlignment="1">
      <alignment horizontal="center" vertical="center"/>
    </xf>
    <xf numFmtId="0" fontId="1" fillId="6" borderId="7" xfId="6" applyBorder="1" applyAlignment="1">
      <alignment horizontal="center" vertical="center"/>
    </xf>
    <xf numFmtId="0" fontId="1" fillId="4" borderId="19" xfId="4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0" fontId="1" fillId="4" borderId="10" xfId="4" applyBorder="1" applyAlignment="1">
      <alignment horizontal="center" vertical="center"/>
    </xf>
    <xf numFmtId="0" fontId="1" fillId="4" borderId="20" xfId="4" applyBorder="1" applyAlignment="1">
      <alignment horizontal="center" vertical="center"/>
    </xf>
    <xf numFmtId="0" fontId="1" fillId="4" borderId="11" xfId="4" applyBorder="1" applyAlignment="1">
      <alignment horizontal="center" vertical="center"/>
    </xf>
    <xf numFmtId="0" fontId="1" fillId="4" borderId="22" xfId="4" applyBorder="1" applyAlignment="1">
      <alignment horizontal="center" vertical="center"/>
    </xf>
    <xf numFmtId="0" fontId="1" fillId="4" borderId="21" xfId="4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44" fontId="1" fillId="4" borderId="1" xfId="4" applyNumberFormat="1" applyBorder="1" applyAlignment="1">
      <alignment horizontal="center" vertical="center"/>
    </xf>
    <xf numFmtId="44" fontId="1" fillId="4" borderId="23" xfId="4" applyNumberFormat="1" applyBorder="1" applyAlignment="1">
      <alignment horizontal="center" vertical="center"/>
    </xf>
    <xf numFmtId="44" fontId="1" fillId="4" borderId="25" xfId="4" applyNumberFormat="1" applyBorder="1" applyAlignment="1">
      <alignment horizontal="center" vertical="center"/>
    </xf>
    <xf numFmtId="44" fontId="1" fillId="4" borderId="26" xfId="4" applyNumberFormat="1" applyBorder="1" applyAlignment="1">
      <alignment horizontal="center" vertical="center"/>
    </xf>
    <xf numFmtId="0" fontId="1" fillId="4" borderId="5" xfId="4" applyBorder="1" applyAlignment="1">
      <alignment horizontal="center" vertical="center"/>
    </xf>
    <xf numFmtId="0" fontId="1" fillId="4" borderId="6" xfId="4" applyBorder="1" applyAlignment="1">
      <alignment horizontal="center" vertical="center"/>
    </xf>
    <xf numFmtId="0" fontId="1" fillId="4" borderId="7" xfId="4" applyBorder="1" applyAlignment="1">
      <alignment horizontal="center" vertical="center"/>
    </xf>
    <xf numFmtId="0" fontId="1" fillId="4" borderId="27" xfId="4" applyBorder="1" applyAlignment="1">
      <alignment horizontal="center" vertical="center"/>
    </xf>
    <xf numFmtId="0" fontId="1" fillId="4" borderId="3" xfId="4" applyBorder="1" applyAlignment="1">
      <alignment horizontal="center" vertical="center"/>
    </xf>
    <xf numFmtId="0" fontId="1" fillId="4" borderId="28" xfId="4" applyBorder="1" applyAlignment="1">
      <alignment horizontal="center" vertical="center"/>
    </xf>
    <xf numFmtId="0" fontId="1" fillId="4" borderId="29" xfId="4" applyBorder="1" applyAlignment="1">
      <alignment horizontal="center" vertical="center"/>
    </xf>
    <xf numFmtId="0" fontId="1" fillId="6" borderId="19" xfId="6" applyBorder="1" applyAlignment="1">
      <alignment horizontal="center" vertical="center"/>
    </xf>
    <xf numFmtId="0" fontId="1" fillId="6" borderId="4" xfId="6" applyBorder="1" applyAlignment="1">
      <alignment horizontal="center" vertical="center"/>
    </xf>
    <xf numFmtId="44" fontId="1" fillId="6" borderId="25" xfId="6" applyNumberFormat="1" applyBorder="1" applyAlignment="1">
      <alignment horizontal="center" vertical="center"/>
    </xf>
    <xf numFmtId="44" fontId="1" fillId="6" borderId="26" xfId="6" applyNumberFormat="1" applyBorder="1" applyAlignment="1">
      <alignment horizontal="center" vertical="center"/>
    </xf>
    <xf numFmtId="44" fontId="1" fillId="6" borderId="1" xfId="6" applyNumberFormat="1" applyBorder="1" applyAlignment="1">
      <alignment horizontal="center" vertical="center"/>
    </xf>
    <xf numFmtId="44" fontId="1" fillId="6" borderId="23" xfId="6" applyNumberFormat="1" applyBorder="1" applyAlignment="1">
      <alignment horizontal="center" vertical="center"/>
    </xf>
    <xf numFmtId="0" fontId="1" fillId="6" borderId="21" xfId="6" applyBorder="1" applyAlignment="1">
      <alignment horizontal="center" vertical="center"/>
    </xf>
    <xf numFmtId="0" fontId="1" fillId="6" borderId="1" xfId="6" applyBorder="1" applyAlignment="1">
      <alignment horizontal="center" vertical="center"/>
    </xf>
    <xf numFmtId="0" fontId="1" fillId="6" borderId="10" xfId="6" applyBorder="1" applyAlignment="1">
      <alignment horizontal="center" vertical="center"/>
    </xf>
    <xf numFmtId="0" fontId="1" fillId="6" borderId="20" xfId="6" applyBorder="1" applyAlignment="1">
      <alignment horizontal="center" vertical="center"/>
    </xf>
    <xf numFmtId="0" fontId="1" fillId="6" borderId="11" xfId="6" applyBorder="1" applyAlignment="1">
      <alignment horizontal="center" vertical="center"/>
    </xf>
    <xf numFmtId="0" fontId="1" fillId="6" borderId="22" xfId="6" applyBorder="1" applyAlignment="1">
      <alignment horizontal="center" vertical="center"/>
    </xf>
    <xf numFmtId="0" fontId="1" fillId="5" borderId="16" xfId="5" applyBorder="1" applyAlignment="1">
      <alignment horizontal="center" vertical="center"/>
    </xf>
    <xf numFmtId="0" fontId="1" fillId="5" borderId="33" xfId="5" applyBorder="1" applyAlignment="1">
      <alignment horizontal="center" vertical="center"/>
    </xf>
    <xf numFmtId="0" fontId="1" fillId="5" borderId="10" xfId="5" applyBorder="1" applyAlignment="1">
      <alignment horizontal="center" vertical="center"/>
    </xf>
    <xf numFmtId="0" fontId="1" fillId="5" borderId="20" xfId="5" applyBorder="1" applyAlignment="1">
      <alignment horizontal="center" vertical="center"/>
    </xf>
    <xf numFmtId="0" fontId="1" fillId="5" borderId="11" xfId="5" applyBorder="1" applyAlignment="1">
      <alignment horizontal="center" vertical="center"/>
    </xf>
    <xf numFmtId="0" fontId="1" fillId="5" borderId="22" xfId="5" applyBorder="1" applyAlignment="1">
      <alignment horizontal="center" vertical="center"/>
    </xf>
    <xf numFmtId="0" fontId="2" fillId="2" borderId="8" xfId="2" applyAlignment="1">
      <alignment horizontal="center" vertical="center"/>
    </xf>
    <xf numFmtId="44" fontId="1" fillId="3" borderId="21" xfId="3" applyNumberFormat="1" applyBorder="1" applyAlignment="1">
      <alignment horizontal="center" vertical="center"/>
    </xf>
    <xf numFmtId="44" fontId="1" fillId="3" borderId="1" xfId="3" applyNumberFormat="1" applyBorder="1" applyAlignment="1">
      <alignment horizontal="center" vertical="center"/>
    </xf>
    <xf numFmtId="44" fontId="1" fillId="3" borderId="37" xfId="3" applyNumberFormat="1" applyBorder="1" applyAlignment="1">
      <alignment horizontal="center" vertical="center"/>
    </xf>
    <xf numFmtId="44" fontId="1" fillId="3" borderId="14" xfId="3" applyNumberFormat="1" applyBorder="1" applyAlignment="1">
      <alignment horizontal="center" vertical="center"/>
    </xf>
    <xf numFmtId="0" fontId="1" fillId="3" borderId="14" xfId="3" applyBorder="1" applyAlignment="1">
      <alignment horizontal="center" vertical="center"/>
    </xf>
    <xf numFmtId="0" fontId="1" fillId="3" borderId="32" xfId="3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39" xfId="5" applyBorder="1" applyAlignment="1">
      <alignment horizontal="center" vertical="center"/>
    </xf>
    <xf numFmtId="0" fontId="1" fillId="5" borderId="9" xfId="5" applyBorder="1" applyAlignment="1">
      <alignment horizontal="center" vertical="center"/>
    </xf>
    <xf numFmtId="44" fontId="1" fillId="5" borderId="14" xfId="5" applyNumberFormat="1" applyBorder="1" applyAlignment="1">
      <alignment horizontal="center" vertical="center"/>
    </xf>
    <xf numFmtId="44" fontId="1" fillId="5" borderId="38" xfId="5" applyNumberFormat="1" applyBorder="1" applyAlignment="1">
      <alignment horizontal="center" vertical="center"/>
    </xf>
    <xf numFmtId="0" fontId="1" fillId="5" borderId="19" xfId="5" applyBorder="1" applyAlignment="1">
      <alignment horizontal="center" vertical="center"/>
    </xf>
    <xf numFmtId="0" fontId="1" fillId="5" borderId="4" xfId="5" applyBorder="1" applyAlignment="1">
      <alignment horizontal="center" vertical="center"/>
    </xf>
    <xf numFmtId="0" fontId="1" fillId="5" borderId="21" xfId="5" applyBorder="1" applyAlignment="1">
      <alignment horizontal="center" vertical="center"/>
    </xf>
    <xf numFmtId="0" fontId="1" fillId="5" borderId="1" xfId="5" applyBorder="1" applyAlignment="1">
      <alignment horizontal="center" vertical="center"/>
    </xf>
    <xf numFmtId="0" fontId="1" fillId="5" borderId="27" xfId="5" applyBorder="1" applyAlignment="1">
      <alignment horizontal="center" vertical="center"/>
    </xf>
    <xf numFmtId="0" fontId="1" fillId="5" borderId="3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7" xfId="5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2" fillId="2" borderId="45" xfId="2" applyBorder="1" applyAlignment="1">
      <alignment horizontal="center" vertical="center"/>
    </xf>
    <xf numFmtId="0" fontId="2" fillId="2" borderId="36" xfId="2" applyBorder="1" applyAlignment="1">
      <alignment horizontal="center" vertical="center"/>
    </xf>
    <xf numFmtId="0" fontId="2" fillId="2" borderId="34" xfId="2" applyBorder="1" applyAlignment="1">
      <alignment horizontal="center" vertical="center"/>
    </xf>
    <xf numFmtId="0" fontId="2" fillId="2" borderId="13" xfId="2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4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" fillId="2" borderId="30" xfId="2" applyBorder="1" applyAlignment="1">
      <alignment horizontal="center" vertical="center"/>
    </xf>
    <xf numFmtId="0" fontId="2" fillId="2" borderId="32" xfId="2" applyBorder="1" applyAlignment="1">
      <alignment horizontal="center" vertical="center"/>
    </xf>
    <xf numFmtId="0" fontId="2" fillId="2" borderId="21" xfId="2" applyBorder="1" applyAlignment="1">
      <alignment horizontal="center" vertical="center"/>
    </xf>
    <xf numFmtId="0" fontId="2" fillId="2" borderId="23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8" fontId="0" fillId="0" borderId="27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2" borderId="52" xfId="2" applyBorder="1" applyAlignment="1">
      <alignment horizontal="center" vertical="center" wrapText="1"/>
    </xf>
    <xf numFmtId="0" fontId="2" fillId="2" borderId="53" xfId="2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2" borderId="8" xfId="2" applyAlignment="1">
      <alignment horizontal="center" vertical="center" wrapText="1"/>
    </xf>
    <xf numFmtId="0" fontId="2" fillId="2" borderId="45" xfId="2" applyBorder="1" applyAlignment="1">
      <alignment horizontal="center" vertical="center" wrapText="1"/>
    </xf>
    <xf numFmtId="0" fontId="2" fillId="2" borderId="59" xfId="2" applyBorder="1" applyAlignment="1">
      <alignment horizontal="center" vertical="center" wrapText="1"/>
    </xf>
    <xf numFmtId="0" fontId="2" fillId="2" borderId="60" xfId="2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2" borderId="55" xfId="2" applyBorder="1" applyAlignment="1">
      <alignment horizontal="center" vertical="center" wrapText="1"/>
    </xf>
    <xf numFmtId="0" fontId="2" fillId="2" borderId="57" xfId="2" applyBorder="1" applyAlignment="1">
      <alignment horizontal="center" vertical="center" wrapText="1"/>
    </xf>
    <xf numFmtId="0" fontId="2" fillId="2" borderId="65" xfId="2" applyBorder="1" applyAlignment="1">
      <alignment horizontal="center" vertical="center"/>
    </xf>
    <xf numFmtId="0" fontId="2" fillId="2" borderId="66" xfId="2" applyBorder="1" applyAlignment="1">
      <alignment horizontal="center" vertical="center"/>
    </xf>
    <xf numFmtId="0" fontId="2" fillId="2" borderId="67" xfId="2" applyBorder="1" applyAlignment="1">
      <alignment horizontal="center" vertical="center"/>
    </xf>
    <xf numFmtId="0" fontId="2" fillId="2" borderId="68" xfId="2" applyBorder="1" applyAlignment="1">
      <alignment horizontal="center" vertical="center"/>
    </xf>
    <xf numFmtId="0" fontId="2" fillId="2" borderId="69" xfId="2" applyBorder="1" applyAlignment="1">
      <alignment horizontal="center" vertical="center"/>
    </xf>
    <xf numFmtId="0" fontId="2" fillId="2" borderId="70" xfId="2" applyBorder="1" applyAlignment="1">
      <alignment horizontal="center" vertical="center"/>
    </xf>
    <xf numFmtId="8" fontId="0" fillId="0" borderId="55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8" fontId="0" fillId="0" borderId="56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8" fontId="0" fillId="0" borderId="28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8" fontId="0" fillId="0" borderId="62" xfId="0" applyNumberFormat="1" applyBorder="1" applyAlignment="1">
      <alignment horizontal="center" vertical="center"/>
    </xf>
    <xf numFmtId="8" fontId="0" fillId="0" borderId="17" xfId="0" applyNumberFormat="1" applyBorder="1" applyAlignment="1">
      <alignment horizontal="center" vertical="center"/>
    </xf>
    <xf numFmtId="8" fontId="0" fillId="0" borderId="19" xfId="0" applyNumberFormat="1" applyBorder="1" applyAlignment="1">
      <alignment horizontal="center" vertical="center"/>
    </xf>
    <xf numFmtId="8" fontId="0" fillId="0" borderId="2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23" xfId="1" applyFont="1" applyBorder="1" applyAlignment="1">
      <alignment horizontal="center" vertical="center"/>
    </xf>
    <xf numFmtId="44" fontId="0" fillId="0" borderId="25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 wrapText="1"/>
    </xf>
    <xf numFmtId="44" fontId="0" fillId="0" borderId="25" xfId="1" applyFont="1" applyBorder="1" applyAlignment="1">
      <alignment horizontal="center" vertical="center" wrapText="1"/>
    </xf>
    <xf numFmtId="44" fontId="0" fillId="0" borderId="26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61" xfId="1" applyFont="1" applyBorder="1" applyAlignment="1">
      <alignment horizontal="center" vertical="center"/>
    </xf>
    <xf numFmtId="44" fontId="0" fillId="0" borderId="14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4" fontId="0" fillId="0" borderId="71" xfId="1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0" fontId="2" fillId="2" borderId="72" xfId="2" applyBorder="1" applyAlignment="1">
      <alignment horizontal="center" vertical="center"/>
    </xf>
    <xf numFmtId="0" fontId="2" fillId="2" borderId="59" xfId="2" applyBorder="1" applyAlignment="1">
      <alignment horizontal="center" vertical="center"/>
    </xf>
    <xf numFmtId="0" fontId="2" fillId="2" borderId="73" xfId="2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4" fontId="0" fillId="0" borderId="77" xfId="1" applyFont="1" applyBorder="1" applyAlignment="1">
      <alignment horizontal="center" vertical="center" wrapText="1"/>
    </xf>
    <xf numFmtId="44" fontId="0" fillId="0" borderId="78" xfId="1" applyFont="1" applyBorder="1" applyAlignment="1">
      <alignment horizontal="center" vertical="center" wrapText="1"/>
    </xf>
    <xf numFmtId="44" fontId="0" fillId="0" borderId="79" xfId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0" applyNumberFormat="1"/>
  </cellXfs>
  <cellStyles count="7">
    <cellStyle name="20% - Accent1" xfId="3" builtinId="30"/>
    <cellStyle name="20% - Accent2" xfId="4" builtinId="34"/>
    <cellStyle name="20% - Accent4" xfId="5" builtinId="42"/>
    <cellStyle name="20% - Accent6" xfId="6" builtinId="50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D824-FD50-4D72-A43A-1426474CFA96}">
  <dimension ref="C1:T60"/>
  <sheetViews>
    <sheetView tabSelected="1" topLeftCell="B37" zoomScaleNormal="100" workbookViewId="0">
      <selection activeCell="U17" sqref="U17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13" customWidth="1"/>
    <col min="4" max="4" width="19.5703125" bestFit="1" customWidth="1"/>
    <col min="5" max="5" width="12.5703125" bestFit="1" customWidth="1"/>
    <col min="6" max="7" width="12.7109375" customWidth="1"/>
    <col min="8" max="8" width="12.5703125" bestFit="1" customWidth="1"/>
    <col min="9" max="9" width="13.7109375" bestFit="1" customWidth="1"/>
    <col min="10" max="10" width="14.28515625" bestFit="1" customWidth="1"/>
    <col min="11" max="11" width="12.5703125" customWidth="1"/>
    <col min="12" max="12" width="12.5703125" bestFit="1" customWidth="1"/>
    <col min="13" max="13" width="16.28515625" customWidth="1"/>
    <col min="14" max="14" width="14" customWidth="1"/>
    <col min="15" max="16" width="11.5703125" bestFit="1" customWidth="1"/>
    <col min="17" max="17" width="12.85546875" customWidth="1"/>
    <col min="18" max="18" width="13" customWidth="1"/>
    <col min="19" max="19" width="13.140625" customWidth="1"/>
    <col min="20" max="20" width="13.7109375" customWidth="1"/>
  </cols>
  <sheetData>
    <row r="1" spans="3:20" ht="15.75" thickBot="1" x14ac:dyDescent="0.3">
      <c r="C1" s="48" t="s">
        <v>99</v>
      </c>
      <c r="D1" s="49"/>
      <c r="E1" s="49"/>
      <c r="F1" s="49"/>
      <c r="G1" s="49"/>
      <c r="H1" s="49"/>
      <c r="I1" s="49"/>
      <c r="J1" s="49"/>
      <c r="K1" s="49"/>
      <c r="L1" s="50"/>
      <c r="M1" s="63" t="s">
        <v>100</v>
      </c>
      <c r="N1" s="64"/>
      <c r="O1" s="64"/>
      <c r="P1" s="64"/>
      <c r="Q1" s="64"/>
      <c r="R1" s="64"/>
      <c r="S1" s="64"/>
      <c r="T1" s="65"/>
    </row>
    <row r="2" spans="3:20" x14ac:dyDescent="0.25">
      <c r="C2" s="70" t="s">
        <v>12</v>
      </c>
      <c r="D2" s="71"/>
      <c r="E2" s="1">
        <v>20000</v>
      </c>
      <c r="F2" s="1">
        <v>20000</v>
      </c>
      <c r="G2" s="1">
        <v>20000</v>
      </c>
      <c r="H2" s="1">
        <v>20000</v>
      </c>
      <c r="I2" s="1">
        <v>20000</v>
      </c>
      <c r="J2" s="1">
        <v>20000</v>
      </c>
      <c r="K2" s="78" t="s">
        <v>11</v>
      </c>
      <c r="L2" s="79"/>
      <c r="M2" s="51" t="s">
        <v>12</v>
      </c>
      <c r="N2" s="52"/>
      <c r="O2" s="2">
        <v>30000</v>
      </c>
      <c r="P2" s="2">
        <v>30000</v>
      </c>
      <c r="Q2" s="2">
        <v>30000</v>
      </c>
      <c r="R2" s="2">
        <v>30000</v>
      </c>
      <c r="S2" s="53" t="s">
        <v>11</v>
      </c>
      <c r="T2" s="54"/>
    </row>
    <row r="3" spans="3:20" ht="30" x14ac:dyDescent="0.25">
      <c r="C3" s="76" t="s">
        <v>13</v>
      </c>
      <c r="D3" s="77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78"/>
      <c r="L3" s="79"/>
      <c r="M3" s="57" t="s">
        <v>13</v>
      </c>
      <c r="N3" s="58"/>
      <c r="O3" s="4" t="s">
        <v>14</v>
      </c>
      <c r="P3" s="4" t="s">
        <v>15</v>
      </c>
      <c r="Q3" s="4" t="s">
        <v>16</v>
      </c>
      <c r="R3" s="4" t="s">
        <v>8</v>
      </c>
      <c r="S3" s="53"/>
      <c r="T3" s="54"/>
    </row>
    <row r="4" spans="3:20" x14ac:dyDescent="0.25">
      <c r="C4" s="5" t="s">
        <v>6</v>
      </c>
      <c r="D4" s="6"/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78"/>
      <c r="L4" s="79"/>
      <c r="M4" s="66" t="s">
        <v>6</v>
      </c>
      <c r="N4" s="67"/>
      <c r="O4" s="7">
        <v>0</v>
      </c>
      <c r="P4" s="7">
        <v>0</v>
      </c>
      <c r="Q4" s="7">
        <v>0</v>
      </c>
      <c r="R4" s="7">
        <v>0</v>
      </c>
      <c r="S4" s="53"/>
      <c r="T4" s="54"/>
    </row>
    <row r="5" spans="3:20" x14ac:dyDescent="0.25">
      <c r="C5" s="5" t="s">
        <v>7</v>
      </c>
      <c r="D5" s="6"/>
      <c r="E5" s="6">
        <v>1</v>
      </c>
      <c r="F5" s="6">
        <v>1</v>
      </c>
      <c r="G5" s="6">
        <v>1</v>
      </c>
      <c r="H5" s="6">
        <v>1</v>
      </c>
      <c r="I5" s="6">
        <v>3</v>
      </c>
      <c r="J5" s="6">
        <v>1</v>
      </c>
      <c r="K5" s="80"/>
      <c r="L5" s="81"/>
      <c r="M5" s="66" t="s">
        <v>7</v>
      </c>
      <c r="N5" s="67"/>
      <c r="O5" s="7">
        <v>1</v>
      </c>
      <c r="P5" s="7">
        <v>1</v>
      </c>
      <c r="Q5" s="7">
        <v>1</v>
      </c>
      <c r="R5" s="7">
        <v>1</v>
      </c>
      <c r="S5" s="55"/>
      <c r="T5" s="56"/>
    </row>
    <row r="6" spans="3:20" x14ac:dyDescent="0.25">
      <c r="C6" s="5" t="s">
        <v>9</v>
      </c>
      <c r="D6" s="6"/>
      <c r="E6" s="8">
        <f>E4*E2</f>
        <v>0</v>
      </c>
      <c r="F6" s="8">
        <f t="shared" ref="F6:J6" si="0">F4*F2</f>
        <v>0</v>
      </c>
      <c r="G6" s="8">
        <f t="shared" si="0"/>
        <v>0</v>
      </c>
      <c r="H6" s="8">
        <f t="shared" si="0"/>
        <v>0</v>
      </c>
      <c r="I6" s="8">
        <f t="shared" si="0"/>
        <v>20000</v>
      </c>
      <c r="J6" s="8">
        <f t="shared" si="0"/>
        <v>0</v>
      </c>
      <c r="K6" s="74">
        <f>E6+F6+G6+H6+I6+J6</f>
        <v>20000</v>
      </c>
      <c r="L6" s="75"/>
      <c r="M6" s="66" t="s">
        <v>9</v>
      </c>
      <c r="N6" s="67"/>
      <c r="O6" s="9">
        <f>O2*O4</f>
        <v>0</v>
      </c>
      <c r="P6" s="9">
        <f t="shared" ref="P6:R6" si="1">P2*P4</f>
        <v>0</v>
      </c>
      <c r="Q6" s="9">
        <f t="shared" si="1"/>
        <v>0</v>
      </c>
      <c r="R6" s="9">
        <f t="shared" si="1"/>
        <v>0</v>
      </c>
      <c r="S6" s="59">
        <f>O6+P6+Q6+R6</f>
        <v>0</v>
      </c>
      <c r="T6" s="60"/>
    </row>
    <row r="7" spans="3:20" ht="15.75" thickBot="1" x14ac:dyDescent="0.3">
      <c r="C7" s="10" t="s">
        <v>10</v>
      </c>
      <c r="D7" s="11"/>
      <c r="E7" s="12">
        <f>E5*E2</f>
        <v>20000</v>
      </c>
      <c r="F7" s="12">
        <f t="shared" ref="F7:J7" si="2">F5*F2</f>
        <v>20000</v>
      </c>
      <c r="G7" s="12">
        <f t="shared" si="2"/>
        <v>20000</v>
      </c>
      <c r="H7" s="12">
        <f t="shared" si="2"/>
        <v>20000</v>
      </c>
      <c r="I7" s="12">
        <f t="shared" si="2"/>
        <v>60000</v>
      </c>
      <c r="J7" s="12">
        <f t="shared" si="2"/>
        <v>20000</v>
      </c>
      <c r="K7" s="72">
        <f>E7+F7+G7+H7+I7+J7</f>
        <v>160000</v>
      </c>
      <c r="L7" s="73"/>
      <c r="M7" s="68" t="s">
        <v>10</v>
      </c>
      <c r="N7" s="69"/>
      <c r="O7" s="13">
        <f>O5*O2</f>
        <v>30000</v>
      </c>
      <c r="P7" s="13">
        <f t="shared" ref="P7:R7" si="3">P5*P2</f>
        <v>30000</v>
      </c>
      <c r="Q7" s="13">
        <f t="shared" si="3"/>
        <v>30000</v>
      </c>
      <c r="R7" s="13">
        <f t="shared" si="3"/>
        <v>30000</v>
      </c>
      <c r="S7" s="61">
        <f>O7+P7+Q7+R7</f>
        <v>120000</v>
      </c>
      <c r="T7" s="62"/>
    </row>
    <row r="8" spans="3:20" ht="15.75" thickBot="1" x14ac:dyDescent="0.3">
      <c r="C8" s="39" t="s">
        <v>22</v>
      </c>
      <c r="D8" s="40"/>
      <c r="E8" s="43" t="s">
        <v>104</v>
      </c>
      <c r="F8" s="43"/>
      <c r="G8" s="40" t="s">
        <v>103</v>
      </c>
      <c r="H8" s="40"/>
      <c r="I8" s="40"/>
      <c r="J8" s="40"/>
      <c r="K8" s="40"/>
      <c r="L8" s="94"/>
      <c r="M8" s="109" t="s">
        <v>21</v>
      </c>
      <c r="N8" s="110"/>
      <c r="O8" s="110"/>
      <c r="P8" s="110"/>
      <c r="Q8" s="110"/>
      <c r="R8" s="110"/>
      <c r="S8" s="110"/>
      <c r="T8" s="111"/>
    </row>
    <row r="9" spans="3:20" x14ac:dyDescent="0.25">
      <c r="C9" s="41"/>
      <c r="D9" s="42"/>
      <c r="E9" s="44"/>
      <c r="F9" s="44"/>
      <c r="G9" s="14" t="s">
        <v>25</v>
      </c>
      <c r="H9" s="15">
        <f>K7+S7+S12</f>
        <v>360000</v>
      </c>
      <c r="I9" s="14" t="s">
        <v>29</v>
      </c>
      <c r="J9" s="15">
        <f>K7+((S7+S12)/5)</f>
        <v>200000</v>
      </c>
      <c r="K9" s="14" t="s">
        <v>33</v>
      </c>
      <c r="L9" s="16">
        <f>K7+((S7+S12)/9)</f>
        <v>182222.22222222222</v>
      </c>
      <c r="M9" s="103" t="s">
        <v>12</v>
      </c>
      <c r="N9" s="104"/>
      <c r="O9" s="17">
        <v>20000</v>
      </c>
      <c r="P9" s="17">
        <v>20000</v>
      </c>
      <c r="Q9" s="17">
        <v>20000</v>
      </c>
      <c r="R9" s="17">
        <v>20000</v>
      </c>
      <c r="S9" s="82" t="s">
        <v>11</v>
      </c>
      <c r="T9" s="83"/>
    </row>
    <row r="10" spans="3:20" ht="30" x14ac:dyDescent="0.25">
      <c r="C10" s="89">
        <f>K6+S12</f>
        <v>100000</v>
      </c>
      <c r="D10" s="90"/>
      <c r="E10" s="90">
        <f>K7+S12</f>
        <v>240000</v>
      </c>
      <c r="F10" s="42"/>
      <c r="G10" s="14" t="s">
        <v>26</v>
      </c>
      <c r="H10" s="15">
        <f>K7+((S7+S12)/2)</f>
        <v>260000</v>
      </c>
      <c r="I10" s="14" t="s">
        <v>30</v>
      </c>
      <c r="J10" s="15">
        <f>K7+((S7+S12)/6)</f>
        <v>193333.33333333334</v>
      </c>
      <c r="K10" s="14" t="s">
        <v>34</v>
      </c>
      <c r="L10" s="16">
        <f>K7+((S7+S12)/10)</f>
        <v>180000</v>
      </c>
      <c r="M10" s="105" t="s">
        <v>13</v>
      </c>
      <c r="N10" s="106"/>
      <c r="O10" s="18" t="s">
        <v>17</v>
      </c>
      <c r="P10" s="18" t="s">
        <v>18</v>
      </c>
      <c r="Q10" s="18" t="s">
        <v>19</v>
      </c>
      <c r="R10" s="18" t="s">
        <v>20</v>
      </c>
      <c r="S10" s="84"/>
      <c r="T10" s="85"/>
    </row>
    <row r="11" spans="3:20" x14ac:dyDescent="0.25">
      <c r="C11" s="89"/>
      <c r="D11" s="90"/>
      <c r="E11" s="42"/>
      <c r="F11" s="42"/>
      <c r="G11" s="14" t="s">
        <v>27</v>
      </c>
      <c r="H11" s="15">
        <f>K7+((S7+S12)/3)</f>
        <v>226666.66666666669</v>
      </c>
      <c r="I11" s="14" t="s">
        <v>31</v>
      </c>
      <c r="J11" s="15">
        <f>K7+((S7+S12)/7)</f>
        <v>188571.42857142858</v>
      </c>
      <c r="K11" s="14" t="s">
        <v>35</v>
      </c>
      <c r="L11" s="16">
        <f>K7+((S7+S12)/11)</f>
        <v>178181.81818181818</v>
      </c>
      <c r="M11" s="107" t="s">
        <v>23</v>
      </c>
      <c r="N11" s="108"/>
      <c r="O11" s="19">
        <v>1</v>
      </c>
      <c r="P11" s="19">
        <v>1</v>
      </c>
      <c r="Q11" s="19">
        <v>1</v>
      </c>
      <c r="R11" s="19">
        <v>1</v>
      </c>
      <c r="S11" s="86"/>
      <c r="T11" s="87"/>
    </row>
    <row r="12" spans="3:20" x14ac:dyDescent="0.25">
      <c r="C12" s="91"/>
      <c r="D12" s="92"/>
      <c r="E12" s="93"/>
      <c r="F12" s="93"/>
      <c r="G12" s="20" t="s">
        <v>28</v>
      </c>
      <c r="H12" s="21">
        <f>K7+((S7+S12)/4)</f>
        <v>210000</v>
      </c>
      <c r="I12" s="20" t="s">
        <v>32</v>
      </c>
      <c r="J12" s="21">
        <f>K7+((S7+S12)/8)</f>
        <v>185000</v>
      </c>
      <c r="K12" s="20" t="s">
        <v>36</v>
      </c>
      <c r="L12" s="22">
        <f>K7+((S7+S12)/12)</f>
        <v>176666.66666666666</v>
      </c>
      <c r="M12" s="99" t="s">
        <v>24</v>
      </c>
      <c r="N12" s="100"/>
      <c r="O12" s="23">
        <f>O9*O11</f>
        <v>20000</v>
      </c>
      <c r="P12" s="23">
        <f>P9*P11</f>
        <v>20000</v>
      </c>
      <c r="Q12" s="23">
        <f>Q9*Q11</f>
        <v>20000</v>
      </c>
      <c r="R12" s="23">
        <f>R9*R11</f>
        <v>20000</v>
      </c>
      <c r="S12" s="101">
        <f>O12+P12+Q12+R12</f>
        <v>80000</v>
      </c>
      <c r="T12" s="102"/>
    </row>
    <row r="13" spans="3:20" x14ac:dyDescent="0.25">
      <c r="C13" s="88" t="s">
        <v>101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</row>
    <row r="14" spans="3:20" x14ac:dyDescent="0.25">
      <c r="C14" s="95" t="s">
        <v>37</v>
      </c>
      <c r="D14" s="97" t="s">
        <v>39</v>
      </c>
      <c r="E14" s="97" t="s">
        <v>47</v>
      </c>
      <c r="F14" s="97" t="s">
        <v>40</v>
      </c>
      <c r="G14" s="97" t="s">
        <v>46</v>
      </c>
      <c r="H14" s="97" t="s">
        <v>41</v>
      </c>
      <c r="I14" s="97" t="s">
        <v>42</v>
      </c>
      <c r="J14" s="97" t="s">
        <v>43</v>
      </c>
      <c r="K14" s="97" t="s">
        <v>44</v>
      </c>
      <c r="L14" s="97" t="s">
        <v>45</v>
      </c>
      <c r="M14" s="97" t="s">
        <v>55</v>
      </c>
      <c r="N14" s="97"/>
      <c r="O14" s="97"/>
      <c r="P14" s="97"/>
      <c r="Q14" s="97"/>
      <c r="R14" s="97"/>
      <c r="S14" s="97"/>
      <c r="T14" s="112" t="s">
        <v>48</v>
      </c>
    </row>
    <row r="15" spans="3:20" x14ac:dyDescent="0.25"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113"/>
    </row>
    <row r="16" spans="3:20" x14ac:dyDescent="0.25"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113"/>
    </row>
    <row r="17" spans="3:20" ht="15.75" thickBot="1" x14ac:dyDescent="0.3">
      <c r="C17" s="24" t="s">
        <v>38</v>
      </c>
      <c r="D17" s="25">
        <v>2000</v>
      </c>
      <c r="E17" s="25">
        <v>79</v>
      </c>
      <c r="F17" s="35">
        <v>300</v>
      </c>
      <c r="G17" s="35">
        <v>300</v>
      </c>
      <c r="H17" s="35">
        <v>160</v>
      </c>
      <c r="I17" s="35">
        <v>48</v>
      </c>
      <c r="J17" s="35">
        <v>21</v>
      </c>
      <c r="K17" s="25">
        <v>120</v>
      </c>
      <c r="L17" s="35">
        <v>99</v>
      </c>
      <c r="M17" s="35">
        <v>30</v>
      </c>
      <c r="N17" s="35"/>
      <c r="O17" s="35"/>
      <c r="P17" s="35"/>
      <c r="Q17" s="35"/>
      <c r="R17" s="35"/>
      <c r="S17" s="35"/>
      <c r="T17" s="36">
        <f>D17+E17+F17+G17+H17+I17+J17+K17+L17+M17+N17+O17+P17+Q17+R17+S17</f>
        <v>3157</v>
      </c>
    </row>
    <row r="18" spans="3:20" x14ac:dyDescent="0.25">
      <c r="C18" s="88" t="s">
        <v>102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</row>
    <row r="19" spans="3:20" ht="15" customHeight="1" x14ac:dyDescent="0.25">
      <c r="C19" s="95" t="s">
        <v>37</v>
      </c>
      <c r="D19" s="97" t="s">
        <v>49</v>
      </c>
      <c r="E19" s="97" t="s">
        <v>50</v>
      </c>
      <c r="F19" s="97" t="s">
        <v>51</v>
      </c>
      <c r="G19" s="97" t="s">
        <v>52</v>
      </c>
      <c r="H19" s="97" t="s">
        <v>53</v>
      </c>
      <c r="I19" s="97" t="s">
        <v>54</v>
      </c>
      <c r="J19" s="97" t="s">
        <v>56</v>
      </c>
      <c r="K19" s="97" t="s">
        <v>57</v>
      </c>
      <c r="L19" s="97"/>
      <c r="M19" s="97"/>
      <c r="N19" s="97"/>
      <c r="O19" s="97"/>
      <c r="P19" s="97"/>
      <c r="Q19" s="97"/>
      <c r="R19" s="97"/>
      <c r="S19" s="97"/>
      <c r="T19" s="112" t="s">
        <v>48</v>
      </c>
    </row>
    <row r="20" spans="3:20" x14ac:dyDescent="0.25"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113"/>
    </row>
    <row r="21" spans="3:20" x14ac:dyDescent="0.25"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113"/>
    </row>
    <row r="22" spans="3:20" ht="15.75" thickBot="1" x14ac:dyDescent="0.3">
      <c r="C22" s="24" t="s">
        <v>38</v>
      </c>
      <c r="D22" s="25">
        <v>3000</v>
      </c>
      <c r="E22" s="25">
        <v>64</v>
      </c>
      <c r="F22" s="35">
        <v>25</v>
      </c>
      <c r="G22" s="35">
        <v>12</v>
      </c>
      <c r="H22" s="35">
        <v>150</v>
      </c>
      <c r="I22" s="35">
        <v>70</v>
      </c>
      <c r="J22" s="35">
        <v>30</v>
      </c>
      <c r="K22" s="25">
        <v>30</v>
      </c>
      <c r="L22" s="35"/>
      <c r="M22" s="35"/>
      <c r="N22" s="35"/>
      <c r="O22" s="35"/>
      <c r="P22" s="35"/>
      <c r="Q22" s="35"/>
      <c r="R22" s="35"/>
      <c r="S22" s="35"/>
      <c r="T22" s="36">
        <f>D22+E22+F22+G22+H22+I22+J22+K22+L22+M22+N22+O22+P22+Q22+R22+S22</f>
        <v>3381</v>
      </c>
    </row>
    <row r="23" spans="3:20" x14ac:dyDescent="0.25">
      <c r="C23" s="88" t="s">
        <v>74</v>
      </c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</row>
    <row r="24" spans="3:20" x14ac:dyDescent="0.25">
      <c r="C24" s="95" t="s">
        <v>37</v>
      </c>
      <c r="D24" s="97" t="s">
        <v>58</v>
      </c>
      <c r="E24" s="97" t="s">
        <v>59</v>
      </c>
      <c r="F24" s="97" t="s">
        <v>60</v>
      </c>
      <c r="G24" s="97" t="s">
        <v>61</v>
      </c>
      <c r="H24" s="97" t="s">
        <v>62</v>
      </c>
      <c r="I24" s="97" t="s">
        <v>63</v>
      </c>
      <c r="J24" s="97" t="s">
        <v>64</v>
      </c>
      <c r="K24" s="97" t="s">
        <v>65</v>
      </c>
      <c r="L24" s="97" t="s">
        <v>71</v>
      </c>
      <c r="M24" s="97" t="s">
        <v>66</v>
      </c>
      <c r="N24" s="97" t="s">
        <v>67</v>
      </c>
      <c r="O24" s="97" t="s">
        <v>68</v>
      </c>
      <c r="P24" s="97" t="s">
        <v>69</v>
      </c>
      <c r="Q24" s="97"/>
      <c r="R24" s="97"/>
      <c r="S24" s="97"/>
      <c r="T24" s="112"/>
    </row>
    <row r="25" spans="3:20" x14ac:dyDescent="0.25"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113"/>
    </row>
    <row r="26" spans="3:20" x14ac:dyDescent="0.25"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113"/>
    </row>
    <row r="27" spans="3:20" ht="15.75" thickBot="1" x14ac:dyDescent="0.3">
      <c r="C27" s="24" t="s">
        <v>38</v>
      </c>
      <c r="D27" s="25">
        <f>(C10/12) + T17+T22</f>
        <v>14871.333333333334</v>
      </c>
      <c r="E27" s="25">
        <f>(H9/12)+T17+T22</f>
        <v>36538</v>
      </c>
      <c r="F27" s="25">
        <f>(H10/12)+T17+T22</f>
        <v>28204.666666666668</v>
      </c>
      <c r="G27" s="25">
        <f>(H11/12)+T17+T22</f>
        <v>25426.888888888891</v>
      </c>
      <c r="H27" s="25">
        <f>(H12/12)+T17+T22</f>
        <v>24038</v>
      </c>
      <c r="I27" s="25">
        <f>(J9/12)+T17+T22</f>
        <v>23204.666666666668</v>
      </c>
      <c r="J27" s="26">
        <f>(J10/12)+T17+T22</f>
        <v>22649.111111111109</v>
      </c>
      <c r="K27" s="26">
        <f>(J11/12)+T17+T22</f>
        <v>22252.285714285717</v>
      </c>
      <c r="L27" s="26">
        <f>(J12/12)+T17+T22</f>
        <v>21954.666666666664</v>
      </c>
      <c r="M27" s="26">
        <f>(L9/12)+T17+T22</f>
        <v>21723.185185185182</v>
      </c>
      <c r="N27" s="26">
        <f>(L10/12)+T17+T22</f>
        <v>21538</v>
      </c>
      <c r="O27" s="26">
        <f>(L11/12)+T17+T22</f>
        <v>21386.484848484848</v>
      </c>
      <c r="P27" s="26">
        <f>(L12/12)+T17+T22</f>
        <v>21260.222222222219</v>
      </c>
      <c r="Q27" s="35"/>
      <c r="R27" s="35"/>
      <c r="S27" s="35"/>
      <c r="T27" s="36"/>
    </row>
    <row r="28" spans="3:20" x14ac:dyDescent="0.25">
      <c r="C28" s="88" t="s">
        <v>72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</row>
    <row r="29" spans="3:20" x14ac:dyDescent="0.25">
      <c r="C29" s="95" t="s">
        <v>37</v>
      </c>
      <c r="D29" s="97" t="s">
        <v>58</v>
      </c>
      <c r="E29" s="97" t="s">
        <v>73</v>
      </c>
      <c r="F29" s="97" t="s">
        <v>85</v>
      </c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112"/>
    </row>
    <row r="30" spans="3:20" x14ac:dyDescent="0.25"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113"/>
    </row>
    <row r="31" spans="3:20" x14ac:dyDescent="0.25"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113"/>
    </row>
    <row r="32" spans="3:20" ht="15.75" thickBot="1" x14ac:dyDescent="0.3">
      <c r="C32" s="24" t="s">
        <v>38</v>
      </c>
      <c r="D32" s="25">
        <f>(C10/12)+T22</f>
        <v>11714.333333333334</v>
      </c>
      <c r="E32" s="25">
        <f>(E10/12)+T22</f>
        <v>23381</v>
      </c>
      <c r="F32" s="25">
        <f>S7/12</f>
        <v>10000</v>
      </c>
      <c r="G32" s="25"/>
      <c r="H32" s="25"/>
      <c r="I32" s="31"/>
      <c r="J32" s="32"/>
      <c r="K32" s="32"/>
      <c r="L32" s="32"/>
      <c r="M32" s="26"/>
      <c r="N32" s="26"/>
      <c r="O32" s="26"/>
      <c r="P32" s="32"/>
      <c r="Q32" s="37"/>
      <c r="R32" s="35"/>
      <c r="S32" s="35"/>
      <c r="T32" s="36"/>
    </row>
    <row r="33" spans="3:20" ht="15" customHeight="1" x14ac:dyDescent="0.25">
      <c r="C33" s="88" t="s">
        <v>86</v>
      </c>
      <c r="D33" s="88"/>
      <c r="E33" s="88"/>
      <c r="F33" s="117"/>
      <c r="G33" s="118" t="s">
        <v>75</v>
      </c>
      <c r="H33" s="119"/>
      <c r="I33" s="132" t="s">
        <v>83</v>
      </c>
      <c r="J33" s="133"/>
      <c r="K33" s="132" t="s">
        <v>84</v>
      </c>
      <c r="L33" s="133"/>
      <c r="M33" s="140" t="s">
        <v>87</v>
      </c>
      <c r="N33" s="145" t="s">
        <v>89</v>
      </c>
      <c r="O33" s="146"/>
      <c r="P33" s="153" t="s">
        <v>88</v>
      </c>
      <c r="Q33" s="153" t="s">
        <v>117</v>
      </c>
      <c r="R33" s="140" t="s">
        <v>90</v>
      </c>
      <c r="S33" s="146" t="s">
        <v>91</v>
      </c>
      <c r="T33" s="140" t="s">
        <v>92</v>
      </c>
    </row>
    <row r="34" spans="3:20" ht="26.25" customHeight="1" thickBot="1" x14ac:dyDescent="0.3">
      <c r="C34" s="88"/>
      <c r="D34" s="88"/>
      <c r="E34" s="88"/>
      <c r="F34" s="117"/>
      <c r="G34" s="120"/>
      <c r="H34" s="121"/>
      <c r="I34" s="134"/>
      <c r="J34" s="135"/>
      <c r="K34" s="134"/>
      <c r="L34" s="135"/>
      <c r="M34" s="141"/>
      <c r="N34" s="147"/>
      <c r="O34" s="148"/>
      <c r="P34" s="154"/>
      <c r="Q34" s="154"/>
      <c r="R34" s="141"/>
      <c r="S34" s="146"/>
      <c r="T34" s="141"/>
    </row>
    <row r="35" spans="3:20" ht="30" x14ac:dyDescent="0.25">
      <c r="C35" s="114" t="s">
        <v>70</v>
      </c>
      <c r="D35" s="28" t="s">
        <v>80</v>
      </c>
      <c r="E35" s="28" t="s">
        <v>81</v>
      </c>
      <c r="F35" s="29" t="s">
        <v>82</v>
      </c>
      <c r="G35" s="122">
        <v>55</v>
      </c>
      <c r="H35" s="123"/>
      <c r="I35" s="136" t="s">
        <v>76</v>
      </c>
      <c r="J35" s="169"/>
      <c r="K35" s="136" t="s">
        <v>77</v>
      </c>
      <c r="L35" s="137"/>
      <c r="M35" s="142">
        <v>2</v>
      </c>
      <c r="N35" s="149">
        <f>((3*35) / M35) * 4</f>
        <v>210</v>
      </c>
      <c r="O35" s="150"/>
      <c r="P35" s="172">
        <f>N35*K36</f>
        <v>22486.695000000003</v>
      </c>
      <c r="Q35" s="174">
        <f>ROUNDUP(D32/K36, 0)</f>
        <v>110</v>
      </c>
      <c r="R35" s="161">
        <f>P35-D32</f>
        <v>10772.361666666669</v>
      </c>
      <c r="S35" s="170">
        <f>P35-E32</f>
        <v>-894.30499999999665</v>
      </c>
      <c r="T35" s="161">
        <f>(P35-(E32/12))*12</f>
        <v>246459.34000000003</v>
      </c>
    </row>
    <row r="36" spans="3:20" ht="15.75" thickBot="1" x14ac:dyDescent="0.3">
      <c r="C36" s="115"/>
      <c r="D36" s="27">
        <v>72.56</v>
      </c>
      <c r="E36" s="27">
        <v>122.13</v>
      </c>
      <c r="F36" s="30">
        <v>194.69</v>
      </c>
      <c r="G36" s="124"/>
      <c r="H36" s="125"/>
      <c r="I36" s="138">
        <f>((F36/100)*G35)+F36</f>
        <v>301.76949999999999</v>
      </c>
      <c r="J36" s="139"/>
      <c r="K36" s="138">
        <f>(F36/100)*G35</f>
        <v>107.07950000000001</v>
      </c>
      <c r="L36" s="167"/>
      <c r="M36" s="143"/>
      <c r="N36" s="136"/>
      <c r="O36" s="137"/>
      <c r="P36" s="136"/>
      <c r="Q36" s="137"/>
      <c r="R36" s="162"/>
      <c r="S36" s="167"/>
      <c r="T36" s="162"/>
    </row>
    <row r="37" spans="3:20" ht="30" x14ac:dyDescent="0.25">
      <c r="C37" s="114" t="s">
        <v>78</v>
      </c>
      <c r="D37" s="28" t="s">
        <v>80</v>
      </c>
      <c r="E37" s="28" t="s">
        <v>81</v>
      </c>
      <c r="F37" s="29" t="s">
        <v>82</v>
      </c>
      <c r="G37" s="126">
        <v>55</v>
      </c>
      <c r="H37" s="127"/>
      <c r="I37" s="136" t="s">
        <v>76</v>
      </c>
      <c r="J37" s="169"/>
      <c r="K37" s="136" t="s">
        <v>77</v>
      </c>
      <c r="L37" s="137"/>
      <c r="M37" s="143">
        <v>4</v>
      </c>
      <c r="N37" s="136">
        <f t="shared" ref="N37" si="4">((3*35) / M37) * 4</f>
        <v>105</v>
      </c>
      <c r="O37" s="137"/>
      <c r="P37" s="173">
        <f t="shared" ref="P37" si="5">N37*K38</f>
        <v>36200.587500000001</v>
      </c>
      <c r="Q37" s="137">
        <f>ROUNDUP(D32/K38, 0)</f>
        <v>34</v>
      </c>
      <c r="R37" s="163">
        <f>P37-D32</f>
        <v>24486.254166666666</v>
      </c>
      <c r="S37" s="171">
        <f>R37-E32</f>
        <v>1105.2541666666657</v>
      </c>
      <c r="T37" s="163">
        <f>(P37-(E32/12))*12</f>
        <v>411026.05000000005</v>
      </c>
    </row>
    <row r="38" spans="3:20" ht="15.75" thickBot="1" x14ac:dyDescent="0.3">
      <c r="C38" s="115"/>
      <c r="D38" s="27">
        <v>346.7</v>
      </c>
      <c r="E38" s="27">
        <v>280.14999999999998</v>
      </c>
      <c r="F38" s="30">
        <v>626.85</v>
      </c>
      <c r="G38" s="128"/>
      <c r="H38" s="129"/>
      <c r="I38" s="138">
        <f>((F38/100)*G37)+F38</f>
        <v>971.61750000000006</v>
      </c>
      <c r="J38" s="139"/>
      <c r="K38" s="138">
        <f>(F38/100)*G37</f>
        <v>344.76750000000004</v>
      </c>
      <c r="L38" s="167"/>
      <c r="M38" s="143"/>
      <c r="N38" s="136"/>
      <c r="O38" s="137"/>
      <c r="P38" s="136"/>
      <c r="Q38" s="137"/>
      <c r="R38" s="162"/>
      <c r="S38" s="167"/>
      <c r="T38" s="162"/>
    </row>
    <row r="39" spans="3:20" ht="30" x14ac:dyDescent="0.25">
      <c r="C39" s="114" t="s">
        <v>79</v>
      </c>
      <c r="D39" s="28" t="s">
        <v>80</v>
      </c>
      <c r="E39" s="28" t="s">
        <v>81</v>
      </c>
      <c r="F39" s="29" t="s">
        <v>82</v>
      </c>
      <c r="G39" s="126">
        <v>55</v>
      </c>
      <c r="H39" s="127"/>
      <c r="I39" s="136" t="s">
        <v>76</v>
      </c>
      <c r="J39" s="169"/>
      <c r="K39" s="136" t="s">
        <v>77</v>
      </c>
      <c r="L39" s="137"/>
      <c r="M39" s="143">
        <v>5</v>
      </c>
      <c r="N39" s="136">
        <f t="shared" ref="N39" si="6">((3*35) / M39) * 4</f>
        <v>84</v>
      </c>
      <c r="O39" s="137"/>
      <c r="P39" s="173">
        <f t="shared" ref="P39" si="7">N39*K40</f>
        <v>62920.242000000006</v>
      </c>
      <c r="Q39" s="137">
        <f>ROUNDUP(D32/K40, 0)</f>
        <v>16</v>
      </c>
      <c r="R39" s="163">
        <f>P39-D32</f>
        <v>51205.90866666667</v>
      </c>
      <c r="S39" s="171">
        <f>R39-E32</f>
        <v>27824.90866666667</v>
      </c>
      <c r="T39" s="163">
        <f>(P39-(E32/12))*12</f>
        <v>731661.9040000001</v>
      </c>
    </row>
    <row r="40" spans="3:20" ht="15.75" thickBot="1" x14ac:dyDescent="0.3">
      <c r="C40" s="116"/>
      <c r="D40" s="33">
        <v>749</v>
      </c>
      <c r="E40" s="33">
        <v>612.91</v>
      </c>
      <c r="F40" s="34">
        <v>1361.91</v>
      </c>
      <c r="G40" s="130"/>
      <c r="H40" s="131"/>
      <c r="I40" s="165">
        <f>((F40/100)*G39)+F40</f>
        <v>2110.9605000000001</v>
      </c>
      <c r="J40" s="166"/>
      <c r="K40" s="165">
        <f>(F40/100)*G39</f>
        <v>749.05050000000006</v>
      </c>
      <c r="L40" s="168"/>
      <c r="M40" s="144"/>
      <c r="N40" s="151"/>
      <c r="O40" s="152"/>
      <c r="P40" s="151"/>
      <c r="Q40" s="152"/>
      <c r="R40" s="164"/>
      <c r="S40" s="168"/>
      <c r="T40" s="164"/>
    </row>
    <row r="41" spans="3:20" x14ac:dyDescent="0.25">
      <c r="C41" s="155" t="s">
        <v>105</v>
      </c>
      <c r="D41" s="156"/>
      <c r="E41" s="156"/>
      <c r="F41" s="157"/>
      <c r="G41" s="155" t="s">
        <v>106</v>
      </c>
      <c r="H41" s="156"/>
      <c r="I41" s="156"/>
      <c r="J41" s="157"/>
      <c r="K41" s="155" t="s">
        <v>114</v>
      </c>
      <c r="L41" s="156"/>
      <c r="M41" s="156"/>
      <c r="N41" s="156"/>
      <c r="O41" s="156"/>
      <c r="P41" s="156"/>
      <c r="Q41" s="156"/>
      <c r="R41" s="156"/>
      <c r="S41" s="156"/>
      <c r="T41" s="157"/>
    </row>
    <row r="42" spans="3:20" ht="15.75" thickBot="1" x14ac:dyDescent="0.3">
      <c r="C42" s="158"/>
      <c r="D42" s="159"/>
      <c r="E42" s="159"/>
      <c r="F42" s="160"/>
      <c r="G42" s="158"/>
      <c r="H42" s="159"/>
      <c r="I42" s="159"/>
      <c r="J42" s="160"/>
      <c r="K42" s="191"/>
      <c r="L42" s="192"/>
      <c r="M42" s="192"/>
      <c r="N42" s="192"/>
      <c r="O42" s="192"/>
      <c r="P42" s="192"/>
      <c r="Q42" s="192"/>
      <c r="R42" s="192"/>
      <c r="S42" s="192"/>
      <c r="T42" s="193"/>
    </row>
    <row r="43" spans="3:20" ht="15" customHeight="1" x14ac:dyDescent="0.25">
      <c r="C43" s="175"/>
      <c r="D43" s="176" t="s">
        <v>96</v>
      </c>
      <c r="E43" s="176" t="s">
        <v>97</v>
      </c>
      <c r="F43" s="178" t="s">
        <v>98</v>
      </c>
      <c r="G43" s="149"/>
      <c r="H43" s="188" t="s">
        <v>96</v>
      </c>
      <c r="I43" s="188" t="s">
        <v>97</v>
      </c>
      <c r="J43" s="150" t="s">
        <v>98</v>
      </c>
      <c r="K43" s="194" t="s">
        <v>107</v>
      </c>
      <c r="L43" s="196" t="s">
        <v>108</v>
      </c>
      <c r="M43" s="196" t="s">
        <v>109</v>
      </c>
      <c r="N43" s="188" t="s">
        <v>110</v>
      </c>
      <c r="O43" s="196" t="s">
        <v>111</v>
      </c>
      <c r="P43" s="188" t="s">
        <v>112</v>
      </c>
      <c r="Q43" s="196" t="s">
        <v>113</v>
      </c>
      <c r="R43" s="188"/>
      <c r="S43" s="188"/>
      <c r="T43" s="202" t="s">
        <v>48</v>
      </c>
    </row>
    <row r="44" spans="3:20" ht="15.75" thickBot="1" x14ac:dyDescent="0.3">
      <c r="C44" s="136"/>
      <c r="D44" s="177"/>
      <c r="E44" s="177"/>
      <c r="F44" s="169"/>
      <c r="G44" s="136"/>
      <c r="H44" s="177"/>
      <c r="I44" s="177"/>
      <c r="J44" s="137"/>
      <c r="K44" s="195"/>
      <c r="L44" s="197"/>
      <c r="M44" s="197"/>
      <c r="N44" s="198"/>
      <c r="O44" s="197"/>
      <c r="P44" s="198"/>
      <c r="Q44" s="197"/>
      <c r="R44" s="198"/>
      <c r="S44" s="198"/>
      <c r="T44" s="203"/>
    </row>
    <row r="45" spans="3:20" ht="30" customHeight="1" x14ac:dyDescent="0.25">
      <c r="C45" s="96" t="s">
        <v>93</v>
      </c>
      <c r="D45" s="179">
        <f>D27 + (D32*11)</f>
        <v>143729</v>
      </c>
      <c r="E45" s="179">
        <f>12*D32</f>
        <v>140572</v>
      </c>
      <c r="F45" s="180">
        <f>12*D32</f>
        <v>140572</v>
      </c>
      <c r="G45" s="96" t="s">
        <v>93</v>
      </c>
      <c r="H45" s="187">
        <f>D27 + (D32*11)</f>
        <v>143729</v>
      </c>
      <c r="I45" s="179">
        <f>E27+((E32+F32)*11)</f>
        <v>403729</v>
      </c>
      <c r="J45" s="189">
        <f>F27+(((E32*2)+F32)*11)</f>
        <v>652586.66666666663</v>
      </c>
      <c r="K45" s="45">
        <f>15000 / 12</f>
        <v>1250</v>
      </c>
      <c r="L45" s="45">
        <v>200</v>
      </c>
      <c r="M45" s="45">
        <v>0</v>
      </c>
      <c r="N45" s="45">
        <v>300</v>
      </c>
      <c r="O45" s="45">
        <v>130</v>
      </c>
      <c r="P45" s="45">
        <v>80</v>
      </c>
      <c r="Q45" s="45">
        <v>200</v>
      </c>
      <c r="R45" s="45"/>
      <c r="S45" s="45"/>
      <c r="T45" s="199">
        <f>K45+L45+M45+N45+O45+P45+Q45+R45+S45</f>
        <v>2160</v>
      </c>
    </row>
    <row r="46" spans="3:20" x14ac:dyDescent="0.25">
      <c r="C46" s="96"/>
      <c r="D46" s="179"/>
      <c r="E46" s="179"/>
      <c r="F46" s="180"/>
      <c r="G46" s="96"/>
      <c r="H46" s="176"/>
      <c r="I46" s="179"/>
      <c r="J46" s="190"/>
      <c r="K46" s="46"/>
      <c r="L46" s="46"/>
      <c r="M46" s="46"/>
      <c r="N46" s="46"/>
      <c r="O46" s="46"/>
      <c r="P46" s="46"/>
      <c r="Q46" s="46"/>
      <c r="R46" s="46"/>
      <c r="S46" s="46"/>
      <c r="T46" s="200"/>
    </row>
    <row r="47" spans="3:20" x14ac:dyDescent="0.25">
      <c r="C47" s="136" t="s">
        <v>94</v>
      </c>
      <c r="D47" s="179">
        <f>R35*12</f>
        <v>129268.34000000003</v>
      </c>
      <c r="E47" s="179">
        <f>R35*12</f>
        <v>129268.34000000003</v>
      </c>
      <c r="F47" s="180">
        <f>R35*12</f>
        <v>129268.34000000003</v>
      </c>
      <c r="G47" s="136" t="s">
        <v>94</v>
      </c>
      <c r="H47" s="179">
        <f>R35*12</f>
        <v>129268.34000000003</v>
      </c>
      <c r="I47" s="179">
        <f>(P35*12)*2</f>
        <v>539680.68000000005</v>
      </c>
      <c r="J47" s="185">
        <f>(P35*12)*3</f>
        <v>809521.02</v>
      </c>
      <c r="K47" s="46"/>
      <c r="L47" s="46"/>
      <c r="M47" s="46"/>
      <c r="N47" s="46"/>
      <c r="O47" s="46"/>
      <c r="P47" s="46"/>
      <c r="Q47" s="46"/>
      <c r="R47" s="46"/>
      <c r="S47" s="46"/>
      <c r="T47" s="200"/>
    </row>
    <row r="48" spans="3:20" x14ac:dyDescent="0.25">
      <c r="C48" s="136"/>
      <c r="D48" s="179"/>
      <c r="E48" s="179"/>
      <c r="F48" s="180"/>
      <c r="G48" s="136"/>
      <c r="H48" s="179"/>
      <c r="I48" s="179"/>
      <c r="J48" s="185"/>
      <c r="K48" s="46"/>
      <c r="L48" s="46"/>
      <c r="M48" s="46"/>
      <c r="N48" s="46"/>
      <c r="O48" s="46"/>
      <c r="P48" s="46"/>
      <c r="Q48" s="46"/>
      <c r="R48" s="46"/>
      <c r="S48" s="46"/>
      <c r="T48" s="200"/>
    </row>
    <row r="49" spans="3:20" x14ac:dyDescent="0.25">
      <c r="C49" s="136" t="s">
        <v>95</v>
      </c>
      <c r="D49" s="179">
        <f>12*R39</f>
        <v>614470.9040000001</v>
      </c>
      <c r="E49" s="182">
        <f>12*R39</f>
        <v>614470.9040000001</v>
      </c>
      <c r="F49" s="180">
        <f>12*R39</f>
        <v>614470.9040000001</v>
      </c>
      <c r="G49" s="136" t="s">
        <v>95</v>
      </c>
      <c r="H49" s="179">
        <f>12*R39</f>
        <v>614470.9040000001</v>
      </c>
      <c r="I49" s="182">
        <f>(P39*12)*2</f>
        <v>1510085.8080000002</v>
      </c>
      <c r="J49" s="185">
        <f>(P39*12)*3</f>
        <v>2265128.7120000003</v>
      </c>
      <c r="K49" s="46"/>
      <c r="L49" s="46"/>
      <c r="M49" s="46"/>
      <c r="N49" s="46"/>
      <c r="O49" s="46"/>
      <c r="P49" s="46"/>
      <c r="Q49" s="46"/>
      <c r="R49" s="46"/>
      <c r="S49" s="46"/>
      <c r="T49" s="200"/>
    </row>
    <row r="50" spans="3:20" ht="15.75" thickBot="1" x14ac:dyDescent="0.3">
      <c r="C50" s="151"/>
      <c r="D50" s="181"/>
      <c r="E50" s="183"/>
      <c r="F50" s="184"/>
      <c r="G50" s="151"/>
      <c r="H50" s="181"/>
      <c r="I50" s="183"/>
      <c r="J50" s="186"/>
      <c r="K50" s="47"/>
      <c r="L50" s="47"/>
      <c r="M50" s="47"/>
      <c r="N50" s="47"/>
      <c r="O50" s="47"/>
      <c r="P50" s="47"/>
      <c r="Q50" s="47"/>
      <c r="R50" s="47"/>
      <c r="S50" s="47"/>
      <c r="T50" s="201"/>
    </row>
    <row r="55" spans="3:20" x14ac:dyDescent="0.25">
      <c r="F55">
        <v>70</v>
      </c>
      <c r="G55">
        <v>25</v>
      </c>
      <c r="H55">
        <v>5</v>
      </c>
      <c r="I55" t="s">
        <v>48</v>
      </c>
    </row>
    <row r="56" spans="3:20" x14ac:dyDescent="0.25">
      <c r="E56" t="s">
        <v>48</v>
      </c>
      <c r="F56" s="38">
        <f>I36*70</f>
        <v>21123.864999999998</v>
      </c>
      <c r="G56" s="38">
        <f>I38*G55</f>
        <v>24290.4375</v>
      </c>
      <c r="H56" s="38">
        <f>H55*I40</f>
        <v>10554.802500000002</v>
      </c>
      <c r="I56" s="38">
        <f>F56+G56+H56</f>
        <v>55969.104999999996</v>
      </c>
    </row>
    <row r="57" spans="3:20" x14ac:dyDescent="0.25">
      <c r="E57" t="s">
        <v>115</v>
      </c>
      <c r="F57" s="38">
        <f>F55*K36</f>
        <v>7495.5650000000005</v>
      </c>
      <c r="G57" s="38">
        <f>G55*K38</f>
        <v>8619.1875000000018</v>
      </c>
      <c r="H57" s="38">
        <f>H55*K40</f>
        <v>3745.2525000000005</v>
      </c>
      <c r="I57" s="38">
        <f>F57+G57+H57</f>
        <v>19860.005000000005</v>
      </c>
    </row>
    <row r="59" spans="3:20" x14ac:dyDescent="0.25">
      <c r="E59" t="s">
        <v>116</v>
      </c>
      <c r="F59" s="204">
        <f>L59/F55</f>
        <v>2008.1714285714286</v>
      </c>
      <c r="G59" s="204">
        <f>L59/G55</f>
        <v>5622.88</v>
      </c>
      <c r="H59" s="204">
        <f>L59/H55</f>
        <v>28114.400000000001</v>
      </c>
      <c r="L59" s="204">
        <f>D32*12</f>
        <v>140572</v>
      </c>
    </row>
    <row r="60" spans="3:20" x14ac:dyDescent="0.25">
      <c r="F60">
        <f>F59/K36</f>
        <v>18.754023212392926</v>
      </c>
    </row>
  </sheetData>
  <mergeCells count="209">
    <mergeCell ref="G43:G44"/>
    <mergeCell ref="H43:H44"/>
    <mergeCell ref="I43:I44"/>
    <mergeCell ref="J43:J44"/>
    <mergeCell ref="G45:G46"/>
    <mergeCell ref="I45:I46"/>
    <mergeCell ref="J45:J46"/>
    <mergeCell ref="K41:T42"/>
    <mergeCell ref="K43:K44"/>
    <mergeCell ref="L43:L44"/>
    <mergeCell ref="M43:M44"/>
    <mergeCell ref="N43:N44"/>
    <mergeCell ref="O43:O44"/>
    <mergeCell ref="T45:T50"/>
    <mergeCell ref="P43:P44"/>
    <mergeCell ref="Q43:Q44"/>
    <mergeCell ref="R43:R44"/>
    <mergeCell ref="S43:S44"/>
    <mergeCell ref="T43:T44"/>
    <mergeCell ref="R45:R50"/>
    <mergeCell ref="S45:S50"/>
    <mergeCell ref="G47:G48"/>
    <mergeCell ref="H47:H48"/>
    <mergeCell ref="I47:I48"/>
    <mergeCell ref="J47:J48"/>
    <mergeCell ref="G49:G50"/>
    <mergeCell ref="H49:H50"/>
    <mergeCell ref="I49:I50"/>
    <mergeCell ref="J49:J50"/>
    <mergeCell ref="H45:H46"/>
    <mergeCell ref="C43:C44"/>
    <mergeCell ref="C45:C46"/>
    <mergeCell ref="C47:C48"/>
    <mergeCell ref="C49:C50"/>
    <mergeCell ref="D43:D44"/>
    <mergeCell ref="E43:E44"/>
    <mergeCell ref="F43:F44"/>
    <mergeCell ref="D45:D46"/>
    <mergeCell ref="E45:E46"/>
    <mergeCell ref="F45:F46"/>
    <mergeCell ref="D47:D48"/>
    <mergeCell ref="E47:E48"/>
    <mergeCell ref="F47:F48"/>
    <mergeCell ref="D49:D50"/>
    <mergeCell ref="E49:E50"/>
    <mergeCell ref="F49:F50"/>
    <mergeCell ref="S33:S34"/>
    <mergeCell ref="T33:T34"/>
    <mergeCell ref="T35:T36"/>
    <mergeCell ref="T37:T38"/>
    <mergeCell ref="S35:S36"/>
    <mergeCell ref="S37:S38"/>
    <mergeCell ref="S39:S40"/>
    <mergeCell ref="T39:T40"/>
    <mergeCell ref="P35:P36"/>
    <mergeCell ref="P37:P38"/>
    <mergeCell ref="P39:P40"/>
    <mergeCell ref="Q33:Q34"/>
    <mergeCell ref="Q35:Q36"/>
    <mergeCell ref="Q37:Q38"/>
    <mergeCell ref="Q39:Q40"/>
    <mergeCell ref="C41:F42"/>
    <mergeCell ref="R33:R34"/>
    <mergeCell ref="R35:R36"/>
    <mergeCell ref="R37:R38"/>
    <mergeCell ref="R39:R40"/>
    <mergeCell ref="I40:J40"/>
    <mergeCell ref="K36:L36"/>
    <mergeCell ref="K38:L38"/>
    <mergeCell ref="K40:L40"/>
    <mergeCell ref="G41:J42"/>
    <mergeCell ref="I35:J35"/>
    <mergeCell ref="I37:J37"/>
    <mergeCell ref="I39:J39"/>
    <mergeCell ref="O24:O26"/>
    <mergeCell ref="P24:P26"/>
    <mergeCell ref="I33:J34"/>
    <mergeCell ref="M29:M31"/>
    <mergeCell ref="K33:L34"/>
    <mergeCell ref="K35:L35"/>
    <mergeCell ref="K37:L37"/>
    <mergeCell ref="K39:L39"/>
    <mergeCell ref="I36:J36"/>
    <mergeCell ref="I38:J38"/>
    <mergeCell ref="M33:M34"/>
    <mergeCell ref="M35:M36"/>
    <mergeCell ref="M37:M38"/>
    <mergeCell ref="M39:M40"/>
    <mergeCell ref="N33:O34"/>
    <mergeCell ref="N35:O36"/>
    <mergeCell ref="N37:O38"/>
    <mergeCell ref="N39:O40"/>
    <mergeCell ref="P33:P34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R24:R26"/>
    <mergeCell ref="S24:S26"/>
    <mergeCell ref="T24:T26"/>
    <mergeCell ref="N29:N31"/>
    <mergeCell ref="O29:O31"/>
    <mergeCell ref="P29:P31"/>
    <mergeCell ref="Q29:Q31"/>
    <mergeCell ref="R29:R31"/>
    <mergeCell ref="S29:S31"/>
    <mergeCell ref="T29:T31"/>
    <mergeCell ref="C28:T28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C24:C26"/>
    <mergeCell ref="D24:D26"/>
    <mergeCell ref="E24:E26"/>
    <mergeCell ref="T19:T21"/>
    <mergeCell ref="O19:O21"/>
    <mergeCell ref="P19:P21"/>
    <mergeCell ref="Q19:Q21"/>
    <mergeCell ref="S19:S21"/>
    <mergeCell ref="R19:R21"/>
    <mergeCell ref="C18:T18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S9:T11"/>
    <mergeCell ref="C13:T13"/>
    <mergeCell ref="C10:D12"/>
    <mergeCell ref="E10:F12"/>
    <mergeCell ref="G8:L8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2:N12"/>
    <mergeCell ref="S12:T12"/>
    <mergeCell ref="M9:N9"/>
    <mergeCell ref="M10:N10"/>
    <mergeCell ref="M11:N11"/>
    <mergeCell ref="M8:T8"/>
    <mergeCell ref="R14:R16"/>
    <mergeCell ref="S14:S16"/>
    <mergeCell ref="T14:T16"/>
    <mergeCell ref="C1:L1"/>
    <mergeCell ref="M2:N2"/>
    <mergeCell ref="S2:T5"/>
    <mergeCell ref="M3:N3"/>
    <mergeCell ref="S6:T6"/>
    <mergeCell ref="S7:T7"/>
    <mergeCell ref="M1:T1"/>
    <mergeCell ref="M4:N4"/>
    <mergeCell ref="M5:N5"/>
    <mergeCell ref="M6:N6"/>
    <mergeCell ref="M7:N7"/>
    <mergeCell ref="C2:D2"/>
    <mergeCell ref="K7:L7"/>
    <mergeCell ref="K6:L6"/>
    <mergeCell ref="C3:D3"/>
    <mergeCell ref="K2:L5"/>
    <mergeCell ref="C8:D9"/>
    <mergeCell ref="E8:F9"/>
    <mergeCell ref="K45:K50"/>
    <mergeCell ref="L45:L50"/>
    <mergeCell ref="M45:M50"/>
    <mergeCell ref="N45:N50"/>
    <mergeCell ref="O45:O50"/>
    <mergeCell ref="P45:P50"/>
    <mergeCell ref="Q45:Q50"/>
    <mergeCell ref="M14:M16"/>
    <mergeCell ref="N14:N16"/>
    <mergeCell ref="O14:O16"/>
    <mergeCell ref="P14:P16"/>
    <mergeCell ref="Q14:Q16"/>
    <mergeCell ref="Q24:Q26"/>
    <mergeCell ref="C23:T23"/>
    <mergeCell ref="C35:C36"/>
    <mergeCell ref="C37:C38"/>
    <mergeCell ref="C39:C40"/>
    <mergeCell ref="C33:F34"/>
    <mergeCell ref="G33:H34"/>
    <mergeCell ref="G35:H36"/>
    <mergeCell ref="G37:H38"/>
    <mergeCell ref="G39:H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2022-05-04T06:47:05Z</dcterms:created>
  <dcterms:modified xsi:type="dcterms:W3CDTF">2022-05-09T20:48:12Z</dcterms:modified>
</cp:coreProperties>
</file>