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汇总" sheetId="1" r:id="rId1"/>
    <sheet name="第一周" sheetId="3" r:id="rId2"/>
    <sheet name="第二周" sheetId="2" r:id="rId3"/>
    <sheet name="第三周" sheetId="4" r:id="rId4"/>
    <sheet name="Sheet1" sheetId="6" r:id="rId5"/>
    <sheet name="第四周" sheetId="5" r:id="rId6"/>
    <sheet name="Sheet3" sheetId="8" r:id="rId7"/>
    <sheet name="第五周" sheetId="7" r:id="rId8"/>
    <sheet name="Sheet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7" l="1"/>
  <c r="L3" i="7" l="1"/>
  <c r="H7" i="7"/>
  <c r="H6" i="7"/>
  <c r="H5" i="7"/>
  <c r="H4" i="7"/>
  <c r="H3" i="7" l="1"/>
  <c r="J3" i="5"/>
  <c r="J2" i="5"/>
  <c r="K4" i="5" l="1"/>
  <c r="K5" i="5"/>
  <c r="K6" i="5"/>
  <c r="K8" i="5"/>
  <c r="G8" i="8"/>
  <c r="G3" i="8"/>
  <c r="G7" i="8"/>
  <c r="G12" i="8"/>
  <c r="G11" i="8"/>
  <c r="G9" i="8"/>
  <c r="G2" i="8"/>
  <c r="G10" i="8"/>
  <c r="G5" i="8"/>
  <c r="I9" i="5"/>
  <c r="M14" i="5"/>
  <c r="M15" i="5"/>
  <c r="B31" i="1"/>
  <c r="C31" i="1"/>
  <c r="D31" i="1"/>
  <c r="E31" i="1"/>
  <c r="F31" i="1"/>
  <c r="H31" i="1"/>
  <c r="I31" i="1"/>
  <c r="J31" i="1"/>
  <c r="L31" i="1"/>
  <c r="M31" i="1"/>
  <c r="B32" i="1"/>
  <c r="C32" i="1"/>
  <c r="D32" i="1"/>
  <c r="E32" i="1"/>
  <c r="F32" i="1"/>
  <c r="H32" i="1"/>
  <c r="I32" i="1"/>
  <c r="J32" i="1"/>
  <c r="L32" i="1"/>
  <c r="M32" i="1"/>
  <c r="B33" i="1"/>
  <c r="C33" i="1"/>
  <c r="D33" i="1"/>
  <c r="E33" i="1"/>
  <c r="F33" i="1"/>
  <c r="H33" i="1"/>
  <c r="I33" i="1"/>
  <c r="J33" i="1"/>
  <c r="L33" i="1"/>
  <c r="M33" i="1"/>
  <c r="B34" i="1"/>
  <c r="C34" i="1"/>
  <c r="D34" i="1"/>
  <c r="E34" i="1"/>
  <c r="F34" i="1"/>
  <c r="H34" i="1"/>
  <c r="I34" i="1"/>
  <c r="J34" i="1"/>
  <c r="L34" i="1"/>
  <c r="M34" i="1"/>
  <c r="B35" i="1"/>
  <c r="C35" i="1"/>
  <c r="D35" i="1"/>
  <c r="E35" i="1"/>
  <c r="F35" i="1"/>
  <c r="H35" i="1"/>
  <c r="I35" i="1"/>
  <c r="J35" i="1"/>
  <c r="L35" i="1"/>
  <c r="M35" i="1"/>
  <c r="B36" i="1"/>
  <c r="C36" i="1"/>
  <c r="D36" i="1"/>
  <c r="E36" i="1"/>
  <c r="F36" i="1"/>
  <c r="H36" i="1"/>
  <c r="I36" i="1"/>
  <c r="J36" i="1"/>
  <c r="L36" i="1"/>
  <c r="M36" i="1"/>
  <c r="C30" i="1"/>
  <c r="D30" i="1"/>
  <c r="E30" i="1"/>
  <c r="F30" i="1"/>
  <c r="H30" i="1"/>
  <c r="I30" i="1"/>
  <c r="J30" i="1"/>
  <c r="L30" i="1"/>
  <c r="M30" i="1"/>
  <c r="B30" i="1"/>
  <c r="V3" i="5"/>
  <c r="U3" i="5" s="1"/>
  <c r="V4" i="5"/>
  <c r="U4" i="5" s="1"/>
  <c r="V5" i="5"/>
  <c r="U5" i="5" s="1"/>
  <c r="V6" i="5"/>
  <c r="U6" i="5" s="1"/>
  <c r="V7" i="5"/>
  <c r="U7" i="5" s="1"/>
  <c r="V8" i="5"/>
  <c r="U8" i="5" s="1"/>
  <c r="V2" i="5"/>
  <c r="U2" i="5" s="1"/>
  <c r="R6" i="5"/>
  <c r="Q6" i="5" s="1"/>
  <c r="R2" i="5"/>
  <c r="Q2" i="5" s="1"/>
  <c r="R3" i="5"/>
  <c r="Q3" i="5" s="1"/>
  <c r="R4" i="5"/>
  <c r="Q4" i="5" s="1"/>
  <c r="R5" i="5"/>
  <c r="Q5" i="5" s="1"/>
  <c r="R7" i="5"/>
  <c r="Q7" i="5" s="1"/>
  <c r="R8" i="5"/>
  <c r="Q8" i="5" s="1"/>
  <c r="O8" i="7"/>
  <c r="N8" i="7"/>
  <c r="N36" i="1" s="1"/>
  <c r="K8" i="7"/>
  <c r="K36" i="1" s="1"/>
  <c r="G8" i="7"/>
  <c r="G36" i="1" s="1"/>
  <c r="O7" i="7"/>
  <c r="N7" i="7"/>
  <c r="N35" i="1" s="1"/>
  <c r="K7" i="7"/>
  <c r="K35" i="1" s="1"/>
  <c r="G7" i="7"/>
  <c r="G35" i="1" s="1"/>
  <c r="O6" i="7"/>
  <c r="N6" i="7"/>
  <c r="N34" i="1" s="1"/>
  <c r="K6" i="7"/>
  <c r="K34" i="1" s="1"/>
  <c r="G6" i="7"/>
  <c r="G34" i="1" s="1"/>
  <c r="O5" i="7"/>
  <c r="N5" i="7"/>
  <c r="N33" i="1" s="1"/>
  <c r="K5" i="7"/>
  <c r="K33" i="1" s="1"/>
  <c r="G5" i="7"/>
  <c r="G33" i="1" s="1"/>
  <c r="O4" i="7"/>
  <c r="N4" i="7"/>
  <c r="N32" i="1" s="1"/>
  <c r="K4" i="7"/>
  <c r="K32" i="1" s="1"/>
  <c r="G4" i="7"/>
  <c r="G32" i="1" s="1"/>
  <c r="O3" i="7"/>
  <c r="N3" i="7"/>
  <c r="N31" i="1" s="1"/>
  <c r="K3" i="7"/>
  <c r="K31" i="1" s="1"/>
  <c r="G3" i="7"/>
  <c r="G31" i="1" s="1"/>
  <c r="O2" i="7"/>
  <c r="N2" i="7"/>
  <c r="N30" i="1" s="1"/>
  <c r="K2" i="7"/>
  <c r="K30" i="1" s="1"/>
  <c r="G2" i="7"/>
  <c r="G30" i="1" s="1"/>
  <c r="N7" i="5"/>
  <c r="M7" i="5"/>
  <c r="J7" i="5"/>
  <c r="K7" i="5" s="1"/>
  <c r="K1" i="8" l="1"/>
  <c r="M6" i="5"/>
  <c r="H7" i="5"/>
  <c r="H6" i="5"/>
  <c r="H5" i="5"/>
  <c r="H4" i="5"/>
  <c r="L3" i="6" l="1"/>
  <c r="L4" i="6"/>
  <c r="L5" i="6"/>
  <c r="L6" i="6"/>
  <c r="L7" i="6"/>
  <c r="L8" i="6"/>
  <c r="L2" i="6"/>
  <c r="I2" i="6"/>
  <c r="I3" i="6"/>
  <c r="I4" i="6"/>
  <c r="I5" i="6"/>
  <c r="I6" i="6"/>
  <c r="I7" i="6"/>
  <c r="I8" i="6"/>
  <c r="H3" i="6"/>
  <c r="H4" i="6"/>
  <c r="H5" i="6"/>
  <c r="H6" i="6"/>
  <c r="H7" i="6"/>
  <c r="H8" i="6"/>
  <c r="H2" i="6"/>
  <c r="M5" i="6"/>
  <c r="M6" i="6"/>
  <c r="M7" i="6"/>
  <c r="M4" i="6"/>
  <c r="B12" i="6"/>
  <c r="B10" i="6"/>
  <c r="B11" i="6"/>
  <c r="B9" i="6"/>
  <c r="B5" i="6"/>
  <c r="B8" i="6"/>
  <c r="B6" i="6"/>
  <c r="B2" i="6"/>
  <c r="B7" i="6"/>
  <c r="B3" i="6"/>
  <c r="B1" i="6"/>
  <c r="J21" i="4" l="1"/>
  <c r="J20" i="4"/>
  <c r="J19" i="4"/>
  <c r="J18" i="4"/>
  <c r="J17" i="4"/>
  <c r="J16" i="4"/>
  <c r="J15" i="4"/>
  <c r="J14" i="4"/>
  <c r="J13" i="4"/>
  <c r="J12" i="4"/>
  <c r="J11" i="4"/>
  <c r="J10" i="4"/>
  <c r="I10" i="4"/>
  <c r="J9" i="4"/>
  <c r="I9" i="4"/>
  <c r="K9" i="4" l="1"/>
  <c r="K11" i="4"/>
  <c r="K10" i="4"/>
  <c r="C23" i="1"/>
  <c r="D23" i="1"/>
  <c r="E23" i="1"/>
  <c r="F23" i="1"/>
  <c r="I23" i="1"/>
  <c r="L23" i="1"/>
  <c r="M23" i="1"/>
  <c r="C24" i="1"/>
  <c r="D24" i="1"/>
  <c r="E24" i="1"/>
  <c r="F24" i="1"/>
  <c r="I24" i="1"/>
  <c r="L24" i="1"/>
  <c r="M24" i="1"/>
  <c r="C25" i="1"/>
  <c r="D25" i="1"/>
  <c r="E25" i="1"/>
  <c r="F25" i="1"/>
  <c r="H25" i="1"/>
  <c r="I25" i="1"/>
  <c r="J25" i="1"/>
  <c r="L25" i="1"/>
  <c r="M25" i="1"/>
  <c r="C26" i="1"/>
  <c r="D26" i="1"/>
  <c r="E26" i="1"/>
  <c r="F26" i="1"/>
  <c r="H26" i="1"/>
  <c r="I26" i="1"/>
  <c r="J26" i="1"/>
  <c r="L26" i="1"/>
  <c r="M26" i="1"/>
  <c r="C27" i="1"/>
  <c r="D27" i="1"/>
  <c r="E27" i="1"/>
  <c r="F27" i="1"/>
  <c r="H27" i="1"/>
  <c r="I27" i="1"/>
  <c r="J27" i="1"/>
  <c r="L27" i="1"/>
  <c r="M27" i="1"/>
  <c r="C28" i="1"/>
  <c r="D28" i="1"/>
  <c r="E28" i="1"/>
  <c r="F28" i="1"/>
  <c r="H28" i="1"/>
  <c r="I28" i="1"/>
  <c r="J28" i="1"/>
  <c r="L28" i="1"/>
  <c r="M28" i="1"/>
  <c r="C29" i="1"/>
  <c r="D29" i="1"/>
  <c r="E29" i="1"/>
  <c r="F29" i="1"/>
  <c r="H29" i="1"/>
  <c r="I29" i="1"/>
  <c r="J29" i="1"/>
  <c r="L29" i="1"/>
  <c r="M29" i="1"/>
  <c r="B24" i="1"/>
  <c r="B25" i="1"/>
  <c r="B26" i="1"/>
  <c r="B27" i="1"/>
  <c r="B28" i="1"/>
  <c r="B29" i="1"/>
  <c r="B23" i="1"/>
  <c r="H2" i="5"/>
  <c r="H3" i="5"/>
  <c r="H24" i="1" s="1"/>
  <c r="O8" i="5"/>
  <c r="L8" i="5"/>
  <c r="K29" i="1" s="1"/>
  <c r="G8" i="5"/>
  <c r="G29" i="1" s="1"/>
  <c r="O7" i="5"/>
  <c r="L7" i="5"/>
  <c r="K28" i="1" s="1"/>
  <c r="G7" i="5"/>
  <c r="G28" i="1" s="1"/>
  <c r="O6" i="5"/>
  <c r="L6" i="5"/>
  <c r="K27" i="1" s="1"/>
  <c r="G6" i="5"/>
  <c r="G27" i="1" s="1"/>
  <c r="O5" i="5"/>
  <c r="L5" i="5"/>
  <c r="K26" i="1" s="1"/>
  <c r="G5" i="5"/>
  <c r="G26" i="1" s="1"/>
  <c r="O4" i="5"/>
  <c r="L4" i="5"/>
  <c r="K25" i="1" s="1"/>
  <c r="G4" i="5"/>
  <c r="G25" i="1" s="1"/>
  <c r="O3" i="5"/>
  <c r="G3" i="5"/>
  <c r="G24" i="1" s="1"/>
  <c r="O2" i="5"/>
  <c r="G2" i="5"/>
  <c r="N24" i="1" l="1"/>
  <c r="N27" i="1"/>
  <c r="N28" i="1"/>
  <c r="N26" i="1"/>
  <c r="N25" i="1"/>
  <c r="N29" i="1"/>
  <c r="H23" i="1"/>
  <c r="H9" i="5"/>
  <c r="G23" i="1"/>
  <c r="G9" i="5"/>
  <c r="N23" i="1"/>
  <c r="L3" i="5"/>
  <c r="K24" i="1" s="1"/>
  <c r="K3" i="5"/>
  <c r="L2" i="5"/>
  <c r="K2" i="5"/>
  <c r="J9" i="5"/>
  <c r="J24" i="1"/>
  <c r="J23" i="1"/>
  <c r="O7" i="4"/>
  <c r="O6" i="4"/>
  <c r="O5" i="4"/>
  <c r="O4" i="4"/>
  <c r="K23" i="1" l="1"/>
  <c r="L9" i="5"/>
  <c r="B20" i="1"/>
  <c r="C20" i="1"/>
  <c r="D20" i="1"/>
  <c r="E20" i="1"/>
  <c r="F20" i="1"/>
  <c r="I20" i="1"/>
  <c r="J20" i="1"/>
  <c r="L20" i="1"/>
  <c r="B21" i="1"/>
  <c r="C21" i="1"/>
  <c r="D21" i="1"/>
  <c r="E21" i="1"/>
  <c r="F21" i="1"/>
  <c r="I21" i="1"/>
  <c r="J21" i="1"/>
  <c r="L21" i="1"/>
  <c r="M21" i="1"/>
  <c r="B22" i="1"/>
  <c r="C22" i="1"/>
  <c r="D22" i="1"/>
  <c r="E22" i="1"/>
  <c r="F22" i="1"/>
  <c r="I22" i="1"/>
  <c r="J22" i="1"/>
  <c r="L22" i="1"/>
  <c r="M22" i="1"/>
  <c r="B18" i="1"/>
  <c r="C18" i="1"/>
  <c r="D18" i="1"/>
  <c r="E18" i="1"/>
  <c r="F18" i="1"/>
  <c r="H18" i="1"/>
  <c r="I18" i="1"/>
  <c r="J18" i="1"/>
  <c r="L18" i="1"/>
  <c r="M18" i="1"/>
  <c r="C19" i="1"/>
  <c r="D19" i="1"/>
  <c r="E19" i="1"/>
  <c r="F19" i="1"/>
  <c r="H19" i="1"/>
  <c r="I19" i="1"/>
  <c r="J19" i="1"/>
  <c r="L19" i="1"/>
  <c r="M19" i="1"/>
  <c r="B19" i="1"/>
  <c r="M6" i="4"/>
  <c r="M20" i="1" s="1"/>
  <c r="H8" i="4"/>
  <c r="H22" i="1" s="1"/>
  <c r="H7" i="4"/>
  <c r="H21" i="1" s="1"/>
  <c r="H6" i="4" l="1"/>
  <c r="H20" i="1" s="1"/>
  <c r="G6" i="4"/>
  <c r="G20" i="1" s="1"/>
  <c r="G7" i="4"/>
  <c r="G21" i="1" s="1"/>
  <c r="G8" i="4"/>
  <c r="G22" i="1" s="1"/>
  <c r="G5" i="4"/>
  <c r="G19" i="1" s="1"/>
  <c r="G4" i="4"/>
  <c r="G18" i="1" s="1"/>
  <c r="G3" i="4"/>
  <c r="G2" i="4"/>
  <c r="N3" i="4"/>
  <c r="N4" i="4"/>
  <c r="N18" i="1" s="1"/>
  <c r="N5" i="4"/>
  <c r="N19" i="1" s="1"/>
  <c r="N6" i="4"/>
  <c r="N20" i="1" s="1"/>
  <c r="N7" i="4"/>
  <c r="N21" i="1" s="1"/>
  <c r="N8" i="4"/>
  <c r="N22" i="1" s="1"/>
  <c r="N2" i="4"/>
  <c r="K5" i="4"/>
  <c r="K19" i="1" s="1"/>
  <c r="K6" i="4"/>
  <c r="K20" i="1" s="1"/>
  <c r="K7" i="4"/>
  <c r="K21" i="1" s="1"/>
  <c r="K8" i="4"/>
  <c r="K22" i="1" s="1"/>
  <c r="K3" i="4"/>
  <c r="K4" i="4"/>
  <c r="K18" i="1" s="1"/>
  <c r="K2" i="4"/>
  <c r="N8" i="3" l="1"/>
  <c r="K8" i="3"/>
  <c r="G8" i="3"/>
  <c r="N7" i="3"/>
  <c r="K7" i="3"/>
  <c r="G7" i="3"/>
  <c r="N6" i="3"/>
  <c r="K6" i="3"/>
  <c r="G6" i="3"/>
  <c r="N5" i="3"/>
  <c r="K5" i="3"/>
  <c r="G5" i="3"/>
  <c r="N4" i="3"/>
  <c r="K4" i="3"/>
  <c r="G4" i="3"/>
  <c r="N3" i="3"/>
  <c r="I3" i="3"/>
  <c r="K3" i="3" s="1"/>
  <c r="G3" i="3"/>
  <c r="N2" i="3"/>
  <c r="I2" i="3"/>
  <c r="K2" i="3" s="1"/>
  <c r="G2" i="3"/>
  <c r="G2" i="1"/>
  <c r="I2" i="1"/>
  <c r="K2" i="1"/>
  <c r="N2" i="1"/>
  <c r="G3" i="1"/>
  <c r="I3" i="1"/>
  <c r="K3" i="1"/>
  <c r="N3" i="1"/>
  <c r="G4" i="1"/>
  <c r="K4" i="1"/>
  <c r="N4" i="1"/>
  <c r="G5" i="1"/>
  <c r="K5" i="1"/>
  <c r="N5" i="1"/>
  <c r="Q3" i="2" l="1"/>
  <c r="Q4" i="2"/>
  <c r="Q5" i="2"/>
  <c r="Q2" i="2"/>
  <c r="N8" i="2"/>
  <c r="K8" i="2"/>
  <c r="H8" i="2"/>
  <c r="Q8" i="2" s="1"/>
  <c r="G8" i="2"/>
  <c r="P8" i="2" s="1"/>
  <c r="N7" i="2"/>
  <c r="K7" i="2"/>
  <c r="H7" i="2"/>
  <c r="Q7" i="2" s="1"/>
  <c r="G7" i="2"/>
  <c r="P7" i="2" s="1"/>
  <c r="N6" i="2"/>
  <c r="K6" i="2"/>
  <c r="H6" i="2"/>
  <c r="Q6" i="2" s="1"/>
  <c r="G6" i="2"/>
  <c r="P6" i="2" s="1"/>
  <c r="N5" i="2"/>
  <c r="K5" i="2"/>
  <c r="G5" i="2"/>
  <c r="P5" i="2" s="1"/>
  <c r="N4" i="2"/>
  <c r="K4" i="2"/>
  <c r="G4" i="2"/>
  <c r="P4" i="2" s="1"/>
  <c r="N3" i="2"/>
  <c r="K3" i="2"/>
  <c r="G3" i="2"/>
  <c r="P3" i="2" s="1"/>
  <c r="N2" i="2"/>
  <c r="K2" i="2"/>
  <c r="G2" i="2"/>
  <c r="P2" i="2" s="1"/>
  <c r="R2" i="2" l="1"/>
  <c r="R5" i="2"/>
  <c r="R7" i="2"/>
  <c r="R8" i="2"/>
  <c r="R4" i="2"/>
  <c r="R3" i="2"/>
  <c r="R6" i="2"/>
  <c r="N6" i="1"/>
  <c r="N7" i="1"/>
  <c r="N8" i="1"/>
  <c r="N9" i="1"/>
  <c r="N10" i="1"/>
  <c r="N11" i="1"/>
  <c r="N12" i="1"/>
  <c r="N13" i="1"/>
  <c r="N14" i="1"/>
  <c r="N15" i="1"/>
  <c r="N16" i="1"/>
  <c r="N17" i="1"/>
  <c r="G6" i="1"/>
  <c r="G7" i="1"/>
  <c r="G8" i="1"/>
  <c r="G9" i="1"/>
  <c r="G10" i="1"/>
  <c r="G11" i="1"/>
  <c r="G12" i="1"/>
  <c r="G13" i="1"/>
  <c r="G14" i="1"/>
  <c r="G15" i="1"/>
  <c r="G16" i="1"/>
  <c r="G17" i="1"/>
  <c r="H13" i="1"/>
  <c r="H14" i="1"/>
  <c r="H15" i="1"/>
  <c r="H16" i="1"/>
  <c r="H17" i="1"/>
  <c r="K17" i="1"/>
  <c r="K16" i="1"/>
  <c r="K15" i="1"/>
  <c r="K6" i="1" l="1"/>
  <c r="K7" i="1"/>
  <c r="K8" i="1"/>
  <c r="K9" i="1"/>
  <c r="K10" i="1"/>
  <c r="K11" i="1"/>
  <c r="K12" i="1"/>
  <c r="K13" i="1"/>
  <c r="K14" i="1"/>
</calcChain>
</file>

<file path=xl/sharedStrings.xml><?xml version="1.0" encoding="utf-8"?>
<sst xmlns="http://schemas.openxmlformats.org/spreadsheetml/2006/main" count="160" uniqueCount="73">
  <si>
    <t>前夜睡眠</t>
    <phoneticPr fontId="1" type="noConversion"/>
  </si>
  <si>
    <t>毛工作/学习</t>
    <phoneticPr fontId="1" type="noConversion"/>
  </si>
  <si>
    <t>纯工作/学习</t>
    <phoneticPr fontId="1" type="noConversion"/>
  </si>
  <si>
    <t>深睡眠</t>
    <phoneticPr fontId="1" type="noConversion"/>
  </si>
  <si>
    <t>前夜睡时</t>
    <phoneticPr fontId="1" type="noConversion"/>
  </si>
  <si>
    <t>睡分</t>
    <phoneticPr fontId="1" type="noConversion"/>
  </si>
  <si>
    <t>今晨起时</t>
    <phoneticPr fontId="1" type="noConversion"/>
  </si>
  <si>
    <t>今晨起分</t>
    <phoneticPr fontId="1" type="noConversion"/>
  </si>
  <si>
    <t>中断睡分</t>
    <phoneticPr fontId="1" type="noConversion"/>
  </si>
  <si>
    <t>手机总时间(分)</t>
    <phoneticPr fontId="1" type="noConversion"/>
  </si>
  <si>
    <t>手机正能量时间（分）</t>
    <phoneticPr fontId="1" type="noConversion"/>
  </si>
  <si>
    <t>非正能量（时）</t>
    <phoneticPr fontId="1" type="noConversion"/>
  </si>
  <si>
    <t>毛时间比</t>
    <phoneticPr fontId="1" type="noConversion"/>
  </si>
  <si>
    <t>对照组手机时间</t>
    <phoneticPr fontId="1" type="noConversion"/>
  </si>
  <si>
    <t>小时</t>
    <phoneticPr fontId="1" type="noConversion"/>
  </si>
  <si>
    <t>分钟</t>
    <phoneticPr fontId="1" type="noConversion"/>
  </si>
  <si>
    <t>分钟</t>
    <phoneticPr fontId="1" type="noConversion"/>
  </si>
  <si>
    <t>高数</t>
    <phoneticPr fontId="1" type="noConversion"/>
  </si>
  <si>
    <t>单词</t>
    <phoneticPr fontId="1" type="noConversion"/>
  </si>
  <si>
    <t>超精读</t>
    <phoneticPr fontId="1" type="noConversion"/>
  </si>
  <si>
    <t>上课</t>
    <phoneticPr fontId="1" type="noConversion"/>
  </si>
  <si>
    <t>数分作业</t>
    <phoneticPr fontId="1" type="noConversion"/>
  </si>
  <si>
    <t>R语言自习</t>
    <phoneticPr fontId="1" type="noConversion"/>
  </si>
  <si>
    <t>时间管理</t>
    <phoneticPr fontId="1" type="noConversion"/>
  </si>
  <si>
    <t>学生工作</t>
    <phoneticPr fontId="1" type="noConversion"/>
  </si>
  <si>
    <t>《英国通史》</t>
    <phoneticPr fontId="1" type="noConversion"/>
  </si>
  <si>
    <t>线性代数</t>
    <phoneticPr fontId="1" type="noConversion"/>
  </si>
  <si>
    <t>管理会计预习</t>
    <phoneticPr fontId="1" type="noConversion"/>
  </si>
  <si>
    <t>其他</t>
    <phoneticPr fontId="1" type="noConversion"/>
  </si>
  <si>
    <t>手机正能量时间（时）</t>
    <phoneticPr fontId="1" type="noConversion"/>
  </si>
  <si>
    <t>开始学习时间</t>
    <phoneticPr fontId="1" type="noConversion"/>
  </si>
  <si>
    <t>时</t>
    <phoneticPr fontId="1" type="noConversion"/>
  </si>
  <si>
    <t>分</t>
    <phoneticPr fontId="1" type="noConversion"/>
  </si>
  <si>
    <t>上周开始学习时间</t>
    <phoneticPr fontId="1" type="noConversion"/>
  </si>
  <si>
    <t>时</t>
    <phoneticPr fontId="1" type="noConversion"/>
  </si>
  <si>
    <t>分</t>
    <phoneticPr fontId="1" type="noConversion"/>
  </si>
  <si>
    <t>周六</t>
    <phoneticPr fontId="1" type="noConversion"/>
  </si>
  <si>
    <t>周日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</si>
  <si>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</si>
  <si>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</si>
  <si>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</si>
  <si>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</si>
  <si>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</si>
  <si>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上周起床时间</t>
    <phoneticPr fontId="1" type="noConversion"/>
  </si>
  <si>
    <t>启动时间</t>
    <phoneticPr fontId="1" type="noConversion"/>
  </si>
  <si>
    <t>上周启动时间</t>
    <phoneticPr fontId="1" type="noConversion"/>
  </si>
  <si>
    <t>项目</t>
    <phoneticPr fontId="1" type="noConversion"/>
  </si>
  <si>
    <t>时间</t>
    <phoneticPr fontId="1" type="noConversion"/>
  </si>
  <si>
    <t>时间管理</t>
    <phoneticPr fontId="1" type="noConversion"/>
  </si>
  <si>
    <t>高数</t>
    <phoneticPr fontId="1" type="noConversion"/>
  </si>
  <si>
    <t>线代</t>
    <phoneticPr fontId="1" type="noConversion"/>
  </si>
  <si>
    <t>单词</t>
    <phoneticPr fontId="1" type="noConversion"/>
  </si>
  <si>
    <t>英语阅读</t>
    <phoneticPr fontId="1" type="noConversion"/>
  </si>
  <si>
    <t>学生工作</t>
    <phoneticPr fontId="1" type="noConversion"/>
  </si>
  <si>
    <t>学校上课</t>
    <phoneticPr fontId="1" type="noConversion"/>
  </si>
  <si>
    <t>补习班上课</t>
    <phoneticPr fontId="1" type="noConversion"/>
  </si>
  <si>
    <t>作业</t>
    <phoneticPr fontId="1" type="noConversion"/>
  </si>
  <si>
    <t>《参考消息》</t>
    <phoneticPr fontId="1" type="noConversion"/>
  </si>
  <si>
    <t>《南风窗》</t>
    <phoneticPr fontId="1" type="noConversion"/>
  </si>
  <si>
    <t>休息</t>
    <phoneticPr fontId="1" type="noConversion"/>
  </si>
  <si>
    <t>项目</t>
    <phoneticPr fontId="1" type="noConversion"/>
  </si>
  <si>
    <t>时间</t>
    <phoneticPr fontId="1" type="noConversion"/>
  </si>
  <si>
    <t>补习班上课</t>
  </si>
  <si>
    <t>学校上课</t>
  </si>
  <si>
    <t>高数</t>
  </si>
  <si>
    <t>单词</t>
  </si>
  <si>
    <t>时间管理</t>
  </si>
  <si>
    <t>英语阅读</t>
  </si>
  <si>
    <t>学生工作</t>
  </si>
  <si>
    <t>《参考消息》</t>
  </si>
  <si>
    <t>其他杂志</t>
    <phoneticPr fontId="1" type="noConversion"/>
  </si>
  <si>
    <t>数分作业</t>
    <phoneticPr fontId="1" type="noConversion"/>
  </si>
  <si>
    <t>《英国通史》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</si>
</sst>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第三周学习时间构成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6F-4EB8-8009-B338F9B5C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6F-4EB8-8009-B338F9B5C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6F-4EB8-8009-B338F9B5C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6F-4EB8-8009-B338F9B5C6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6F-4EB8-8009-B338F9B5C6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B6F-4EB8-8009-B338F9B5C6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B6F-4EB8-8009-B338F9B5C6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B6F-4EB8-8009-B338F9B5C6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B6F-4EB8-8009-B338F9B5C6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B6F-4EB8-8009-B338F9B5C6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B6F-4EB8-8009-B338F9B5C6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B6F-4EB8-8009-B338F9B5C6C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Sheet1!$A$1:$A$12</c:f>
              <c:strCache>
                <c:ptCount val="12"/>
                <c:pt idx="0">
                  <c:v>高数</c:v>
                </c:pt>
                <c:pt idx="1">
                  <c:v>上课</c:v>
                </c:pt>
                <c:pt idx="2">
                  <c:v>单词</c:v>
                </c:pt>
                <c:pt idx="3">
                  <c:v>其他</c:v>
                </c:pt>
                <c:pt idx="4">
                  <c:v>时间管理</c:v>
                </c:pt>
                <c:pt idx="5">
                  <c:v>数分作业</c:v>
                </c:pt>
                <c:pt idx="6">
                  <c:v>超精读</c:v>
                </c:pt>
                <c:pt idx="7">
                  <c:v>R语言自习</c:v>
                </c:pt>
                <c:pt idx="8">
                  <c:v>学生工作</c:v>
                </c:pt>
                <c:pt idx="9">
                  <c:v>线性代数</c:v>
                </c:pt>
                <c:pt idx="10">
                  <c:v>《英国通史》</c:v>
                </c:pt>
                <c:pt idx="11">
                  <c:v>管理会计预习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7.3661000000000003</c:v>
                </c:pt>
                <c:pt idx="1">
                  <c:v>7.1639999999999997</c:v>
                </c:pt>
                <c:pt idx="2">
                  <c:v>5.9230833333333335</c:v>
                </c:pt>
                <c:pt idx="3">
                  <c:v>5.1990666666666669</c:v>
                </c:pt>
                <c:pt idx="4">
                  <c:v>3.96</c:v>
                </c:pt>
                <c:pt idx="5">
                  <c:v>3.2087499999999998</c:v>
                </c:pt>
                <c:pt idx="6">
                  <c:v>1.9124999999999999</c:v>
                </c:pt>
                <c:pt idx="7">
                  <c:v>1.6064999999999998</c:v>
                </c:pt>
                <c:pt idx="8">
                  <c:v>1.2749999999999999</c:v>
                </c:pt>
                <c:pt idx="9">
                  <c:v>1.2249999999999999</c:v>
                </c:pt>
                <c:pt idx="10">
                  <c:v>0.85</c:v>
                </c:pt>
                <c:pt idx="11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9AA-AD93-592C6AA331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手机使用总时间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手机正能量时间（时）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Sheet1!$G$2:$G$8</c:f>
              <c:numCache>
                <c:formatCode>m/d/yyyy</c:formatCode>
                <c:ptCount val="7"/>
                <c:pt idx="0">
                  <c:v>42805</c:v>
                </c:pt>
                <c:pt idx="1">
                  <c:v>42806</c:v>
                </c:pt>
                <c:pt idx="2">
                  <c:v>42807</c:v>
                </c:pt>
                <c:pt idx="3">
                  <c:v>42808</c:v>
                </c:pt>
                <c:pt idx="4">
                  <c:v>42809</c:v>
                </c:pt>
                <c:pt idx="5">
                  <c:v>42810</c:v>
                </c:pt>
                <c:pt idx="6">
                  <c:v>42811</c:v>
                </c:pt>
              </c:numCache>
            </c:numRef>
          </c:cat>
          <c:val>
            <c:numRef>
              <c:f>Sheet1!$K$2:$K$22</c:f>
              <c:numCache>
                <c:formatCode>General</c:formatCode>
                <c:ptCount val="21"/>
                <c:pt idx="0">
                  <c:v>1.6666666666666666E-2</c:v>
                </c:pt>
                <c:pt idx="1">
                  <c:v>0.43333333333333335</c:v>
                </c:pt>
                <c:pt idx="2">
                  <c:v>2.0666666666666669</c:v>
                </c:pt>
                <c:pt idx="3">
                  <c:v>1.1000000000000001</c:v>
                </c:pt>
                <c:pt idx="4">
                  <c:v>1.2333333333333334</c:v>
                </c:pt>
                <c:pt idx="5">
                  <c:v>0.6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469-A599-EC194F151A2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非正能量（时）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Sheet1!$G$2:$G$8</c:f>
              <c:numCache>
                <c:formatCode>m/d/yyyy</c:formatCode>
                <c:ptCount val="7"/>
                <c:pt idx="0">
                  <c:v>42805</c:v>
                </c:pt>
                <c:pt idx="1">
                  <c:v>42806</c:v>
                </c:pt>
                <c:pt idx="2">
                  <c:v>42807</c:v>
                </c:pt>
                <c:pt idx="3">
                  <c:v>42808</c:v>
                </c:pt>
                <c:pt idx="4">
                  <c:v>42809</c:v>
                </c:pt>
                <c:pt idx="5">
                  <c:v>42810</c:v>
                </c:pt>
                <c:pt idx="6">
                  <c:v>42811</c:v>
                </c:pt>
              </c:numCache>
            </c:numRef>
          </c:cat>
          <c:val>
            <c:numRef>
              <c:f>Sheet1!$L$2:$L$22</c:f>
              <c:numCache>
                <c:formatCode>General</c:formatCode>
                <c:ptCount val="21"/>
                <c:pt idx="0">
                  <c:v>3.25</c:v>
                </c:pt>
                <c:pt idx="1">
                  <c:v>6.333333333333333</c:v>
                </c:pt>
                <c:pt idx="2">
                  <c:v>2.4833333333333329</c:v>
                </c:pt>
                <c:pt idx="3">
                  <c:v>6.7333333333333325</c:v>
                </c:pt>
                <c:pt idx="4">
                  <c:v>3.4000000000000004</c:v>
                </c:pt>
                <c:pt idx="5">
                  <c:v>4.166666666666667</c:v>
                </c:pt>
                <c:pt idx="6">
                  <c:v>2.7333333333333334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E-4469-A599-EC194F15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39791"/>
        <c:axId val="510260415"/>
      </c:areaChart>
      <c:dateAx>
        <c:axId val="405139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60415"/>
        <c:crosses val="autoZero"/>
        <c:auto val="1"/>
        <c:lblOffset val="100"/>
        <c:baseTimeUnit val="days"/>
      </c:dateAx>
      <c:valAx>
        <c:axId val="5102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13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非正能量（时）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Sheet1!$L$2:$L$12</c:f>
              <c:numCache>
                <c:formatCode>General</c:formatCode>
                <c:ptCount val="11"/>
                <c:pt idx="0">
                  <c:v>3.25</c:v>
                </c:pt>
                <c:pt idx="1">
                  <c:v>6.333333333333333</c:v>
                </c:pt>
                <c:pt idx="2">
                  <c:v>2.4833333333333329</c:v>
                </c:pt>
                <c:pt idx="3">
                  <c:v>6.7333333333333325</c:v>
                </c:pt>
                <c:pt idx="4">
                  <c:v>3.4000000000000004</c:v>
                </c:pt>
                <c:pt idx="5">
                  <c:v>4.166666666666667</c:v>
                </c:pt>
                <c:pt idx="6">
                  <c:v>2.7333333333333334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A-41D5-AD08-DC80E9FBE9A1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对照组手机时间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Sheet1!$M$2:$M$12</c:f>
              <c:numCache>
                <c:formatCode>General</c:formatCode>
                <c:ptCount val="11"/>
                <c:pt idx="2">
                  <c:v>0.36666666666666664</c:v>
                </c:pt>
                <c:pt idx="3">
                  <c:v>2.1333333333333333</c:v>
                </c:pt>
                <c:pt idx="4">
                  <c:v>4</c:v>
                </c:pt>
                <c:pt idx="5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A-41D5-AD08-DC80E9FB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62767"/>
        <c:axId val="510268623"/>
      </c:lineChart>
      <c:catAx>
        <c:axId val="39046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268623"/>
        <c:crosses val="autoZero"/>
        <c:auto val="1"/>
        <c:lblAlgn val="ctr"/>
        <c:lblOffset val="100"/>
        <c:noMultiLvlLbl val="0"/>
      </c:catAx>
      <c:valAx>
        <c:axId val="5102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4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启动时间对比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第四周!$Q$1</c:f>
              <c:strCache>
                <c:ptCount val="1"/>
                <c:pt idx="0">
                  <c:v>启动时间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第四周!$P$2:$P$8</c:f>
              <c:strCache>
                <c:ptCount val="7"/>
                <c:pt idx="0">
                  <c:v>周六</c:v>
                </c:pt>
                <c:pt idx="1">
                  <c:v>周日</c:v>
                </c:pt>
                <c:pt idx="2">
                  <c:v>周一</c:v>
                </c:pt>
                <c:pt idx="3">
                  <c:v>周二</c:v>
                </c:pt>
                <c:pt idx="4">
                  <c:v>周三</c:v>
                </c:pt>
                <c:pt idx="5">
                  <c:v>周四</c:v>
                </c:pt>
                <c:pt idx="6">
                  <c:v>周五</c:v>
                </c:pt>
              </c:strCache>
            </c:strRef>
          </c:cat>
          <c:val>
            <c:numRef>
              <c:f>第四周!$Q$2:$Q$8</c:f>
              <c:numCache>
                <c:formatCode>General</c:formatCode>
                <c:ptCount val="7"/>
                <c:pt idx="0">
                  <c:v>1.6999999999999991</c:v>
                </c:pt>
                <c:pt idx="1">
                  <c:v>0.61666666666666736</c:v>
                </c:pt>
                <c:pt idx="2">
                  <c:v>0.80000000000000038</c:v>
                </c:pt>
                <c:pt idx="3">
                  <c:v>1.2833333333333337</c:v>
                </c:pt>
                <c:pt idx="4">
                  <c:v>1.1000000000000003</c:v>
                </c:pt>
                <c:pt idx="5">
                  <c:v>1.8666666666666663</c:v>
                </c:pt>
                <c:pt idx="6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2-4F2D-A99E-BD64D2945FD9}"/>
            </c:ext>
          </c:extLst>
        </c:ser>
        <c:ser>
          <c:idx val="1"/>
          <c:order val="1"/>
          <c:tx>
            <c:strRef>
              <c:f>第四周!$U$1</c:f>
              <c:strCache>
                <c:ptCount val="1"/>
                <c:pt idx="0">
                  <c:v>上周启动时间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第四周!$P$2:$P$8</c:f>
              <c:strCache>
                <c:ptCount val="7"/>
                <c:pt idx="0">
                  <c:v>周六</c:v>
                </c:pt>
                <c:pt idx="1">
                  <c:v>周日</c:v>
                </c:pt>
                <c:pt idx="2">
                  <c:v>周一</c:v>
                </c:pt>
                <c:pt idx="3">
                  <c:v>周二</c:v>
                </c:pt>
                <c:pt idx="4">
                  <c:v>周三</c:v>
                </c:pt>
                <c:pt idx="5">
                  <c:v>周四</c:v>
                </c:pt>
                <c:pt idx="6">
                  <c:v>周五</c:v>
                </c:pt>
              </c:strCache>
            </c:strRef>
          </c:cat>
          <c:val>
            <c:numRef>
              <c:f>第四周!$U$2:$U$8</c:f>
              <c:numCache>
                <c:formatCode>General</c:formatCode>
                <c:ptCount val="7"/>
                <c:pt idx="0">
                  <c:v>1.0166666666666666</c:v>
                </c:pt>
                <c:pt idx="1">
                  <c:v>1.4500000000000002</c:v>
                </c:pt>
                <c:pt idx="2">
                  <c:v>0.84999999999999964</c:v>
                </c:pt>
                <c:pt idx="3">
                  <c:v>1.2833333333333332</c:v>
                </c:pt>
                <c:pt idx="4">
                  <c:v>0.63333333333333375</c:v>
                </c:pt>
                <c:pt idx="5">
                  <c:v>0.78333333333333321</c:v>
                </c:pt>
                <c:pt idx="6">
                  <c:v>0.91666666666666607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2-4F2D-A99E-BD64D294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524479"/>
        <c:axId val="1491768991"/>
      </c:lineChart>
      <c:catAx>
        <c:axId val="14935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768991"/>
        <c:crosses val="autoZero"/>
        <c:auto val="1"/>
        <c:lblAlgn val="ctr"/>
        <c:lblOffset val="100"/>
        <c:noMultiLvlLbl val="0"/>
      </c:catAx>
      <c:valAx>
        <c:axId val="14917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5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第四周!$G$1</c:f>
              <c:strCache>
                <c:ptCount val="1"/>
                <c:pt idx="0">
                  <c:v>前夜睡眠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第四周!$G$2:$G$8</c:f>
              <c:numCache>
                <c:formatCode>General</c:formatCode>
                <c:ptCount val="7"/>
                <c:pt idx="0">
                  <c:v>7.1833333333333336</c:v>
                </c:pt>
                <c:pt idx="1">
                  <c:v>5.6000000000000005</c:v>
                </c:pt>
                <c:pt idx="2">
                  <c:v>7.833333333333333</c:v>
                </c:pt>
                <c:pt idx="3">
                  <c:v>6.8666666666666663</c:v>
                </c:pt>
                <c:pt idx="4">
                  <c:v>8.4333333333333336</c:v>
                </c:pt>
                <c:pt idx="5">
                  <c:v>8.0333333333333332</c:v>
                </c:pt>
                <c:pt idx="6">
                  <c:v>7.1000000000000005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A-4D7B-86CC-D04E84BC0A21}"/>
            </c:ext>
          </c:extLst>
        </c:ser>
        <c:ser>
          <c:idx val="1"/>
          <c:order val="1"/>
          <c:tx>
            <c:strRef>
              <c:f>第四周!$H$1</c:f>
              <c:strCache>
                <c:ptCount val="1"/>
                <c:pt idx="0">
                  <c:v>深睡眠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第四周!$H$2:$H$8</c:f>
              <c:numCache>
                <c:formatCode>0.00_);[Red]\(0.00\)</c:formatCode>
                <c:ptCount val="7"/>
                <c:pt idx="0">
                  <c:v>2.3333333333333335</c:v>
                </c:pt>
                <c:pt idx="1">
                  <c:v>1.7666666666666666</c:v>
                </c:pt>
                <c:pt idx="2">
                  <c:v>1.9</c:v>
                </c:pt>
                <c:pt idx="3">
                  <c:v>2.4</c:v>
                </c:pt>
                <c:pt idx="4">
                  <c:v>2.6666666666666665</c:v>
                </c:pt>
                <c:pt idx="5">
                  <c:v>2.1666666666666665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A-4D7B-86CC-D04E84BC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068543"/>
        <c:axId val="1681885231"/>
      </c:lineChart>
      <c:catAx>
        <c:axId val="164306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85231"/>
        <c:crosses val="autoZero"/>
        <c:auto val="1"/>
        <c:lblAlgn val="ctr"/>
        <c:lblOffset val="100"/>
        <c:noMultiLvlLbl val="0"/>
      </c:catAx>
      <c:valAx>
        <c:axId val="16818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0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毛学习</a:t>
            </a:r>
            <a:r>
              <a:rPr lang="en-US" altLang="zh-CN"/>
              <a:t>/</a:t>
            </a:r>
            <a:r>
              <a:rPr lang="zh-CN" altLang="en-US"/>
              <a:t>工作时间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第四周!$J$1</c:f>
              <c:strCache>
                <c:ptCount val="1"/>
                <c:pt idx="0">
                  <c:v>纯工作/学习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第四周!$A$2:$A$8</c:f>
              <c:numCache>
                <c:formatCode>m/d/yyyy</c:formatCode>
                <c:ptCount val="7"/>
                <c:pt idx="0">
                  <c:v>42812</c:v>
                </c:pt>
                <c:pt idx="1">
                  <c:v>42813</c:v>
                </c:pt>
                <c:pt idx="2">
                  <c:v>42814</c:v>
                </c:pt>
                <c:pt idx="3">
                  <c:v>42815</c:v>
                </c:pt>
                <c:pt idx="4">
                  <c:v>42816</c:v>
                </c:pt>
                <c:pt idx="5">
                  <c:v>42817</c:v>
                </c:pt>
                <c:pt idx="6">
                  <c:v>42818</c:v>
                </c:pt>
              </c:numCache>
            </c:numRef>
          </c:cat>
          <c:val>
            <c:numRef>
              <c:f>第四周!$J$2:$J$8</c:f>
              <c:numCache>
                <c:formatCode>General</c:formatCode>
                <c:ptCount val="7"/>
                <c:pt idx="0">
                  <c:v>5.28</c:v>
                </c:pt>
                <c:pt idx="1">
                  <c:v>5.0999999999999996</c:v>
                </c:pt>
                <c:pt idx="2">
                  <c:v>7.57</c:v>
                </c:pt>
                <c:pt idx="3">
                  <c:v>2.0249999999999999</c:v>
                </c:pt>
                <c:pt idx="4">
                  <c:v>4.25</c:v>
                </c:pt>
                <c:pt idx="5">
                  <c:v>8.6</c:v>
                </c:pt>
                <c:pt idx="6">
                  <c:v>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6-41E4-8BFC-AB2C2D5FC05D}"/>
            </c:ext>
          </c:extLst>
        </c:ser>
        <c:ser>
          <c:idx val="1"/>
          <c:order val="1"/>
          <c:tx>
            <c:strRef>
              <c:f>第四周!$K$1</c:f>
              <c:strCache>
                <c:ptCount val="1"/>
                <c:pt idx="0">
                  <c:v>休息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第四周!$A$2:$A$8</c:f>
              <c:numCache>
                <c:formatCode>m/d/yyyy</c:formatCode>
                <c:ptCount val="7"/>
                <c:pt idx="0">
                  <c:v>42812</c:v>
                </c:pt>
                <c:pt idx="1">
                  <c:v>42813</c:v>
                </c:pt>
                <c:pt idx="2">
                  <c:v>42814</c:v>
                </c:pt>
                <c:pt idx="3">
                  <c:v>42815</c:v>
                </c:pt>
                <c:pt idx="4">
                  <c:v>42816</c:v>
                </c:pt>
                <c:pt idx="5">
                  <c:v>42817</c:v>
                </c:pt>
                <c:pt idx="6">
                  <c:v>42818</c:v>
                </c:pt>
              </c:numCache>
            </c:numRef>
          </c:cat>
          <c:val>
            <c:numRef>
              <c:f>第四周!$K$2:$K$8</c:f>
              <c:numCache>
                <c:formatCode>General</c:formatCode>
                <c:ptCount val="7"/>
                <c:pt idx="0">
                  <c:v>1.2370000000000001</c:v>
                </c:pt>
                <c:pt idx="1">
                  <c:v>1.0670000000000002</c:v>
                </c:pt>
                <c:pt idx="2">
                  <c:v>3.5700000000000003</c:v>
                </c:pt>
                <c:pt idx="3">
                  <c:v>0.97500000000000009</c:v>
                </c:pt>
                <c:pt idx="4">
                  <c:v>1</c:v>
                </c:pt>
                <c:pt idx="5">
                  <c:v>1.2200000000000006</c:v>
                </c:pt>
                <c:pt idx="6">
                  <c:v>2.919999999999999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6-41E4-8BFC-AB2C2D5F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008591"/>
        <c:axId val="1681867087"/>
      </c:areaChart>
      <c:dateAx>
        <c:axId val="1495008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7087"/>
        <c:crosses val="autoZero"/>
        <c:auto val="1"/>
        <c:lblOffset val="100"/>
        <c:baseTimeUnit val="days"/>
      </c:dateAx>
      <c:valAx>
        <c:axId val="1681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00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睡眠时间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前夜睡时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Sheet3!$A$2:$A$8</c:f>
              <c:numCache>
                <c:formatCode>m/d/yyyy</c:formatCode>
                <c:ptCount val="7"/>
                <c:pt idx="0">
                  <c:v>42812</c:v>
                </c:pt>
                <c:pt idx="1">
                  <c:v>42813</c:v>
                </c:pt>
                <c:pt idx="2">
                  <c:v>42814</c:v>
                </c:pt>
                <c:pt idx="3">
                  <c:v>42815</c:v>
                </c:pt>
                <c:pt idx="4">
                  <c:v>42816</c:v>
                </c:pt>
                <c:pt idx="5">
                  <c:v>42817</c:v>
                </c:pt>
                <c:pt idx="6">
                  <c:v>42818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11.85</c:v>
                </c:pt>
                <c:pt idx="1">
                  <c:v>14.583333333333334</c:v>
                </c:pt>
                <c:pt idx="2">
                  <c:v>11.016666666666667</c:v>
                </c:pt>
                <c:pt idx="3">
                  <c:v>11.966666666666667</c:v>
                </c:pt>
                <c:pt idx="4">
                  <c:v>10.366666666666667</c:v>
                </c:pt>
                <c:pt idx="5">
                  <c:v>10.45</c:v>
                </c:pt>
                <c:pt idx="6">
                  <c:v>11.283333333333333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8-4FF0-9D0E-6330CF700DE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今晨起时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Sheet3!$A$2:$A$8</c:f>
              <c:numCache>
                <c:formatCode>m/d/yyyy</c:formatCode>
                <c:ptCount val="7"/>
                <c:pt idx="0">
                  <c:v>42812</c:v>
                </c:pt>
                <c:pt idx="1">
                  <c:v>42813</c:v>
                </c:pt>
                <c:pt idx="2">
                  <c:v>42814</c:v>
                </c:pt>
                <c:pt idx="3">
                  <c:v>42815</c:v>
                </c:pt>
                <c:pt idx="4">
                  <c:v>42816</c:v>
                </c:pt>
                <c:pt idx="5">
                  <c:v>42817</c:v>
                </c:pt>
                <c:pt idx="6">
                  <c:v>42818</c:v>
                </c:pt>
              </c:numCache>
            </c:numRef>
          </c:cat>
          <c:val>
            <c:numRef>
              <c:f>Sheet3!$C$2:$C$8</c:f>
              <c:numCache>
                <c:formatCode>General</c:formatCode>
                <c:ptCount val="7"/>
                <c:pt idx="0">
                  <c:v>7.0333333333333332</c:v>
                </c:pt>
                <c:pt idx="1">
                  <c:v>8.1833333333333336</c:v>
                </c:pt>
                <c:pt idx="2">
                  <c:v>6.85</c:v>
                </c:pt>
                <c:pt idx="3">
                  <c:v>6.833333333333333</c:v>
                </c:pt>
                <c:pt idx="4">
                  <c:v>6.8</c:v>
                </c:pt>
                <c:pt idx="5">
                  <c:v>6.4833333333333334</c:v>
                </c:pt>
                <c:pt idx="6">
                  <c:v>6.3833333333333337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8-4FF0-9D0E-6330CF70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510319"/>
        <c:axId val="1489970783"/>
      </c:lineChart>
      <c:dateAx>
        <c:axId val="1641510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970783"/>
        <c:crosses val="autoZero"/>
        <c:auto val="1"/>
        <c:lblOffset val="100"/>
        <c:baseTimeUnit val="days"/>
      </c:dateAx>
      <c:valAx>
        <c:axId val="14899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5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时间构成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Sheet3!$G$1</c:f>
              <c:strCache>
                <c:ptCount val="1"/>
                <c:pt idx="0">
                  <c:v>时间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34-4F34-AEAB-926AC37156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34-4F34-AEAB-926AC37156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34-4F34-AEAB-926AC37156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34-4F34-AEAB-926AC37156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34-4F34-AEAB-926AC37156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34-4F34-AEAB-926AC37156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34-4F34-AEAB-926AC37156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34-4F34-AEAB-926AC37156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34-4F34-AEAB-926AC37156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34-4F34-AEAB-926AC37156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34-4F34-AEAB-926AC37156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34-4F34-AEAB-926AC37156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Sheet3!$F$2:$F$13</c:f>
              <c:strCache>
                <c:ptCount val="12"/>
                <c:pt idx="0">
                  <c:v>补习班上课</c:v>
                </c:pt>
                <c:pt idx="1">
                  <c:v>学校上课</c:v>
                </c:pt>
                <c:pt idx="2">
                  <c:v>高数</c:v>
                </c:pt>
                <c:pt idx="3">
                  <c:v>单词</c:v>
                </c:pt>
                <c:pt idx="4">
                  <c:v>时间管理</c:v>
                </c:pt>
                <c:pt idx="5">
                  <c:v>英语阅读</c:v>
                </c:pt>
                <c:pt idx="6">
                  <c:v>R语言自习</c:v>
                </c:pt>
                <c:pt idx="7">
                  <c:v>作业</c:v>
                </c:pt>
                <c:pt idx="8">
                  <c:v>学生工作</c:v>
                </c:pt>
                <c:pt idx="9">
                  <c:v>《参考消息》</c:v>
                </c:pt>
                <c:pt idx="10">
                  <c:v>《南风窗》</c:v>
                </c:pt>
                <c:pt idx="11">
                  <c:v>线代</c:v>
                </c:pt>
              </c:strCache>
            </c:str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10.379999999999999</c:v>
                </c:pt>
                <c:pt idx="1">
                  <c:v>8.3623500000000011</c:v>
                </c:pt>
                <c:pt idx="2">
                  <c:v>5.18</c:v>
                </c:pt>
                <c:pt idx="3">
                  <c:v>3.4416666666666669</c:v>
                </c:pt>
                <c:pt idx="4">
                  <c:v>2.883</c:v>
                </c:pt>
                <c:pt idx="5">
                  <c:v>2.1749999999999998</c:v>
                </c:pt>
                <c:pt idx="6">
                  <c:v>2.125</c:v>
                </c:pt>
                <c:pt idx="7">
                  <c:v>1.7</c:v>
                </c:pt>
                <c:pt idx="8">
                  <c:v>0.85</c:v>
                </c:pt>
                <c:pt idx="9">
                  <c:v>0.85</c:v>
                </c:pt>
                <c:pt idx="10">
                  <c:v>0.42499999999999999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9-4162-9912-414EE3A370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0</xdr:rowOff>
    </xdr:from>
    <xdr:to>
      <xdr:col>6</xdr:col>
      <xdr:colOff>523875</xdr:colOff>
      <xdr:row>20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061049-6E45-4C05-8ED9-0D2A8D6A4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490537</xdr:colOff>
      <xdr:row>11</xdr:row>
      <xdr:rowOff>0</xdr:rowOff>
    </xdr:from>
    <xdr:to>
      <xdr:col>12</xdr:col>
      <xdr:colOff>633412</xdr:colOff>
      <xdr:row>26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C821A1-67D3-41C0-9470-6BB923029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</xdr:row>
      <xdr:rowOff>133350</xdr:rowOff>
    </xdr:from>
    <xdr:to>
      <xdr:col>11</xdr:col>
      <xdr:colOff>157162</xdr:colOff>
      <xdr:row>19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296E9E-7B48-49CA-B597-632663590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176212</xdr:colOff>
      <xdr:row>8</xdr:row>
      <xdr:rowOff>0</xdr:rowOff>
    </xdr:from>
    <xdr:to>
      <xdr:col>21</xdr:col>
      <xdr:colOff>633412</xdr:colOff>
      <xdr:row>15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5BC8F0-9186-4B0B-9DD5-43B21868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500062</xdr:colOff>
      <xdr:row>12</xdr:row>
      <xdr:rowOff>9525</xdr:rowOff>
    </xdr:from>
    <xdr:to>
      <xdr:col>8</xdr:col>
      <xdr:colOff>271462</xdr:colOff>
      <xdr:row>27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6471CFE-9B85-40BB-ADB8-3380A57F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</xdr:colOff>
      <xdr:row>17</xdr:row>
      <xdr:rowOff>66675</xdr:rowOff>
    </xdr:from>
    <xdr:to>
      <xdr:col>8</xdr:col>
      <xdr:colOff>461962</xdr:colOff>
      <xdr:row>32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5500223-AF8F-43A3-8C3A-BE6A227A5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16</xdr:row>
      <xdr:rowOff>171450</xdr:rowOff>
    </xdr:from>
    <xdr:to>
      <xdr:col>9</xdr:col>
      <xdr:colOff>414337</xdr:colOff>
      <xdr:row>32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D1DC9A-744D-492B-9B20-E39EFFF60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557212</xdr:colOff>
      <xdr:row>4</xdr:row>
      <xdr:rowOff>19050</xdr:rowOff>
    </xdr:from>
    <xdr:to>
      <xdr:col>15</xdr:col>
      <xdr:colOff>328612</xdr:colOff>
      <xdr:row>19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1E7804-C767-4A1E-9282-27BB4CDA9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16" workbookViewId="0">
      <selection activeCell="A22" sqref="A22:XFD36"/>
    </sheetView>
  </sheetViews>
  <sheetFormatPr defaultRowHeight="14.25" x14ac:dyDescent="0.2"/>
  <cols>
    <col min="1" max="1" width="10" bestFit="1" customWidth="1"/>
    <col min="2" max="6" width="10" customWidth="1"/>
    <col min="7" max="7" width="10" style="2" customWidth="1"/>
    <col min="8" max="8" width="9" style="2"/>
    <col min="9" max="10" width="11.75" bestFit="1" customWidth="1"/>
    <col min="11" max="11" width="11.75" customWidth="1"/>
    <col min="12" max="12" width="14.125" bestFit="1" customWidth="1"/>
    <col min="13" max="13" width="21.375" bestFit="1" customWidth="1"/>
    <col min="14" max="14" width="15.125" bestFit="1" customWidth="1"/>
  </cols>
  <sheetData>
    <row r="1" spans="1:14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0</v>
      </c>
      <c r="H1" s="2" t="s">
        <v>3</v>
      </c>
      <c r="I1" t="s">
        <v>1</v>
      </c>
      <c r="J1" t="s">
        <v>2</v>
      </c>
      <c r="K1" t="s">
        <v>12</v>
      </c>
      <c r="L1" t="s">
        <v>9</v>
      </c>
      <c r="M1" t="s">
        <v>10</v>
      </c>
      <c r="N1" t="s">
        <v>11</v>
      </c>
    </row>
    <row r="2" spans="1:14" x14ac:dyDescent="0.2">
      <c r="A2" s="1">
        <v>42791</v>
      </c>
      <c r="B2">
        <v>11</v>
      </c>
      <c r="C2">
        <v>16</v>
      </c>
      <c r="D2">
        <v>5</v>
      </c>
      <c r="E2">
        <v>40</v>
      </c>
      <c r="G2">
        <f t="shared" ref="G2:G17" si="0">D2-B2+12+E2/60-C2/60-F2/60</f>
        <v>6.4</v>
      </c>
      <c r="I2">
        <f t="shared" ref="I2:I3" si="1">J2*1.29</f>
        <v>0.77400000000000002</v>
      </c>
      <c r="J2">
        <v>0.6</v>
      </c>
      <c r="K2">
        <f t="shared" ref="K2:K17" si="2">I2/J2</f>
        <v>1.29</v>
      </c>
      <c r="L2">
        <v>556</v>
      </c>
      <c r="M2">
        <v>7</v>
      </c>
      <c r="N2">
        <f t="shared" ref="N2:N17" si="3">(L2-M2)/60</f>
        <v>9.15</v>
      </c>
    </row>
    <row r="3" spans="1:14" x14ac:dyDescent="0.2">
      <c r="A3" s="1">
        <v>42792</v>
      </c>
      <c r="B3">
        <v>9</v>
      </c>
      <c r="C3">
        <v>26</v>
      </c>
      <c r="D3">
        <v>6</v>
      </c>
      <c r="E3">
        <v>20</v>
      </c>
      <c r="G3">
        <f t="shared" si="0"/>
        <v>8.9</v>
      </c>
      <c r="I3">
        <f t="shared" si="1"/>
        <v>1.29</v>
      </c>
      <c r="J3">
        <v>1</v>
      </c>
      <c r="K3">
        <f t="shared" si="2"/>
        <v>1.29</v>
      </c>
      <c r="L3">
        <v>240</v>
      </c>
      <c r="M3">
        <v>16</v>
      </c>
      <c r="N3">
        <f t="shared" si="3"/>
        <v>3.7333333333333334</v>
      </c>
    </row>
    <row r="4" spans="1:14" x14ac:dyDescent="0.2">
      <c r="A4" s="1">
        <v>42793</v>
      </c>
      <c r="B4">
        <v>11</v>
      </c>
      <c r="C4">
        <v>7</v>
      </c>
      <c r="D4">
        <v>6</v>
      </c>
      <c r="E4">
        <v>36</v>
      </c>
      <c r="G4">
        <f t="shared" si="0"/>
        <v>7.4833333333333334</v>
      </c>
      <c r="H4" s="2">
        <v>1.8833333333333333</v>
      </c>
      <c r="I4">
        <v>8.5</v>
      </c>
      <c r="J4">
        <v>7.4</v>
      </c>
      <c r="K4">
        <f t="shared" si="2"/>
        <v>1.1486486486486487</v>
      </c>
      <c r="L4">
        <v>311</v>
      </c>
      <c r="M4">
        <v>60</v>
      </c>
      <c r="N4">
        <f t="shared" si="3"/>
        <v>4.1833333333333336</v>
      </c>
    </row>
    <row r="5" spans="1:14" x14ac:dyDescent="0.2">
      <c r="A5" s="1">
        <v>42794</v>
      </c>
      <c r="B5">
        <v>10</v>
      </c>
      <c r="C5">
        <v>47</v>
      </c>
      <c r="D5">
        <v>6</v>
      </c>
      <c r="E5">
        <v>59</v>
      </c>
      <c r="G5">
        <f t="shared" si="0"/>
        <v>8.1999999999999993</v>
      </c>
      <c r="H5" s="2">
        <v>2.0333333333333332</v>
      </c>
      <c r="I5">
        <v>10.35</v>
      </c>
      <c r="J5">
        <v>6.52</v>
      </c>
      <c r="K5">
        <f t="shared" si="2"/>
        <v>1.5874233128834356</v>
      </c>
      <c r="L5">
        <v>446</v>
      </c>
      <c r="M5">
        <v>61</v>
      </c>
      <c r="N5">
        <f t="shared" si="3"/>
        <v>6.416666666666667</v>
      </c>
    </row>
    <row r="6" spans="1:14" x14ac:dyDescent="0.2">
      <c r="A6" s="1">
        <v>42795</v>
      </c>
      <c r="B6">
        <v>11</v>
      </c>
      <c r="C6">
        <v>5</v>
      </c>
      <c r="D6">
        <v>6</v>
      </c>
      <c r="E6">
        <v>31</v>
      </c>
      <c r="G6">
        <f t="shared" si="0"/>
        <v>7.4333333333333336</v>
      </c>
      <c r="H6" s="2">
        <v>2.2999999999999998</v>
      </c>
      <c r="I6">
        <v>9.2100000000000009</v>
      </c>
      <c r="J6">
        <v>5.69</v>
      </c>
      <c r="K6">
        <f t="shared" si="2"/>
        <v>1.6186291739894552</v>
      </c>
      <c r="L6">
        <v>353</v>
      </c>
      <c r="M6">
        <v>28</v>
      </c>
      <c r="N6">
        <f t="shared" si="3"/>
        <v>5.416666666666667</v>
      </c>
    </row>
    <row r="7" spans="1:14" x14ac:dyDescent="0.2">
      <c r="A7" s="1">
        <v>42796</v>
      </c>
      <c r="B7">
        <v>11</v>
      </c>
      <c r="C7">
        <v>20</v>
      </c>
      <c r="D7">
        <v>6</v>
      </c>
      <c r="E7">
        <v>6</v>
      </c>
      <c r="G7">
        <f t="shared" si="0"/>
        <v>6.7666666666666666</v>
      </c>
      <c r="H7" s="2">
        <v>0.95</v>
      </c>
      <c r="I7">
        <v>8.77</v>
      </c>
      <c r="J7">
        <v>7.51</v>
      </c>
      <c r="K7">
        <f t="shared" si="2"/>
        <v>1.1677762982689748</v>
      </c>
      <c r="L7">
        <v>226</v>
      </c>
      <c r="M7">
        <v>111</v>
      </c>
      <c r="N7">
        <f t="shared" si="3"/>
        <v>1.9166666666666667</v>
      </c>
    </row>
    <row r="8" spans="1:14" x14ac:dyDescent="0.2">
      <c r="A8" s="1">
        <v>42797</v>
      </c>
      <c r="B8">
        <v>11</v>
      </c>
      <c r="C8">
        <v>2</v>
      </c>
      <c r="D8">
        <v>6</v>
      </c>
      <c r="E8">
        <v>5</v>
      </c>
      <c r="G8">
        <f t="shared" si="0"/>
        <v>7.05</v>
      </c>
      <c r="H8" s="2">
        <v>2.4</v>
      </c>
      <c r="I8">
        <v>7.58</v>
      </c>
      <c r="J8">
        <v>6.37</v>
      </c>
      <c r="K8">
        <f t="shared" si="2"/>
        <v>1.1899529042386185</v>
      </c>
      <c r="L8">
        <v>403</v>
      </c>
      <c r="M8">
        <v>82</v>
      </c>
      <c r="N8">
        <f t="shared" si="3"/>
        <v>5.35</v>
      </c>
    </row>
    <row r="9" spans="1:14" x14ac:dyDescent="0.2">
      <c r="A9" s="1">
        <v>42798</v>
      </c>
      <c r="B9">
        <v>12</v>
      </c>
      <c r="C9">
        <v>22</v>
      </c>
      <c r="D9">
        <v>6</v>
      </c>
      <c r="E9">
        <v>54</v>
      </c>
      <c r="G9">
        <f t="shared" si="0"/>
        <v>6.5333333333333341</v>
      </c>
      <c r="H9" s="2">
        <v>1.1333333333333333</v>
      </c>
      <c r="I9">
        <v>3.36</v>
      </c>
      <c r="J9">
        <v>2.9750000000000001</v>
      </c>
      <c r="K9">
        <f t="shared" si="2"/>
        <v>1.1294117647058823</v>
      </c>
      <c r="L9">
        <v>596</v>
      </c>
      <c r="M9">
        <v>34</v>
      </c>
      <c r="N9">
        <f t="shared" si="3"/>
        <v>9.3666666666666671</v>
      </c>
    </row>
    <row r="10" spans="1:14" x14ac:dyDescent="0.2">
      <c r="A10" s="1">
        <v>42799</v>
      </c>
      <c r="B10">
        <v>10</v>
      </c>
      <c r="C10">
        <v>45</v>
      </c>
      <c r="D10">
        <v>9</v>
      </c>
      <c r="E10">
        <v>24</v>
      </c>
      <c r="F10">
        <v>19</v>
      </c>
      <c r="G10">
        <f t="shared" si="0"/>
        <v>10.333333333333334</v>
      </c>
      <c r="H10" s="2">
        <v>2.7833333333333332</v>
      </c>
      <c r="I10">
        <v>3.32</v>
      </c>
      <c r="J10">
        <v>2.88</v>
      </c>
      <c r="K10">
        <f t="shared" si="2"/>
        <v>1.1527777777777777</v>
      </c>
      <c r="L10">
        <v>468</v>
      </c>
      <c r="M10">
        <v>12</v>
      </c>
      <c r="N10">
        <f t="shared" si="3"/>
        <v>7.6</v>
      </c>
    </row>
    <row r="11" spans="1:14" x14ac:dyDescent="0.2">
      <c r="A11" s="1">
        <v>42800</v>
      </c>
      <c r="B11">
        <v>10</v>
      </c>
      <c r="C11">
        <v>42</v>
      </c>
      <c r="D11">
        <v>7</v>
      </c>
      <c r="E11">
        <v>8</v>
      </c>
      <c r="G11">
        <f t="shared" si="0"/>
        <v>8.4333333333333336</v>
      </c>
      <c r="H11" s="2">
        <v>2.9166666666666665</v>
      </c>
      <c r="I11">
        <v>8.61</v>
      </c>
      <c r="J11">
        <v>6.35</v>
      </c>
      <c r="K11">
        <f t="shared" si="2"/>
        <v>1.3559055118110237</v>
      </c>
      <c r="L11">
        <v>285</v>
      </c>
      <c r="M11">
        <v>75</v>
      </c>
      <c r="N11">
        <f t="shared" si="3"/>
        <v>3.5</v>
      </c>
    </row>
    <row r="12" spans="1:14" x14ac:dyDescent="0.2">
      <c r="A12" s="1">
        <v>42801</v>
      </c>
      <c r="B12">
        <v>10</v>
      </c>
      <c r="C12">
        <v>37</v>
      </c>
      <c r="D12">
        <v>7</v>
      </c>
      <c r="E12">
        <v>0</v>
      </c>
      <c r="G12">
        <f t="shared" si="0"/>
        <v>8.3833333333333329</v>
      </c>
      <c r="H12" s="2">
        <v>3.0666666666666669</v>
      </c>
      <c r="I12">
        <v>7.83</v>
      </c>
      <c r="J12">
        <v>5.53</v>
      </c>
      <c r="K12">
        <f t="shared" si="2"/>
        <v>1.4159132007233273</v>
      </c>
      <c r="L12">
        <v>444</v>
      </c>
      <c r="M12">
        <v>77</v>
      </c>
      <c r="N12">
        <f t="shared" si="3"/>
        <v>6.1166666666666663</v>
      </c>
    </row>
    <row r="13" spans="1:14" x14ac:dyDescent="0.2">
      <c r="A13" s="1">
        <v>42802</v>
      </c>
      <c r="B13">
        <v>11</v>
      </c>
      <c r="C13">
        <v>52</v>
      </c>
      <c r="D13">
        <v>6</v>
      </c>
      <c r="E13">
        <v>49</v>
      </c>
      <c r="G13">
        <f t="shared" si="0"/>
        <v>6.9499999999999993</v>
      </c>
      <c r="H13" s="2">
        <f>2+34/60</f>
        <v>2.5666666666666664</v>
      </c>
      <c r="I13">
        <v>8.1</v>
      </c>
      <c r="J13">
        <v>6.77</v>
      </c>
      <c r="K13">
        <f t="shared" si="2"/>
        <v>1.1964549483013294</v>
      </c>
      <c r="L13">
        <v>253</v>
      </c>
      <c r="M13">
        <v>66</v>
      </c>
      <c r="N13">
        <f t="shared" si="3"/>
        <v>3.1166666666666667</v>
      </c>
    </row>
    <row r="14" spans="1:14" x14ac:dyDescent="0.2">
      <c r="A14" s="1">
        <v>42803</v>
      </c>
      <c r="B14">
        <v>11</v>
      </c>
      <c r="C14">
        <v>9</v>
      </c>
      <c r="D14">
        <v>6</v>
      </c>
      <c r="E14">
        <v>37</v>
      </c>
      <c r="G14">
        <f t="shared" si="0"/>
        <v>7.4666666666666668</v>
      </c>
      <c r="H14" s="2">
        <f>1+47/60</f>
        <v>1.7833333333333332</v>
      </c>
      <c r="I14">
        <v>8.6300000000000008</v>
      </c>
      <c r="J14">
        <v>7.125</v>
      </c>
      <c r="K14">
        <f t="shared" si="2"/>
        <v>1.2112280701754388</v>
      </c>
      <c r="L14">
        <v>109</v>
      </c>
      <c r="M14">
        <v>45</v>
      </c>
      <c r="N14">
        <f t="shared" si="3"/>
        <v>1.0666666666666667</v>
      </c>
    </row>
    <row r="15" spans="1:14" x14ac:dyDescent="0.2">
      <c r="A15" s="1">
        <v>42804</v>
      </c>
      <c r="B15">
        <v>11</v>
      </c>
      <c r="C15">
        <v>26</v>
      </c>
      <c r="D15">
        <v>6</v>
      </c>
      <c r="E15">
        <v>13</v>
      </c>
      <c r="F15">
        <v>16</v>
      </c>
      <c r="G15">
        <f t="shared" si="0"/>
        <v>6.5166666666666666</v>
      </c>
      <c r="H15" s="2">
        <f>1+3/60</f>
        <v>1.05</v>
      </c>
      <c r="I15">
        <v>10.38</v>
      </c>
      <c r="J15">
        <v>7.25</v>
      </c>
      <c r="K15">
        <f t="shared" si="2"/>
        <v>1.4317241379310346</v>
      </c>
      <c r="L15">
        <v>380</v>
      </c>
      <c r="M15">
        <v>56</v>
      </c>
      <c r="N15">
        <f t="shared" si="3"/>
        <v>5.4</v>
      </c>
    </row>
    <row r="16" spans="1:14" x14ac:dyDescent="0.2">
      <c r="A16" s="1">
        <v>42805</v>
      </c>
      <c r="B16">
        <v>12</v>
      </c>
      <c r="C16">
        <v>9</v>
      </c>
      <c r="D16">
        <v>7</v>
      </c>
      <c r="E16">
        <v>23</v>
      </c>
      <c r="G16">
        <f t="shared" si="0"/>
        <v>7.2333333333333334</v>
      </c>
      <c r="H16" s="2">
        <f>1+55/60</f>
        <v>1.9166666666666665</v>
      </c>
      <c r="I16">
        <v>4</v>
      </c>
      <c r="J16">
        <v>3.75</v>
      </c>
      <c r="K16">
        <f t="shared" si="2"/>
        <v>1.0666666666666667</v>
      </c>
      <c r="L16">
        <v>196</v>
      </c>
      <c r="M16">
        <v>1</v>
      </c>
      <c r="N16">
        <f t="shared" si="3"/>
        <v>3.25</v>
      </c>
    </row>
    <row r="17" spans="1:14" x14ac:dyDescent="0.2">
      <c r="A17" s="1">
        <v>42806</v>
      </c>
      <c r="B17">
        <v>13</v>
      </c>
      <c r="C17">
        <v>40</v>
      </c>
      <c r="D17">
        <v>7</v>
      </c>
      <c r="E17">
        <v>55</v>
      </c>
      <c r="G17">
        <f t="shared" si="0"/>
        <v>6.25</v>
      </c>
      <c r="H17" s="2">
        <f>1+22/60</f>
        <v>1.3666666666666667</v>
      </c>
      <c r="I17">
        <v>4.9000000000000004</v>
      </c>
      <c r="J17">
        <v>3.4</v>
      </c>
      <c r="K17">
        <f t="shared" si="2"/>
        <v>1.4411764705882355</v>
      </c>
      <c r="L17">
        <v>406</v>
      </c>
      <c r="M17">
        <v>26</v>
      </c>
      <c r="N17">
        <f t="shared" si="3"/>
        <v>6.333333333333333</v>
      </c>
    </row>
    <row r="18" spans="1:14" x14ac:dyDescent="0.2">
      <c r="A18" s="1">
        <v>42807</v>
      </c>
      <c r="B18">
        <f>第三周!B4</f>
        <v>10</v>
      </c>
      <c r="C18">
        <f>第三周!C4</f>
        <v>57</v>
      </c>
      <c r="D18">
        <f>第三周!D4</f>
        <v>6</v>
      </c>
      <c r="E18">
        <f>第三周!E4</f>
        <v>43</v>
      </c>
      <c r="F18">
        <f>第三周!F4</f>
        <v>16</v>
      </c>
      <c r="G18">
        <f>第三周!G4</f>
        <v>7.5</v>
      </c>
      <c r="H18">
        <f>第三周!H4</f>
        <v>2.1333333333333333</v>
      </c>
      <c r="I18">
        <f>第三周!I4</f>
        <v>9.8800000000000008</v>
      </c>
      <c r="J18">
        <f>第三周!J4</f>
        <v>7.9580000000000002</v>
      </c>
      <c r="K18">
        <f>第三周!K4</f>
        <v>1.2415179693390299</v>
      </c>
      <c r="L18">
        <f>第三周!L4</f>
        <v>273</v>
      </c>
      <c r="M18">
        <f>第三周!M4</f>
        <v>124</v>
      </c>
      <c r="N18">
        <f>第三周!N4</f>
        <v>2.4833333333333334</v>
      </c>
    </row>
    <row r="19" spans="1:14" x14ac:dyDescent="0.2">
      <c r="A19" s="1">
        <v>42808</v>
      </c>
      <c r="B19">
        <f>第三周!B5</f>
        <v>10</v>
      </c>
      <c r="C19">
        <f>第三周!C5</f>
        <v>17</v>
      </c>
      <c r="D19">
        <f>第三周!D5</f>
        <v>6</v>
      </c>
      <c r="E19">
        <f>第三周!E5</f>
        <v>13</v>
      </c>
      <c r="F19">
        <f>第三周!F5</f>
        <v>0</v>
      </c>
      <c r="G19">
        <f>第三周!G5</f>
        <v>7.9333333333333336</v>
      </c>
      <c r="H19">
        <f>第三周!H5</f>
        <v>2.75</v>
      </c>
      <c r="I19">
        <f>第三周!I5</f>
        <v>8.27</v>
      </c>
      <c r="J19">
        <f>第三周!J5</f>
        <v>4.367</v>
      </c>
      <c r="K19">
        <f>第三周!K5</f>
        <v>1.893748568811541</v>
      </c>
      <c r="L19">
        <f>第三周!L5</f>
        <v>470</v>
      </c>
      <c r="M19">
        <f>第三周!M5</f>
        <v>66</v>
      </c>
      <c r="N19">
        <f>第三周!N5</f>
        <v>6.7333333333333334</v>
      </c>
    </row>
    <row r="20" spans="1:14" x14ac:dyDescent="0.2">
      <c r="A20" s="1">
        <v>42809</v>
      </c>
      <c r="B20">
        <f>第三周!B6</f>
        <v>10</v>
      </c>
      <c r="C20">
        <f>第三周!C6</f>
        <v>29</v>
      </c>
      <c r="D20">
        <f>第三周!D6</f>
        <v>6</v>
      </c>
      <c r="E20">
        <f>第三周!E6</f>
        <v>21</v>
      </c>
      <c r="F20">
        <f>第三周!F6</f>
        <v>0</v>
      </c>
      <c r="G20">
        <f>第三周!G6</f>
        <v>7.8666666666666663</v>
      </c>
      <c r="H20">
        <f>第三周!H6</f>
        <v>2.5833333333333335</v>
      </c>
      <c r="I20">
        <f>第三周!I6</f>
        <v>7.03</v>
      </c>
      <c r="J20">
        <f>第三周!J6</f>
        <v>5.18</v>
      </c>
      <c r="K20">
        <f>第三周!K6</f>
        <v>1.3571428571428572</v>
      </c>
      <c r="L20">
        <f>第三周!L6</f>
        <v>278</v>
      </c>
      <c r="M20">
        <f>第三周!M6</f>
        <v>74</v>
      </c>
      <c r="N20">
        <f>第三周!N6</f>
        <v>3.4</v>
      </c>
    </row>
    <row r="21" spans="1:14" x14ac:dyDescent="0.2">
      <c r="A21" s="1">
        <v>42810</v>
      </c>
      <c r="B21">
        <f>第三周!B7</f>
        <v>12</v>
      </c>
      <c r="C21">
        <f>第三周!C7</f>
        <v>16</v>
      </c>
      <c r="D21">
        <f>第三周!D7</f>
        <v>6</v>
      </c>
      <c r="E21">
        <f>第三周!E7</f>
        <v>34</v>
      </c>
      <c r="F21">
        <f>第三周!F7</f>
        <v>15</v>
      </c>
      <c r="G21">
        <f>第三周!G7</f>
        <v>6.05</v>
      </c>
      <c r="H21">
        <f>第三周!H7</f>
        <v>1.2166666666666668</v>
      </c>
      <c r="I21">
        <f>第三周!I7</f>
        <v>10.16</v>
      </c>
      <c r="J21">
        <f>第三周!J7</f>
        <v>7.79</v>
      </c>
      <c r="K21">
        <f>第三周!K7</f>
        <v>1.3042362002567394</v>
      </c>
      <c r="L21">
        <f>第三周!L7</f>
        <v>286</v>
      </c>
      <c r="M21">
        <f>第三周!M7</f>
        <v>36</v>
      </c>
      <c r="N21">
        <f>第三周!N7</f>
        <v>4.166666666666667</v>
      </c>
    </row>
    <row r="22" spans="1:14" x14ac:dyDescent="0.2">
      <c r="A22" s="1">
        <v>42811</v>
      </c>
      <c r="B22">
        <f>第三周!B8</f>
        <v>11</v>
      </c>
      <c r="C22">
        <f>第三周!C8</f>
        <v>54</v>
      </c>
      <c r="D22">
        <f>第三周!D8</f>
        <v>6</v>
      </c>
      <c r="E22">
        <f>第三周!E8</f>
        <v>39</v>
      </c>
      <c r="F22">
        <f>第三周!F8</f>
        <v>0</v>
      </c>
      <c r="G22">
        <f>第三周!G8</f>
        <v>6.75</v>
      </c>
      <c r="H22">
        <f>第三周!H8</f>
        <v>1.8833333333333333</v>
      </c>
      <c r="I22">
        <f>第三周!I8</f>
        <v>10.130000000000001</v>
      </c>
      <c r="J22">
        <f>第三周!J8</f>
        <v>7.67</v>
      </c>
      <c r="K22">
        <f>第三周!K8</f>
        <v>1.320730117340287</v>
      </c>
      <c r="L22">
        <f>第三周!L8</f>
        <v>173</v>
      </c>
      <c r="M22">
        <f>第三周!M8</f>
        <v>9</v>
      </c>
      <c r="N22">
        <f>第三周!N8</f>
        <v>2.7333333333333334</v>
      </c>
    </row>
    <row r="23" spans="1:14" x14ac:dyDescent="0.2">
      <c r="A23" s="1">
        <v>42812</v>
      </c>
      <c r="B23">
        <f>第四周!B2</f>
        <v>11</v>
      </c>
      <c r="C23">
        <f>第四周!C2</f>
        <v>51</v>
      </c>
      <c r="D23">
        <f>第四周!D2</f>
        <v>7</v>
      </c>
      <c r="E23">
        <f>第四周!E2</f>
        <v>2</v>
      </c>
      <c r="F23">
        <f>第四周!F2</f>
        <v>0</v>
      </c>
      <c r="G23">
        <f>第四周!G2</f>
        <v>7.1833333333333336</v>
      </c>
      <c r="H23">
        <f>第四周!H2</f>
        <v>2.3333333333333335</v>
      </c>
      <c r="I23">
        <f>第四周!I2</f>
        <v>6.5170000000000003</v>
      </c>
      <c r="J23">
        <f>第四周!J2</f>
        <v>5.28</v>
      </c>
      <c r="K23">
        <f>第四周!L2</f>
        <v>1.2342803030303031</v>
      </c>
      <c r="L23">
        <f>第四周!M2</f>
        <v>418</v>
      </c>
      <c r="M23">
        <f>第四周!N2</f>
        <v>3</v>
      </c>
      <c r="N23">
        <f>第四周!O2</f>
        <v>6.916666666666667</v>
      </c>
    </row>
    <row r="24" spans="1:14" x14ac:dyDescent="0.2">
      <c r="A24" s="1">
        <v>42813</v>
      </c>
      <c r="B24">
        <f>第四周!B3</f>
        <v>14</v>
      </c>
      <c r="C24">
        <f>第四周!C3</f>
        <v>35</v>
      </c>
      <c r="D24">
        <f>第四周!D3</f>
        <v>8</v>
      </c>
      <c r="E24">
        <f>第四周!E3</f>
        <v>11</v>
      </c>
      <c r="F24">
        <f>第四周!F3</f>
        <v>0</v>
      </c>
      <c r="G24">
        <f>第四周!G3</f>
        <v>5.6000000000000005</v>
      </c>
      <c r="H24">
        <f>第四周!H3</f>
        <v>1.7666666666666666</v>
      </c>
      <c r="I24">
        <f>第四周!I3</f>
        <v>6.1669999999999998</v>
      </c>
      <c r="J24">
        <f>第四周!J3</f>
        <v>5.0999999999999996</v>
      </c>
      <c r="K24">
        <f>第四周!L3</f>
        <v>1.2092156862745098</v>
      </c>
      <c r="L24">
        <f>第四周!M3</f>
        <v>360</v>
      </c>
      <c r="M24">
        <f>第四周!N3</f>
        <v>10</v>
      </c>
      <c r="N24">
        <f>第四周!O3</f>
        <v>5.833333333333333</v>
      </c>
    </row>
    <row r="25" spans="1:14" x14ac:dyDescent="0.2">
      <c r="A25" s="1">
        <v>42814</v>
      </c>
      <c r="B25">
        <f>第四周!B4</f>
        <v>11</v>
      </c>
      <c r="C25">
        <f>第四周!C4</f>
        <v>1</v>
      </c>
      <c r="D25">
        <f>第四周!D4</f>
        <v>6</v>
      </c>
      <c r="E25">
        <f>第四周!E4</f>
        <v>51</v>
      </c>
      <c r="F25">
        <f>第四周!F4</f>
        <v>0</v>
      </c>
      <c r="G25">
        <f>第四周!G4</f>
        <v>7.833333333333333</v>
      </c>
      <c r="H25">
        <f>第四周!H4</f>
        <v>1.9</v>
      </c>
      <c r="I25">
        <f>第四周!I4</f>
        <v>11.14</v>
      </c>
      <c r="J25">
        <f>第四周!J4</f>
        <v>7.57</v>
      </c>
      <c r="K25">
        <f>第四周!L4</f>
        <v>1.4715984147952443</v>
      </c>
      <c r="L25">
        <f>第四周!M4</f>
        <v>356</v>
      </c>
      <c r="M25">
        <f>第四周!N4</f>
        <v>73</v>
      </c>
      <c r="N25">
        <f>第四周!O4</f>
        <v>4.7166666666666668</v>
      </c>
    </row>
    <row r="26" spans="1:14" x14ac:dyDescent="0.2">
      <c r="A26" s="1">
        <v>42815</v>
      </c>
      <c r="B26">
        <f>第四周!B5</f>
        <v>11</v>
      </c>
      <c r="C26">
        <f>第四周!C5</f>
        <v>58</v>
      </c>
      <c r="D26">
        <f>第四周!D5</f>
        <v>6</v>
      </c>
      <c r="E26">
        <f>第四周!E5</f>
        <v>50</v>
      </c>
      <c r="F26">
        <f>第四周!F5</f>
        <v>0</v>
      </c>
      <c r="G26">
        <f>第四周!G5</f>
        <v>6.8666666666666663</v>
      </c>
      <c r="H26">
        <f>第四周!H5</f>
        <v>2.4</v>
      </c>
      <c r="I26">
        <f>第四周!I5</f>
        <v>3</v>
      </c>
      <c r="J26">
        <f>第四周!J5</f>
        <v>2.0249999999999999</v>
      </c>
      <c r="K26">
        <f>第四周!L5</f>
        <v>1.4814814814814816</v>
      </c>
      <c r="L26">
        <f>第四周!M5</f>
        <v>381</v>
      </c>
      <c r="M26">
        <f>第四周!N5</f>
        <v>0</v>
      </c>
      <c r="N26">
        <f>第四周!O5</f>
        <v>6.35</v>
      </c>
    </row>
    <row r="27" spans="1:14" x14ac:dyDescent="0.2">
      <c r="A27" s="1">
        <v>42816</v>
      </c>
      <c r="B27">
        <f>第四周!B6</f>
        <v>10</v>
      </c>
      <c r="C27">
        <f>第四周!C6</f>
        <v>22</v>
      </c>
      <c r="D27">
        <f>第四周!D6</f>
        <v>6</v>
      </c>
      <c r="E27">
        <f>第四周!E6</f>
        <v>48</v>
      </c>
      <c r="F27">
        <f>第四周!F6</f>
        <v>0</v>
      </c>
      <c r="G27">
        <f>第四周!G6</f>
        <v>8.4333333333333336</v>
      </c>
      <c r="H27">
        <f>第四周!H6</f>
        <v>2.6666666666666665</v>
      </c>
      <c r="I27">
        <f>第四周!I6</f>
        <v>5.25</v>
      </c>
      <c r="J27">
        <f>第四周!J6</f>
        <v>4.25</v>
      </c>
      <c r="K27">
        <f>第四周!L6</f>
        <v>1.2352941176470589</v>
      </c>
      <c r="L27">
        <f>第四周!M6</f>
        <v>318</v>
      </c>
      <c r="M27">
        <f>第四周!N6</f>
        <v>0</v>
      </c>
      <c r="N27">
        <f>第四周!O6</f>
        <v>5.3</v>
      </c>
    </row>
    <row r="28" spans="1:14" x14ac:dyDescent="0.2">
      <c r="A28" s="1">
        <v>42817</v>
      </c>
      <c r="B28">
        <f>第四周!B7</f>
        <v>10</v>
      </c>
      <c r="C28">
        <f>第四周!C7</f>
        <v>27</v>
      </c>
      <c r="D28">
        <f>第四周!D7</f>
        <v>6</v>
      </c>
      <c r="E28">
        <f>第四周!E7</f>
        <v>29</v>
      </c>
      <c r="F28">
        <f>第四周!F7</f>
        <v>0</v>
      </c>
      <c r="G28">
        <f>第四周!G7</f>
        <v>8.0333333333333332</v>
      </c>
      <c r="H28">
        <f>第四周!H7</f>
        <v>2.1666666666666665</v>
      </c>
      <c r="I28">
        <f>第四周!I7</f>
        <v>9.82</v>
      </c>
      <c r="J28">
        <f>第四周!J7</f>
        <v>8.6</v>
      </c>
      <c r="K28">
        <f>第四周!L7</f>
        <v>1.1418604651162791</v>
      </c>
      <c r="L28">
        <f>第四周!M7</f>
        <v>279</v>
      </c>
      <c r="M28">
        <f>第四周!N7</f>
        <v>92</v>
      </c>
      <c r="N28">
        <f>第四周!O7</f>
        <v>3.1166666666666667</v>
      </c>
    </row>
    <row r="29" spans="1:14" x14ac:dyDescent="0.2">
      <c r="A29" s="1">
        <v>42818</v>
      </c>
      <c r="B29">
        <f>第四周!B8</f>
        <v>11</v>
      </c>
      <c r="C29">
        <f>第四周!C8</f>
        <v>17</v>
      </c>
      <c r="D29">
        <f>第四周!D8</f>
        <v>6</v>
      </c>
      <c r="E29">
        <f>第四周!E8</f>
        <v>23</v>
      </c>
      <c r="F29">
        <f>第四周!F8</f>
        <v>0</v>
      </c>
      <c r="G29">
        <f>第四周!G8</f>
        <v>7.1000000000000005</v>
      </c>
      <c r="H29">
        <f>第四周!H8</f>
        <v>2.5</v>
      </c>
      <c r="I29">
        <f>第四周!I8</f>
        <v>8.7799999999999994</v>
      </c>
      <c r="J29">
        <f>第四周!J8</f>
        <v>5.86</v>
      </c>
      <c r="K29">
        <f>第四周!L8</f>
        <v>1.4982935153583616</v>
      </c>
      <c r="L29">
        <f>第四周!M8</f>
        <v>350</v>
      </c>
      <c r="M29">
        <f>第四周!N8</f>
        <v>80</v>
      </c>
      <c r="N29">
        <f>第四周!O8</f>
        <v>4.5</v>
      </c>
    </row>
    <row r="30" spans="1:14" x14ac:dyDescent="0.2">
      <c r="A30" s="1">
        <v>42819</v>
      </c>
      <c r="B30">
        <f>第五周!B2</f>
        <v>11</v>
      </c>
      <c r="C30">
        <f>第五周!C2</f>
        <v>12</v>
      </c>
      <c r="D30">
        <f>第五周!D2</f>
        <v>7</v>
      </c>
      <c r="E30">
        <f>第五周!E2</f>
        <v>14</v>
      </c>
      <c r="F30">
        <f>第五周!F2</f>
        <v>0</v>
      </c>
      <c r="G30">
        <f>第五周!G2</f>
        <v>8.0333333333333332</v>
      </c>
      <c r="H30">
        <f>第五周!H2</f>
        <v>2.5</v>
      </c>
      <c r="I30">
        <f>第五周!I2</f>
        <v>8</v>
      </c>
      <c r="J30">
        <f>第五周!J2</f>
        <v>5.6</v>
      </c>
      <c r="K30">
        <f>第五周!K2</f>
        <v>1.4285714285714286</v>
      </c>
      <c r="L30">
        <f>第五周!L2</f>
        <v>415</v>
      </c>
      <c r="M30">
        <f>第五周!M2</f>
        <v>40</v>
      </c>
      <c r="N30">
        <f>第五周!N2</f>
        <v>6.25</v>
      </c>
    </row>
    <row r="31" spans="1:14" x14ac:dyDescent="0.2">
      <c r="A31" s="1">
        <v>42820</v>
      </c>
      <c r="B31">
        <f>第五周!B3</f>
        <v>13</v>
      </c>
      <c r="C31">
        <f>第五周!C3</f>
        <v>32</v>
      </c>
      <c r="D31">
        <f>第五周!D3</f>
        <v>7</v>
      </c>
      <c r="E31">
        <f>第五周!E3</f>
        <v>3</v>
      </c>
      <c r="F31">
        <f>第五周!F3</f>
        <v>2</v>
      </c>
      <c r="G31">
        <f>第五周!G3</f>
        <v>5.4833333333333334</v>
      </c>
      <c r="H31">
        <f>第五周!H3</f>
        <v>1.6666666666666665</v>
      </c>
      <c r="I31">
        <f>第五周!I3</f>
        <v>6.88</v>
      </c>
      <c r="J31">
        <f>第五周!J3</f>
        <v>5.2249999999999996</v>
      </c>
      <c r="K31">
        <f>第五周!K3</f>
        <v>1.3167464114832537</v>
      </c>
      <c r="L31">
        <f>第五周!L3</f>
        <v>383</v>
      </c>
      <c r="M31">
        <f>第五周!M3</f>
        <v>4</v>
      </c>
      <c r="N31">
        <f>第五周!N3</f>
        <v>6.3166666666666664</v>
      </c>
    </row>
    <row r="32" spans="1:14" x14ac:dyDescent="0.2">
      <c r="A32" s="1">
        <v>42821</v>
      </c>
      <c r="B32">
        <f>第五周!B4</f>
        <v>11</v>
      </c>
      <c r="C32">
        <f>第五周!C4</f>
        <v>20</v>
      </c>
      <c r="D32">
        <f>第五周!D4</f>
        <v>7</v>
      </c>
      <c r="E32">
        <f>第五周!E4</f>
        <v>0</v>
      </c>
      <c r="F32">
        <f>第五周!F4</f>
        <v>0</v>
      </c>
      <c r="G32">
        <f>第五周!G4</f>
        <v>7.666666666666667</v>
      </c>
      <c r="H32">
        <f>第五周!H4</f>
        <v>2.6833333333333336</v>
      </c>
      <c r="I32">
        <f>第五周!I4</f>
        <v>9.18</v>
      </c>
      <c r="J32">
        <f>第五周!J4</f>
        <v>7.7050000000000001</v>
      </c>
      <c r="K32">
        <f>第五周!K4</f>
        <v>1.191434133679429</v>
      </c>
      <c r="L32">
        <f>第五周!L4</f>
        <v>271</v>
      </c>
      <c r="M32">
        <f>第五周!M4</f>
        <v>81</v>
      </c>
      <c r="N32">
        <f>第五周!N4</f>
        <v>3.1666666666666665</v>
      </c>
    </row>
    <row r="33" spans="1:14" x14ac:dyDescent="0.2">
      <c r="A33" s="1">
        <v>42822</v>
      </c>
      <c r="B33">
        <f>第五周!B5</f>
        <v>11</v>
      </c>
      <c r="C33">
        <f>第五周!C5</f>
        <v>0</v>
      </c>
      <c r="D33">
        <f>第五周!D5</f>
        <v>6</v>
      </c>
      <c r="E33">
        <f>第五周!E5</f>
        <v>46</v>
      </c>
      <c r="F33">
        <f>第五周!F5</f>
        <v>0</v>
      </c>
      <c r="G33">
        <f>第五周!G5</f>
        <v>7.7666666666666666</v>
      </c>
      <c r="H33">
        <f>第五周!H5</f>
        <v>2.6333333333333333</v>
      </c>
      <c r="I33">
        <f>第五周!I5</f>
        <v>3</v>
      </c>
      <c r="J33">
        <f>第五周!J5</f>
        <v>1.4624999999999999</v>
      </c>
      <c r="K33">
        <f>第五周!K5</f>
        <v>2.0512820512820515</v>
      </c>
      <c r="L33">
        <f>第五周!L5</f>
        <v>524</v>
      </c>
      <c r="M33">
        <f>第五周!M5</f>
        <v>0</v>
      </c>
      <c r="N33">
        <f>第五周!N5</f>
        <v>8.7333333333333325</v>
      </c>
    </row>
    <row r="34" spans="1:14" x14ac:dyDescent="0.2">
      <c r="A34" s="1">
        <v>42823</v>
      </c>
      <c r="B34">
        <f>第五周!B6</f>
        <v>12</v>
      </c>
      <c r="C34">
        <f>第五周!C6</f>
        <v>33</v>
      </c>
      <c r="D34">
        <f>第五周!D6</f>
        <v>7</v>
      </c>
      <c r="E34">
        <f>第五周!E6</f>
        <v>5</v>
      </c>
      <c r="F34">
        <f>第五周!F6</f>
        <v>0</v>
      </c>
      <c r="G34">
        <f>第五周!G6</f>
        <v>6.5333333333333332</v>
      </c>
      <c r="H34">
        <f>第五周!H6</f>
        <v>3.05</v>
      </c>
      <c r="I34">
        <f>第五周!I6</f>
        <v>7.4169999999999998</v>
      </c>
      <c r="J34">
        <f>第五周!J6</f>
        <v>6.2539999999999996</v>
      </c>
      <c r="K34">
        <f>第五周!K6</f>
        <v>1.1859609849696195</v>
      </c>
      <c r="L34">
        <f>第五周!L6</f>
        <v>379</v>
      </c>
      <c r="M34">
        <f>第五周!M6</f>
        <v>71</v>
      </c>
      <c r="N34">
        <f>第五周!N6</f>
        <v>5.1333333333333337</v>
      </c>
    </row>
    <row r="35" spans="1:14" x14ac:dyDescent="0.2">
      <c r="A35" s="1">
        <v>42824</v>
      </c>
      <c r="B35">
        <f>第五周!B7</f>
        <v>11</v>
      </c>
      <c r="C35">
        <f>第五周!C7</f>
        <v>14</v>
      </c>
      <c r="D35">
        <f>第五周!D7</f>
        <v>6</v>
      </c>
      <c r="E35">
        <f>第五周!E7</f>
        <v>38</v>
      </c>
      <c r="F35">
        <f>第五周!F7</f>
        <v>0</v>
      </c>
      <c r="G35">
        <f>第五周!G7</f>
        <v>7.3999999999999995</v>
      </c>
      <c r="H35">
        <f>第五周!H7</f>
        <v>2.2999999999999998</v>
      </c>
      <c r="I35">
        <f>第五周!I7</f>
        <v>9.7829999999999995</v>
      </c>
      <c r="J35">
        <f>第五周!J7</f>
        <v>7.6</v>
      </c>
      <c r="K35">
        <f>第五周!K7</f>
        <v>1.2872368421052631</v>
      </c>
      <c r="L35">
        <f>第五周!L7</f>
        <v>254</v>
      </c>
      <c r="M35">
        <f>第五周!M7</f>
        <v>71</v>
      </c>
      <c r="N35">
        <f>第五周!N7</f>
        <v>3.05</v>
      </c>
    </row>
    <row r="36" spans="1:14" x14ac:dyDescent="0.2">
      <c r="A36" s="1">
        <v>42825</v>
      </c>
      <c r="B36">
        <f>第五周!B8</f>
        <v>11</v>
      </c>
      <c r="C36">
        <f>第五周!C8</f>
        <v>0</v>
      </c>
      <c r="D36">
        <f>第五周!D8</f>
        <v>6</v>
      </c>
      <c r="E36">
        <f>第五周!E8</f>
        <v>58</v>
      </c>
      <c r="F36">
        <f>第五周!F8</f>
        <v>0</v>
      </c>
      <c r="G36">
        <f>第五周!G8</f>
        <v>7.9666666666666668</v>
      </c>
      <c r="H36">
        <f>第五周!H8</f>
        <v>2.0666666666666669</v>
      </c>
      <c r="I36">
        <f>第五周!I8</f>
        <v>7.5170000000000003</v>
      </c>
      <c r="J36">
        <f>第五周!J8</f>
        <v>5.95</v>
      </c>
      <c r="K36">
        <f>第五周!K8</f>
        <v>1.2633613445378151</v>
      </c>
      <c r="L36">
        <f>第五周!L8</f>
        <v>250</v>
      </c>
      <c r="M36">
        <f>第五周!M8</f>
        <v>1</v>
      </c>
      <c r="N36">
        <f>第五周!N8</f>
        <v>4.1500000000000004</v>
      </c>
    </row>
    <row r="37" spans="1:14" x14ac:dyDescent="0.2">
      <c r="G37"/>
      <c r="H3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19" sqref="G19"/>
    </sheetView>
  </sheetViews>
  <sheetFormatPr defaultRowHeight="14.25" x14ac:dyDescent="0.2"/>
  <cols>
    <col min="1" max="1" width="10" bestFit="1" customWidth="1"/>
  </cols>
  <sheetData>
    <row r="1" spans="1:14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0</v>
      </c>
      <c r="H1" s="2" t="s">
        <v>3</v>
      </c>
      <c r="I1" t="s">
        <v>1</v>
      </c>
      <c r="J1" t="s">
        <v>2</v>
      </c>
      <c r="K1" t="s">
        <v>12</v>
      </c>
      <c r="L1" t="s">
        <v>9</v>
      </c>
      <c r="M1" t="s">
        <v>10</v>
      </c>
      <c r="N1" t="s">
        <v>11</v>
      </c>
    </row>
    <row r="2" spans="1:14" x14ac:dyDescent="0.2">
      <c r="A2" s="1">
        <v>42791</v>
      </c>
      <c r="B2">
        <v>11</v>
      </c>
      <c r="C2">
        <v>16</v>
      </c>
      <c r="D2">
        <v>5</v>
      </c>
      <c r="E2">
        <v>40</v>
      </c>
      <c r="G2">
        <f t="shared" ref="G2:G8" si="0">D2-B2+12+E2/60-C2/60-F2/60</f>
        <v>6.4</v>
      </c>
      <c r="H2" s="2"/>
      <c r="I2">
        <f t="shared" ref="I2:I3" si="1">J2*1.29</f>
        <v>0.77400000000000002</v>
      </c>
      <c r="J2">
        <v>0.6</v>
      </c>
      <c r="K2">
        <f t="shared" ref="K2:K8" si="2">I2/J2</f>
        <v>1.29</v>
      </c>
      <c r="L2">
        <v>556</v>
      </c>
      <c r="M2">
        <v>7</v>
      </c>
      <c r="N2">
        <f t="shared" ref="N2:N8" si="3">(L2-M2)/60</f>
        <v>9.15</v>
      </c>
    </row>
    <row r="3" spans="1:14" x14ac:dyDescent="0.2">
      <c r="A3" s="1">
        <v>42792</v>
      </c>
      <c r="B3">
        <v>9</v>
      </c>
      <c r="C3">
        <v>26</v>
      </c>
      <c r="D3">
        <v>6</v>
      </c>
      <c r="E3">
        <v>20</v>
      </c>
      <c r="G3">
        <f t="shared" si="0"/>
        <v>8.9</v>
      </c>
      <c r="H3" s="2"/>
      <c r="I3">
        <f t="shared" si="1"/>
        <v>1.29</v>
      </c>
      <c r="J3">
        <v>1</v>
      </c>
      <c r="K3">
        <f t="shared" si="2"/>
        <v>1.29</v>
      </c>
      <c r="L3">
        <v>240</v>
      </c>
      <c r="M3">
        <v>16</v>
      </c>
      <c r="N3">
        <f t="shared" si="3"/>
        <v>3.7333333333333334</v>
      </c>
    </row>
    <row r="4" spans="1:14" x14ac:dyDescent="0.2">
      <c r="A4" s="1">
        <v>42793</v>
      </c>
      <c r="B4">
        <v>11</v>
      </c>
      <c r="C4">
        <v>7</v>
      </c>
      <c r="D4">
        <v>6</v>
      </c>
      <c r="E4">
        <v>36</v>
      </c>
      <c r="G4">
        <f t="shared" si="0"/>
        <v>7.4833333333333334</v>
      </c>
      <c r="H4" s="2">
        <v>1.8833333333333333</v>
      </c>
      <c r="I4">
        <v>8.5</v>
      </c>
      <c r="J4">
        <v>7.4</v>
      </c>
      <c r="K4">
        <f t="shared" si="2"/>
        <v>1.1486486486486487</v>
      </c>
      <c r="L4">
        <v>311</v>
      </c>
      <c r="M4">
        <v>60</v>
      </c>
      <c r="N4">
        <f t="shared" si="3"/>
        <v>4.1833333333333336</v>
      </c>
    </row>
    <row r="5" spans="1:14" x14ac:dyDescent="0.2">
      <c r="A5" s="1">
        <v>42794</v>
      </c>
      <c r="B5">
        <v>10</v>
      </c>
      <c r="C5">
        <v>47</v>
      </c>
      <c r="D5">
        <v>6</v>
      </c>
      <c r="E5">
        <v>59</v>
      </c>
      <c r="G5">
        <f t="shared" si="0"/>
        <v>8.1999999999999993</v>
      </c>
      <c r="H5" s="2">
        <v>2.0333333333333332</v>
      </c>
      <c r="I5">
        <v>10.35</v>
      </c>
      <c r="J5">
        <v>6.52</v>
      </c>
      <c r="K5">
        <f t="shared" si="2"/>
        <v>1.5874233128834356</v>
      </c>
      <c r="L5">
        <v>446</v>
      </c>
      <c r="M5">
        <v>61</v>
      </c>
      <c r="N5">
        <f t="shared" si="3"/>
        <v>6.416666666666667</v>
      </c>
    </row>
    <row r="6" spans="1:14" x14ac:dyDescent="0.2">
      <c r="A6" s="1">
        <v>42795</v>
      </c>
      <c r="B6">
        <v>11</v>
      </c>
      <c r="C6">
        <v>5</v>
      </c>
      <c r="D6">
        <v>6</v>
      </c>
      <c r="E6">
        <v>31</v>
      </c>
      <c r="G6">
        <f t="shared" si="0"/>
        <v>7.4333333333333336</v>
      </c>
      <c r="H6" s="2">
        <v>2.2999999999999998</v>
      </c>
      <c r="I6">
        <v>9.2100000000000009</v>
      </c>
      <c r="J6">
        <v>5.69</v>
      </c>
      <c r="K6">
        <f t="shared" si="2"/>
        <v>1.6186291739894552</v>
      </c>
      <c r="L6">
        <v>353</v>
      </c>
      <c r="M6">
        <v>28</v>
      </c>
      <c r="N6">
        <f t="shared" si="3"/>
        <v>5.416666666666667</v>
      </c>
    </row>
    <row r="7" spans="1:14" x14ac:dyDescent="0.2">
      <c r="A7" s="1">
        <v>42796</v>
      </c>
      <c r="B7">
        <v>11</v>
      </c>
      <c r="C7">
        <v>20</v>
      </c>
      <c r="D7">
        <v>6</v>
      </c>
      <c r="E7">
        <v>6</v>
      </c>
      <c r="G7">
        <f t="shared" si="0"/>
        <v>6.7666666666666666</v>
      </c>
      <c r="H7" s="2">
        <v>0.95</v>
      </c>
      <c r="I7">
        <v>8.77</v>
      </c>
      <c r="J7">
        <v>7.51</v>
      </c>
      <c r="K7">
        <f t="shared" si="2"/>
        <v>1.1677762982689748</v>
      </c>
      <c r="L7">
        <v>226</v>
      </c>
      <c r="M7">
        <v>111</v>
      </c>
      <c r="N7">
        <f t="shared" si="3"/>
        <v>1.9166666666666667</v>
      </c>
    </row>
    <row r="8" spans="1:14" x14ac:dyDescent="0.2">
      <c r="A8" s="1">
        <v>42797</v>
      </c>
      <c r="B8">
        <v>11</v>
      </c>
      <c r="C8">
        <v>2</v>
      </c>
      <c r="D8">
        <v>6</v>
      </c>
      <c r="E8">
        <v>5</v>
      </c>
      <c r="G8">
        <f t="shared" si="0"/>
        <v>7.05</v>
      </c>
      <c r="H8" s="2">
        <v>2.4</v>
      </c>
      <c r="I8">
        <v>7.58</v>
      </c>
      <c r="J8">
        <v>6.37</v>
      </c>
      <c r="K8">
        <f t="shared" si="2"/>
        <v>1.1899529042386185</v>
      </c>
      <c r="L8">
        <v>403</v>
      </c>
      <c r="M8">
        <v>82</v>
      </c>
      <c r="N8">
        <f t="shared" si="3"/>
        <v>5.35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J7" sqref="J7"/>
    </sheetView>
  </sheetViews>
  <sheetFormatPr defaultRowHeight="14.25" x14ac:dyDescent="0.2"/>
  <cols>
    <col min="1" max="1" width="10" bestFit="1" customWidth="1"/>
    <col min="3" max="3" width="5.25" bestFit="1" customWidth="1"/>
    <col min="7" max="7" width="12.75" bestFit="1" customWidth="1"/>
    <col min="8" max="8" width="7.125" bestFit="1" customWidth="1"/>
    <col min="9" max="10" width="11.75" bestFit="1" customWidth="1"/>
    <col min="11" max="11" width="12.75" bestFit="1" customWidth="1"/>
    <col min="12" max="12" width="14.125" bestFit="1" customWidth="1"/>
    <col min="13" max="13" width="21.375" bestFit="1" customWidth="1"/>
    <col min="14" max="14" width="15.125" bestFit="1" customWidth="1"/>
  </cols>
  <sheetData>
    <row r="1" spans="1:18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0</v>
      </c>
      <c r="H1" s="2" t="s">
        <v>3</v>
      </c>
      <c r="I1" t="s">
        <v>1</v>
      </c>
      <c r="J1" t="s">
        <v>2</v>
      </c>
      <c r="K1" t="s">
        <v>12</v>
      </c>
      <c r="L1" t="s">
        <v>9</v>
      </c>
      <c r="M1" t="s">
        <v>10</v>
      </c>
      <c r="N1" t="s">
        <v>11</v>
      </c>
    </row>
    <row r="2" spans="1:18" x14ac:dyDescent="0.2">
      <c r="A2" s="1">
        <v>42798</v>
      </c>
      <c r="B2">
        <v>12</v>
      </c>
      <c r="C2">
        <v>22</v>
      </c>
      <c r="D2">
        <v>6</v>
      </c>
      <c r="E2">
        <v>54</v>
      </c>
      <c r="G2">
        <f t="shared" ref="G2:G8" si="0">D2-B2+12+E2/60-C2/60-F2/60</f>
        <v>6.5333333333333341</v>
      </c>
      <c r="H2" s="2">
        <v>1.1333333333333333</v>
      </c>
      <c r="I2">
        <v>3.36</v>
      </c>
      <c r="J2">
        <v>2.9750000000000001</v>
      </c>
      <c r="K2">
        <f t="shared" ref="K2:K8" si="1">I2/J2</f>
        <v>1.1294117647058823</v>
      </c>
      <c r="L2">
        <v>596</v>
      </c>
      <c r="M2">
        <v>34</v>
      </c>
      <c r="N2">
        <f t="shared" ref="N2:N8" si="2">(L2-M2)/60</f>
        <v>9.3666666666666671</v>
      </c>
      <c r="O2">
        <v>24</v>
      </c>
      <c r="P2">
        <f>O2-G2</f>
        <v>17.466666666666665</v>
      </c>
      <c r="Q2" s="2">
        <f>O2-H2</f>
        <v>22.866666666666667</v>
      </c>
      <c r="R2">
        <f>24-N2-G2</f>
        <v>8.0999999999999979</v>
      </c>
    </row>
    <row r="3" spans="1:18" x14ac:dyDescent="0.2">
      <c r="A3" s="1">
        <v>42799</v>
      </c>
      <c r="B3">
        <v>10</v>
      </c>
      <c r="C3">
        <v>45</v>
      </c>
      <c r="D3">
        <v>9</v>
      </c>
      <c r="E3">
        <v>24</v>
      </c>
      <c r="F3">
        <v>19</v>
      </c>
      <c r="G3">
        <f t="shared" si="0"/>
        <v>10.333333333333334</v>
      </c>
      <c r="H3" s="2">
        <v>2.7833333333333332</v>
      </c>
      <c r="I3">
        <v>3.32</v>
      </c>
      <c r="J3">
        <v>2.88</v>
      </c>
      <c r="K3">
        <f t="shared" si="1"/>
        <v>1.1527777777777777</v>
      </c>
      <c r="L3">
        <v>468</v>
      </c>
      <c r="M3">
        <v>12</v>
      </c>
      <c r="N3">
        <f t="shared" si="2"/>
        <v>7.6</v>
      </c>
      <c r="O3">
        <v>24</v>
      </c>
      <c r="P3">
        <f t="shared" ref="P3:P8" si="3">O3-G3</f>
        <v>13.666666666666666</v>
      </c>
      <c r="Q3" s="2">
        <f t="shared" ref="Q3:Q8" si="4">O3-H3</f>
        <v>21.216666666666669</v>
      </c>
      <c r="R3">
        <f t="shared" ref="R3:R8" si="5">24-N3-G3</f>
        <v>6.0666666666666647</v>
      </c>
    </row>
    <row r="4" spans="1:18" x14ac:dyDescent="0.2">
      <c r="A4" s="1">
        <v>42800</v>
      </c>
      <c r="B4">
        <v>10</v>
      </c>
      <c r="C4">
        <v>42</v>
      </c>
      <c r="D4">
        <v>7</v>
      </c>
      <c r="E4">
        <v>8</v>
      </c>
      <c r="G4">
        <f t="shared" si="0"/>
        <v>8.4333333333333336</v>
      </c>
      <c r="H4" s="2">
        <v>2.9166666666666665</v>
      </c>
      <c r="I4">
        <v>8.61</v>
      </c>
      <c r="J4">
        <v>6.35</v>
      </c>
      <c r="K4">
        <f t="shared" si="1"/>
        <v>1.3559055118110237</v>
      </c>
      <c r="L4">
        <v>285</v>
      </c>
      <c r="M4">
        <v>75</v>
      </c>
      <c r="N4">
        <f t="shared" si="2"/>
        <v>3.5</v>
      </c>
      <c r="O4">
        <v>24</v>
      </c>
      <c r="P4">
        <f t="shared" si="3"/>
        <v>15.566666666666666</v>
      </c>
      <c r="Q4" s="2">
        <f t="shared" si="4"/>
        <v>21.083333333333332</v>
      </c>
      <c r="R4">
        <f t="shared" si="5"/>
        <v>12.066666666666666</v>
      </c>
    </row>
    <row r="5" spans="1:18" x14ac:dyDescent="0.2">
      <c r="A5" s="1">
        <v>42801</v>
      </c>
      <c r="B5">
        <v>10</v>
      </c>
      <c r="C5">
        <v>37</v>
      </c>
      <c r="D5">
        <v>7</v>
      </c>
      <c r="E5">
        <v>0</v>
      </c>
      <c r="G5">
        <f t="shared" si="0"/>
        <v>8.3833333333333329</v>
      </c>
      <c r="H5" s="2">
        <v>3.0666666666666669</v>
      </c>
      <c r="I5">
        <v>7.83</v>
      </c>
      <c r="J5">
        <v>5.53</v>
      </c>
      <c r="K5">
        <f t="shared" si="1"/>
        <v>1.4159132007233273</v>
      </c>
      <c r="L5">
        <v>444</v>
      </c>
      <c r="M5">
        <v>77</v>
      </c>
      <c r="N5">
        <f t="shared" si="2"/>
        <v>6.1166666666666663</v>
      </c>
      <c r="O5">
        <v>24</v>
      </c>
      <c r="P5">
        <f t="shared" si="3"/>
        <v>15.616666666666667</v>
      </c>
      <c r="Q5" s="2">
        <f t="shared" si="4"/>
        <v>20.933333333333334</v>
      </c>
      <c r="R5">
        <f t="shared" si="5"/>
        <v>9.5</v>
      </c>
    </row>
    <row r="6" spans="1:18" x14ac:dyDescent="0.2">
      <c r="A6" s="1">
        <v>42802</v>
      </c>
      <c r="B6">
        <v>11</v>
      </c>
      <c r="C6">
        <v>52</v>
      </c>
      <c r="D6">
        <v>6</v>
      </c>
      <c r="E6">
        <v>49</v>
      </c>
      <c r="G6">
        <f t="shared" si="0"/>
        <v>6.9499999999999993</v>
      </c>
      <c r="H6" s="2">
        <f>2+34/60</f>
        <v>2.5666666666666664</v>
      </c>
      <c r="I6">
        <v>8.1</v>
      </c>
      <c r="J6">
        <v>6.77</v>
      </c>
      <c r="K6">
        <f t="shared" si="1"/>
        <v>1.1964549483013294</v>
      </c>
      <c r="L6">
        <v>253</v>
      </c>
      <c r="M6">
        <v>66</v>
      </c>
      <c r="N6">
        <f t="shared" si="2"/>
        <v>3.1166666666666667</v>
      </c>
      <c r="O6">
        <v>24</v>
      </c>
      <c r="P6">
        <f t="shared" si="3"/>
        <v>17.05</v>
      </c>
      <c r="Q6" s="2">
        <f t="shared" si="4"/>
        <v>21.433333333333334</v>
      </c>
      <c r="R6">
        <f t="shared" si="5"/>
        <v>13.933333333333334</v>
      </c>
    </row>
    <row r="7" spans="1:18" x14ac:dyDescent="0.2">
      <c r="A7" s="1">
        <v>42803</v>
      </c>
      <c r="B7">
        <v>11</v>
      </c>
      <c r="C7">
        <v>9</v>
      </c>
      <c r="D7">
        <v>6</v>
      </c>
      <c r="E7">
        <v>37</v>
      </c>
      <c r="G7">
        <f t="shared" si="0"/>
        <v>7.4666666666666668</v>
      </c>
      <c r="H7" s="2">
        <f>1+47/60</f>
        <v>1.7833333333333332</v>
      </c>
      <c r="I7">
        <v>8.6300000000000008</v>
      </c>
      <c r="J7">
        <v>7.125</v>
      </c>
      <c r="K7">
        <f t="shared" si="1"/>
        <v>1.2112280701754388</v>
      </c>
      <c r="L7">
        <v>109</v>
      </c>
      <c r="M7">
        <v>45</v>
      </c>
      <c r="N7">
        <f t="shared" si="2"/>
        <v>1.0666666666666667</v>
      </c>
      <c r="O7">
        <v>24</v>
      </c>
      <c r="P7">
        <f t="shared" si="3"/>
        <v>16.533333333333331</v>
      </c>
      <c r="Q7" s="2">
        <f t="shared" si="4"/>
        <v>22.216666666666669</v>
      </c>
      <c r="R7">
        <f t="shared" si="5"/>
        <v>15.466666666666667</v>
      </c>
    </row>
    <row r="8" spans="1:18" x14ac:dyDescent="0.2">
      <c r="A8" s="1">
        <v>42804</v>
      </c>
      <c r="B8">
        <v>11</v>
      </c>
      <c r="C8">
        <v>26</v>
      </c>
      <c r="D8">
        <v>6</v>
      </c>
      <c r="E8">
        <v>13</v>
      </c>
      <c r="F8">
        <v>16</v>
      </c>
      <c r="G8">
        <f t="shared" si="0"/>
        <v>6.5166666666666666</v>
      </c>
      <c r="H8" s="2">
        <f>1+3/60</f>
        <v>1.05</v>
      </c>
      <c r="I8">
        <v>10.38</v>
      </c>
      <c r="J8">
        <v>7.25</v>
      </c>
      <c r="K8">
        <f t="shared" si="1"/>
        <v>1.4317241379310346</v>
      </c>
      <c r="L8">
        <v>380</v>
      </c>
      <c r="M8">
        <v>56</v>
      </c>
      <c r="N8">
        <f t="shared" si="2"/>
        <v>5.4</v>
      </c>
      <c r="O8">
        <v>24</v>
      </c>
      <c r="P8">
        <f t="shared" si="3"/>
        <v>17.483333333333334</v>
      </c>
      <c r="Q8" s="2">
        <f t="shared" si="4"/>
        <v>22.95</v>
      </c>
      <c r="R8">
        <f t="shared" si="5"/>
        <v>12.083333333333336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Normal="100" workbookViewId="0">
      <selection activeCell="D2" sqref="D2:E8"/>
    </sheetView>
  </sheetViews>
  <sheetFormatPr defaultRowHeight="14.25" x14ac:dyDescent="0.2"/>
  <cols>
    <col min="1" max="1" width="10" bestFit="1" customWidth="1"/>
  </cols>
  <sheetData>
    <row r="1" spans="1:17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0</v>
      </c>
      <c r="H1" s="2" t="s">
        <v>3</v>
      </c>
      <c r="I1" t="s">
        <v>1</v>
      </c>
      <c r="J1" t="s">
        <v>2</v>
      </c>
      <c r="K1" t="s">
        <v>12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15</v>
      </c>
    </row>
    <row r="2" spans="1:17" x14ac:dyDescent="0.2">
      <c r="A2" s="1">
        <v>42805</v>
      </c>
      <c r="B2">
        <v>12</v>
      </c>
      <c r="C2">
        <v>9</v>
      </c>
      <c r="D2">
        <v>7</v>
      </c>
      <c r="E2">
        <v>23</v>
      </c>
      <c r="G2">
        <f t="shared" ref="G2:G8" si="0">D2+E2/60-B2-C2/60+12-F2/60</f>
        <v>7.2333333333333334</v>
      </c>
      <c r="H2" s="2">
        <v>1.9166666666666665</v>
      </c>
      <c r="I2">
        <v>4</v>
      </c>
      <c r="J2">
        <v>3.75</v>
      </c>
      <c r="K2">
        <f t="shared" ref="K2:K8" si="1">I2/J2</f>
        <v>1.0666666666666667</v>
      </c>
      <c r="L2">
        <v>196</v>
      </c>
      <c r="M2">
        <v>1</v>
      </c>
      <c r="N2">
        <f>(L2-M2)/60</f>
        <v>3.25</v>
      </c>
    </row>
    <row r="3" spans="1:17" x14ac:dyDescent="0.2">
      <c r="A3" s="1">
        <v>42806</v>
      </c>
      <c r="B3">
        <v>13</v>
      </c>
      <c r="C3">
        <v>40</v>
      </c>
      <c r="D3">
        <v>7</v>
      </c>
      <c r="E3">
        <v>55</v>
      </c>
      <c r="G3">
        <f t="shared" si="0"/>
        <v>6.25</v>
      </c>
      <c r="H3" s="2">
        <v>1.3666666666666667</v>
      </c>
      <c r="I3">
        <v>4.9000000000000004</v>
      </c>
      <c r="J3">
        <v>3.4</v>
      </c>
      <c r="K3">
        <f t="shared" si="1"/>
        <v>1.4411764705882355</v>
      </c>
      <c r="L3">
        <v>406</v>
      </c>
      <c r="M3">
        <v>26</v>
      </c>
      <c r="N3">
        <f t="shared" ref="N3:N8" si="2">(L3-M3)/60</f>
        <v>6.333333333333333</v>
      </c>
    </row>
    <row r="4" spans="1:17" x14ac:dyDescent="0.2">
      <c r="A4" s="1">
        <v>42807</v>
      </c>
      <c r="B4">
        <v>10</v>
      </c>
      <c r="C4">
        <v>57</v>
      </c>
      <c r="D4">
        <v>6</v>
      </c>
      <c r="E4">
        <v>43</v>
      </c>
      <c r="F4">
        <v>16</v>
      </c>
      <c r="G4">
        <f t="shared" si="0"/>
        <v>7.5</v>
      </c>
      <c r="H4" s="2">
        <v>2.1333333333333333</v>
      </c>
      <c r="I4">
        <v>9.8800000000000008</v>
      </c>
      <c r="J4">
        <v>7.9580000000000002</v>
      </c>
      <c r="K4">
        <f t="shared" si="1"/>
        <v>1.2415179693390299</v>
      </c>
      <c r="L4">
        <v>273</v>
      </c>
      <c r="M4">
        <v>124</v>
      </c>
      <c r="N4">
        <f t="shared" si="2"/>
        <v>2.4833333333333334</v>
      </c>
      <c r="O4">
        <f>P4*60+Q4</f>
        <v>22</v>
      </c>
      <c r="P4">
        <v>0</v>
      </c>
      <c r="Q4">
        <v>22</v>
      </c>
    </row>
    <row r="5" spans="1:17" x14ac:dyDescent="0.2">
      <c r="A5" s="1">
        <v>42808</v>
      </c>
      <c r="B5">
        <v>10</v>
      </c>
      <c r="C5">
        <v>17</v>
      </c>
      <c r="D5">
        <v>6</v>
      </c>
      <c r="E5">
        <v>13</v>
      </c>
      <c r="G5">
        <f t="shared" si="0"/>
        <v>7.9333333333333336</v>
      </c>
      <c r="H5" s="2">
        <v>2.75</v>
      </c>
      <c r="I5">
        <v>8.27</v>
      </c>
      <c r="J5">
        <v>4.367</v>
      </c>
      <c r="K5">
        <f t="shared" si="1"/>
        <v>1.893748568811541</v>
      </c>
      <c r="L5">
        <v>470</v>
      </c>
      <c r="M5">
        <v>66</v>
      </c>
      <c r="N5">
        <f t="shared" si="2"/>
        <v>6.7333333333333334</v>
      </c>
      <c r="O5">
        <f t="shared" ref="O5:O7" si="3">P5*60+Q5</f>
        <v>128</v>
      </c>
      <c r="P5">
        <v>2</v>
      </c>
      <c r="Q5">
        <v>8</v>
      </c>
    </row>
    <row r="6" spans="1:17" x14ac:dyDescent="0.2">
      <c r="A6" s="1">
        <v>42809</v>
      </c>
      <c r="B6">
        <v>10</v>
      </c>
      <c r="C6">
        <v>29</v>
      </c>
      <c r="D6">
        <v>6</v>
      </c>
      <c r="E6">
        <v>21</v>
      </c>
      <c r="G6">
        <f t="shared" si="0"/>
        <v>7.8666666666666663</v>
      </c>
      <c r="H6" s="2">
        <f>2+35/60</f>
        <v>2.5833333333333335</v>
      </c>
      <c r="I6">
        <v>7.03</v>
      </c>
      <c r="J6">
        <v>5.18</v>
      </c>
      <c r="K6">
        <f t="shared" si="1"/>
        <v>1.3571428571428572</v>
      </c>
      <c r="L6">
        <v>278</v>
      </c>
      <c r="M6">
        <f>55+13+6</f>
        <v>74</v>
      </c>
      <c r="N6">
        <f t="shared" si="2"/>
        <v>3.4</v>
      </c>
      <c r="O6">
        <f t="shared" si="3"/>
        <v>240</v>
      </c>
      <c r="P6">
        <v>4</v>
      </c>
      <c r="Q6">
        <v>0</v>
      </c>
    </row>
    <row r="7" spans="1:17" x14ac:dyDescent="0.2">
      <c r="A7" s="1">
        <v>42810</v>
      </c>
      <c r="B7">
        <v>12</v>
      </c>
      <c r="C7">
        <v>16</v>
      </c>
      <c r="D7">
        <v>6</v>
      </c>
      <c r="E7">
        <v>34</v>
      </c>
      <c r="F7">
        <v>15</v>
      </c>
      <c r="G7">
        <f t="shared" si="0"/>
        <v>6.05</v>
      </c>
      <c r="H7" s="2">
        <f>1+13/60</f>
        <v>1.2166666666666668</v>
      </c>
      <c r="I7">
        <v>10.16</v>
      </c>
      <c r="J7">
        <v>7.79</v>
      </c>
      <c r="K7">
        <f t="shared" si="1"/>
        <v>1.3042362002567394</v>
      </c>
      <c r="L7">
        <v>286</v>
      </c>
      <c r="M7">
        <v>36</v>
      </c>
      <c r="N7">
        <f t="shared" si="2"/>
        <v>4.166666666666667</v>
      </c>
      <c r="O7">
        <f t="shared" si="3"/>
        <v>141</v>
      </c>
      <c r="P7">
        <v>2</v>
      </c>
      <c r="Q7">
        <v>21</v>
      </c>
    </row>
    <row r="8" spans="1:17" x14ac:dyDescent="0.2">
      <c r="A8" s="1">
        <v>42811</v>
      </c>
      <c r="B8">
        <v>11</v>
      </c>
      <c r="C8">
        <v>54</v>
      </c>
      <c r="D8">
        <v>6</v>
      </c>
      <c r="E8">
        <v>39</v>
      </c>
      <c r="G8">
        <f t="shared" si="0"/>
        <v>6.75</v>
      </c>
      <c r="H8" s="2">
        <f>1+53/60</f>
        <v>1.8833333333333333</v>
      </c>
      <c r="I8">
        <v>10.130000000000001</v>
      </c>
      <c r="J8">
        <v>7.67</v>
      </c>
      <c r="K8">
        <f t="shared" si="1"/>
        <v>1.320730117340287</v>
      </c>
      <c r="L8">
        <v>173</v>
      </c>
      <c r="M8">
        <v>9</v>
      </c>
      <c r="N8">
        <f t="shared" si="2"/>
        <v>2.7333333333333334</v>
      </c>
    </row>
    <row r="9" spans="1:17" x14ac:dyDescent="0.2">
      <c r="I9">
        <f>AVERAGE(I2:I8)</f>
        <v>7.7671428571428569</v>
      </c>
      <c r="J9">
        <f>AVERAGE(J2:J8)</f>
        <v>5.7307142857142859</v>
      </c>
      <c r="K9">
        <f t="shared" ref="K9:K10" si="4">I9/J9</f>
        <v>1.3553533590926086</v>
      </c>
    </row>
    <row r="10" spans="1:17" x14ac:dyDescent="0.2">
      <c r="I10">
        <f>SUM(I2:I8)</f>
        <v>54.37</v>
      </c>
      <c r="J10">
        <f>SUM(J2:J8)</f>
        <v>40.115000000000002</v>
      </c>
      <c r="K10">
        <f t="shared" si="4"/>
        <v>1.3553533590926086</v>
      </c>
    </row>
    <row r="11" spans="1:17" x14ac:dyDescent="0.2">
      <c r="H11" t="s">
        <v>17</v>
      </c>
      <c r="J11">
        <f>14*0.619*25.5/30</f>
        <v>7.3661000000000003</v>
      </c>
      <c r="K11">
        <f>SUM(J11:J21)</f>
        <v>34.915933333333335</v>
      </c>
    </row>
    <row r="12" spans="1:17" x14ac:dyDescent="0.2">
      <c r="H12" t="s">
        <v>18</v>
      </c>
      <c r="J12">
        <f>5*25.5/30*0.727+2.5+20/60</f>
        <v>5.9230833333333335</v>
      </c>
    </row>
    <row r="13" spans="1:17" x14ac:dyDescent="0.2">
      <c r="H13" t="s">
        <v>19</v>
      </c>
      <c r="J13">
        <f>2*25.5/30*1.125</f>
        <v>1.9124999999999999</v>
      </c>
    </row>
    <row r="14" spans="1:17" x14ac:dyDescent="0.2">
      <c r="H14" t="s">
        <v>20</v>
      </c>
      <c r="J14">
        <f>4.5*0.842+0.9*1.5+0+0.675*3</f>
        <v>7.1639999999999997</v>
      </c>
    </row>
    <row r="15" spans="1:17" x14ac:dyDescent="0.2">
      <c r="H15" t="s">
        <v>21</v>
      </c>
      <c r="J15">
        <f>1*25.5/30*3.775</f>
        <v>3.2087499999999998</v>
      </c>
    </row>
    <row r="16" spans="1:17" x14ac:dyDescent="0.2">
      <c r="H16" t="s">
        <v>22</v>
      </c>
      <c r="J16">
        <f>3*25.5/30*0.63</f>
        <v>1.6064999999999998</v>
      </c>
    </row>
    <row r="17" spans="8:10" x14ac:dyDescent="0.2">
      <c r="H17" t="s">
        <v>23</v>
      </c>
      <c r="J17">
        <f>3.96</f>
        <v>3.96</v>
      </c>
    </row>
    <row r="18" spans="8:10" x14ac:dyDescent="0.2">
      <c r="H18" t="s">
        <v>24</v>
      </c>
      <c r="J18">
        <f>1.5*25.5/30</f>
        <v>1.2749999999999999</v>
      </c>
    </row>
    <row r="19" spans="8:10" x14ac:dyDescent="0.2">
      <c r="H19" t="s">
        <v>25</v>
      </c>
      <c r="J19">
        <f>25.5/30</f>
        <v>0.85</v>
      </c>
    </row>
    <row r="20" spans="8:10" x14ac:dyDescent="0.2">
      <c r="H20" t="s">
        <v>26</v>
      </c>
      <c r="J20">
        <f>1.5*25.5/30-3/60</f>
        <v>1.2249999999999999</v>
      </c>
    </row>
    <row r="21" spans="8:10" x14ac:dyDescent="0.2">
      <c r="H21" t="s">
        <v>27</v>
      </c>
      <c r="J21">
        <f>0.5*25.5/30</f>
        <v>0.42499999999999999</v>
      </c>
    </row>
    <row r="22" spans="8:10" x14ac:dyDescent="0.2">
      <c r="H22" t="s">
        <v>28</v>
      </c>
      <c r="J22">
        <v>5.1990666666666669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B1" workbookViewId="0">
      <selection activeCell="L1" sqref="L1:M1048576"/>
    </sheetView>
  </sheetViews>
  <sheetFormatPr defaultRowHeight="14.25" x14ac:dyDescent="0.2"/>
  <cols>
    <col min="7" max="7" width="13.125" customWidth="1"/>
  </cols>
  <sheetData>
    <row r="1" spans="1:15" x14ac:dyDescent="0.2">
      <c r="A1" t="s">
        <v>17</v>
      </c>
      <c r="B1">
        <f>14*0.619*25.5/30</f>
        <v>7.3661000000000003</v>
      </c>
      <c r="J1" t="s">
        <v>9</v>
      </c>
      <c r="K1" t="s">
        <v>29</v>
      </c>
      <c r="L1" t="s">
        <v>11</v>
      </c>
      <c r="M1" t="s">
        <v>13</v>
      </c>
      <c r="N1" t="s">
        <v>14</v>
      </c>
      <c r="O1" t="s">
        <v>15</v>
      </c>
    </row>
    <row r="2" spans="1:15" x14ac:dyDescent="0.2">
      <c r="A2" t="s">
        <v>20</v>
      </c>
      <c r="B2">
        <f>4.5*0.842+0.9*1.5+0+0.675*3</f>
        <v>7.1639999999999997</v>
      </c>
      <c r="G2" s="1">
        <v>42805</v>
      </c>
      <c r="H2">
        <f>J2/60</f>
        <v>5.4444444444444441E-2</v>
      </c>
      <c r="I2">
        <f>K2/60</f>
        <v>2.7777777777777778E-4</v>
      </c>
      <c r="J2">
        <v>3.2666666666666666</v>
      </c>
      <c r="K2">
        <v>1.6666666666666666E-2</v>
      </c>
      <c r="L2">
        <f>J2-K2</f>
        <v>3.25</v>
      </c>
    </row>
    <row r="3" spans="1:15" x14ac:dyDescent="0.2">
      <c r="A3" t="s">
        <v>18</v>
      </c>
      <c r="B3">
        <f>5*25.5/30*0.727+2.5+20/60</f>
        <v>5.9230833333333335</v>
      </c>
      <c r="G3" s="1">
        <v>42806</v>
      </c>
      <c r="H3">
        <f t="shared" ref="H3:I8" si="0">J3/60</f>
        <v>0.11277777777777778</v>
      </c>
      <c r="I3">
        <f t="shared" si="0"/>
        <v>7.2222222222222228E-3</v>
      </c>
      <c r="J3">
        <v>6.7666666666666666</v>
      </c>
      <c r="K3">
        <v>0.43333333333333335</v>
      </c>
      <c r="L3">
        <f t="shared" ref="L3:L8" si="1">J3-K3</f>
        <v>6.333333333333333</v>
      </c>
    </row>
    <row r="4" spans="1:15" x14ac:dyDescent="0.2">
      <c r="A4" t="s">
        <v>28</v>
      </c>
      <c r="B4">
        <v>5.1990666666666669</v>
      </c>
      <c r="G4" s="1">
        <v>42807</v>
      </c>
      <c r="H4">
        <f t="shared" si="0"/>
        <v>7.5833333333333336E-2</v>
      </c>
      <c r="I4">
        <f t="shared" si="0"/>
        <v>3.4444444444444451E-2</v>
      </c>
      <c r="J4">
        <v>4.55</v>
      </c>
      <c r="K4">
        <v>2.0666666666666669</v>
      </c>
      <c r="L4">
        <f t="shared" si="1"/>
        <v>2.4833333333333329</v>
      </c>
      <c r="M4">
        <f>O4/60+N4</f>
        <v>0.36666666666666664</v>
      </c>
      <c r="N4">
        <v>0</v>
      </c>
      <c r="O4">
        <v>22</v>
      </c>
    </row>
    <row r="5" spans="1:15" x14ac:dyDescent="0.2">
      <c r="A5" t="s">
        <v>23</v>
      </c>
      <c r="B5">
        <f>3.96</f>
        <v>3.96</v>
      </c>
      <c r="G5" s="1">
        <v>42808</v>
      </c>
      <c r="H5">
        <f t="shared" si="0"/>
        <v>0.13055555555555556</v>
      </c>
      <c r="I5">
        <f t="shared" si="0"/>
        <v>1.8333333333333333E-2</v>
      </c>
      <c r="J5">
        <v>7.833333333333333</v>
      </c>
      <c r="K5">
        <v>1.1000000000000001</v>
      </c>
      <c r="L5">
        <f t="shared" si="1"/>
        <v>6.7333333333333325</v>
      </c>
      <c r="M5">
        <f t="shared" ref="M5:M7" si="2">O5/60+N5</f>
        <v>2.1333333333333333</v>
      </c>
      <c r="N5">
        <v>2</v>
      </c>
      <c r="O5">
        <v>8</v>
      </c>
    </row>
    <row r="6" spans="1:15" x14ac:dyDescent="0.2">
      <c r="A6" t="s">
        <v>21</v>
      </c>
      <c r="B6">
        <f>1*25.5/30*3.775</f>
        <v>3.2087499999999998</v>
      </c>
      <c r="G6" s="1">
        <v>42809</v>
      </c>
      <c r="H6">
        <f t="shared" si="0"/>
        <v>7.7222222222222234E-2</v>
      </c>
      <c r="I6">
        <f t="shared" si="0"/>
        <v>2.0555555555555556E-2</v>
      </c>
      <c r="J6">
        <v>4.6333333333333337</v>
      </c>
      <c r="K6">
        <v>1.2333333333333334</v>
      </c>
      <c r="L6">
        <f t="shared" si="1"/>
        <v>3.4000000000000004</v>
      </c>
      <c r="M6">
        <f t="shared" si="2"/>
        <v>4</v>
      </c>
      <c r="N6">
        <v>4</v>
      </c>
      <c r="O6">
        <v>0</v>
      </c>
    </row>
    <row r="7" spans="1:15" x14ac:dyDescent="0.2">
      <c r="A7" t="s">
        <v>19</v>
      </c>
      <c r="B7">
        <f>2*25.5/30*1.125</f>
        <v>1.9124999999999999</v>
      </c>
      <c r="G7" s="1">
        <v>42810</v>
      </c>
      <c r="H7">
        <f t="shared" si="0"/>
        <v>7.9444444444444443E-2</v>
      </c>
      <c r="I7">
        <f t="shared" si="0"/>
        <v>0.01</v>
      </c>
      <c r="J7">
        <v>4.7666666666666666</v>
      </c>
      <c r="K7">
        <v>0.6</v>
      </c>
      <c r="L7">
        <f t="shared" si="1"/>
        <v>4.166666666666667</v>
      </c>
      <c r="M7">
        <f t="shared" si="2"/>
        <v>2.35</v>
      </c>
      <c r="N7">
        <v>2</v>
      </c>
      <c r="O7">
        <v>21</v>
      </c>
    </row>
    <row r="8" spans="1:15" x14ac:dyDescent="0.2">
      <c r="A8" t="s">
        <v>22</v>
      </c>
      <c r="B8">
        <f>3*25.5/30*0.63</f>
        <v>1.6064999999999998</v>
      </c>
      <c r="G8" s="1">
        <v>42811</v>
      </c>
      <c r="H8">
        <f t="shared" si="0"/>
        <v>4.8055555555555553E-2</v>
      </c>
      <c r="I8">
        <f t="shared" si="0"/>
        <v>2.5000000000000001E-3</v>
      </c>
      <c r="J8">
        <v>2.8833333333333333</v>
      </c>
      <c r="K8">
        <v>0.15</v>
      </c>
      <c r="L8">
        <f t="shared" si="1"/>
        <v>2.7333333333333334</v>
      </c>
    </row>
    <row r="9" spans="1:15" x14ac:dyDescent="0.2">
      <c r="A9" t="s">
        <v>24</v>
      </c>
      <c r="B9">
        <f>1.5*25.5/30</f>
        <v>1.2749999999999999</v>
      </c>
    </row>
    <row r="10" spans="1:15" x14ac:dyDescent="0.2">
      <c r="A10" t="s">
        <v>26</v>
      </c>
      <c r="B10">
        <f>1.5*25.5/30-3/60</f>
        <v>1.2249999999999999</v>
      </c>
    </row>
    <row r="11" spans="1:15" x14ac:dyDescent="0.2">
      <c r="A11" t="s">
        <v>25</v>
      </c>
      <c r="B11">
        <f>25.5/30</f>
        <v>0.85</v>
      </c>
    </row>
    <row r="12" spans="1:15" x14ac:dyDescent="0.2">
      <c r="A12" t="s">
        <v>27</v>
      </c>
      <c r="B12">
        <f>0.5*25.5/30</f>
        <v>0.42499999999999999</v>
      </c>
    </row>
  </sheetData>
  <sortState ref="A1:B12">
    <sortCondition descending="1" ref="B1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opLeftCell="H1" workbookViewId="0">
      <selection activeCell="J4" sqref="J4"/>
    </sheetView>
  </sheetViews>
  <sheetFormatPr defaultRowHeight="14.25" x14ac:dyDescent="0.2"/>
  <cols>
    <col min="1" max="1" width="10" customWidth="1"/>
  </cols>
  <sheetData>
    <row r="1" spans="1:25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0</v>
      </c>
      <c r="H1" s="2" t="s">
        <v>3</v>
      </c>
      <c r="I1" t="s">
        <v>1</v>
      </c>
      <c r="J1" t="s">
        <v>2</v>
      </c>
      <c r="K1" t="s">
        <v>59</v>
      </c>
      <c r="L1" t="s">
        <v>12</v>
      </c>
      <c r="M1" t="s">
        <v>9</v>
      </c>
      <c r="N1" t="s">
        <v>10</v>
      </c>
      <c r="O1" t="s">
        <v>11</v>
      </c>
      <c r="Q1" t="s">
        <v>44</v>
      </c>
      <c r="R1" t="s">
        <v>30</v>
      </c>
      <c r="S1" t="s">
        <v>31</v>
      </c>
      <c r="T1" t="s">
        <v>32</v>
      </c>
      <c r="U1" t="s">
        <v>45</v>
      </c>
      <c r="V1" t="s">
        <v>33</v>
      </c>
      <c r="W1" t="s">
        <v>34</v>
      </c>
      <c r="X1" t="s">
        <v>35</v>
      </c>
      <c r="Y1" t="s">
        <v>43</v>
      </c>
    </row>
    <row r="2" spans="1:25" x14ac:dyDescent="0.2">
      <c r="A2" s="1">
        <v>42812</v>
      </c>
      <c r="B2">
        <v>11</v>
      </c>
      <c r="C2">
        <v>51</v>
      </c>
      <c r="D2">
        <v>7</v>
      </c>
      <c r="E2">
        <v>2</v>
      </c>
      <c r="G2">
        <f t="shared" ref="G2:G8" si="0">D2+E2/60-B2-C2/60+12-F2/60</f>
        <v>7.1833333333333336</v>
      </c>
      <c r="H2" s="2">
        <f>2+20/60</f>
        <v>2.3333333333333335</v>
      </c>
      <c r="I2">
        <v>6.5170000000000003</v>
      </c>
      <c r="J2">
        <f>5.28</f>
        <v>5.28</v>
      </c>
      <c r="K2">
        <f>I2-J2</f>
        <v>1.2370000000000001</v>
      </c>
      <c r="L2">
        <f>I2/J2</f>
        <v>1.2342803030303031</v>
      </c>
      <c r="M2">
        <v>418</v>
      </c>
      <c r="N2">
        <v>3</v>
      </c>
      <c r="O2">
        <f t="shared" ref="O2:O8" si="1">(M2-N2)/60</f>
        <v>6.916666666666667</v>
      </c>
      <c r="P2" t="s">
        <v>36</v>
      </c>
      <c r="Q2">
        <f t="shared" ref="Q2:Q8" si="2">R2-D2-E2/60</f>
        <v>1.6999999999999991</v>
      </c>
      <c r="R2">
        <f t="shared" ref="R2:R7" si="3">S2+T2/60</f>
        <v>8.7333333333333325</v>
      </c>
      <c r="S2">
        <v>8</v>
      </c>
      <c r="T2">
        <v>44</v>
      </c>
      <c r="U2">
        <f>V2-Y2</f>
        <v>1.0166666666666666</v>
      </c>
      <c r="V2">
        <f>W2+X2/60</f>
        <v>8.4</v>
      </c>
      <c r="W2">
        <v>8</v>
      </c>
      <c r="X2">
        <v>24</v>
      </c>
      <c r="Y2">
        <v>7.3833333333333337</v>
      </c>
    </row>
    <row r="3" spans="1:25" x14ac:dyDescent="0.2">
      <c r="A3" s="1">
        <v>42813</v>
      </c>
      <c r="B3">
        <v>14</v>
      </c>
      <c r="C3">
        <v>35</v>
      </c>
      <c r="D3">
        <v>8</v>
      </c>
      <c r="E3">
        <v>11</v>
      </c>
      <c r="G3">
        <f t="shared" si="0"/>
        <v>5.6000000000000005</v>
      </c>
      <c r="H3" s="2">
        <f>1+46/60</f>
        <v>1.7666666666666666</v>
      </c>
      <c r="I3">
        <v>6.1669999999999998</v>
      </c>
      <c r="J3">
        <f>5.1</f>
        <v>5.0999999999999996</v>
      </c>
      <c r="K3">
        <f t="shared" ref="K3:K8" si="4">I3-J3</f>
        <v>1.0670000000000002</v>
      </c>
      <c r="L3">
        <f t="shared" ref="L3:L8" si="5">I3/J3</f>
        <v>1.2092156862745098</v>
      </c>
      <c r="M3">
        <v>360</v>
      </c>
      <c r="N3">
        <v>10</v>
      </c>
      <c r="O3">
        <f t="shared" si="1"/>
        <v>5.833333333333333</v>
      </c>
      <c r="P3" t="s">
        <v>37</v>
      </c>
      <c r="Q3">
        <f t="shared" si="2"/>
        <v>0.61666666666666736</v>
      </c>
      <c r="R3">
        <f t="shared" si="3"/>
        <v>8.8000000000000007</v>
      </c>
      <c r="S3">
        <v>8</v>
      </c>
      <c r="T3">
        <v>48</v>
      </c>
      <c r="U3">
        <f t="shared" ref="U3:U8" si="6">V3-Y3</f>
        <v>1.4500000000000002</v>
      </c>
      <c r="V3">
        <f t="shared" ref="V3:V8" si="7">W3+X3/60</f>
        <v>9.3666666666666671</v>
      </c>
      <c r="W3">
        <v>9</v>
      </c>
      <c r="X3">
        <v>22</v>
      </c>
      <c r="Y3">
        <v>7.916666666666667</v>
      </c>
    </row>
    <row r="4" spans="1:25" x14ac:dyDescent="0.2">
      <c r="A4" s="1">
        <v>42814</v>
      </c>
      <c r="B4">
        <v>11</v>
      </c>
      <c r="C4">
        <v>1</v>
      </c>
      <c r="D4">
        <v>6</v>
      </c>
      <c r="E4">
        <v>51</v>
      </c>
      <c r="G4">
        <f t="shared" si="0"/>
        <v>7.833333333333333</v>
      </c>
      <c r="H4" s="2">
        <f>1+54/60</f>
        <v>1.9</v>
      </c>
      <c r="I4">
        <v>11.14</v>
      </c>
      <c r="J4">
        <v>7.57</v>
      </c>
      <c r="K4">
        <f t="shared" si="4"/>
        <v>3.5700000000000003</v>
      </c>
      <c r="L4">
        <f t="shared" si="5"/>
        <v>1.4715984147952443</v>
      </c>
      <c r="M4">
        <v>356</v>
      </c>
      <c r="N4">
        <v>73</v>
      </c>
      <c r="O4">
        <f t="shared" si="1"/>
        <v>4.7166666666666668</v>
      </c>
      <c r="P4" t="s">
        <v>38</v>
      </c>
      <c r="Q4">
        <f t="shared" si="2"/>
        <v>0.80000000000000038</v>
      </c>
      <c r="R4">
        <f t="shared" si="3"/>
        <v>7.65</v>
      </c>
      <c r="S4">
        <v>7</v>
      </c>
      <c r="T4">
        <v>39</v>
      </c>
      <c r="U4">
        <f t="shared" si="6"/>
        <v>0.84999999999999964</v>
      </c>
      <c r="V4">
        <f t="shared" si="7"/>
        <v>7.5666666666666664</v>
      </c>
      <c r="W4">
        <v>7</v>
      </c>
      <c r="X4">
        <v>34</v>
      </c>
      <c r="Y4">
        <v>6.7166666666666668</v>
      </c>
    </row>
    <row r="5" spans="1:25" x14ac:dyDescent="0.2">
      <c r="A5" s="1">
        <v>42815</v>
      </c>
      <c r="B5">
        <v>11</v>
      </c>
      <c r="C5">
        <v>58</v>
      </c>
      <c r="D5">
        <v>6</v>
      </c>
      <c r="E5">
        <v>50</v>
      </c>
      <c r="G5">
        <f t="shared" si="0"/>
        <v>6.8666666666666663</v>
      </c>
      <c r="H5" s="2">
        <f>2+24/60</f>
        <v>2.4</v>
      </c>
      <c r="I5">
        <v>3</v>
      </c>
      <c r="J5">
        <v>2.0249999999999999</v>
      </c>
      <c r="K5">
        <f t="shared" si="4"/>
        <v>0.97500000000000009</v>
      </c>
      <c r="L5">
        <f t="shared" si="5"/>
        <v>1.4814814814814816</v>
      </c>
      <c r="M5">
        <v>381</v>
      </c>
      <c r="N5">
        <v>0</v>
      </c>
      <c r="O5">
        <f t="shared" si="1"/>
        <v>6.35</v>
      </c>
      <c r="P5" t="s">
        <v>39</v>
      </c>
      <c r="Q5">
        <f t="shared" si="2"/>
        <v>1.2833333333333337</v>
      </c>
      <c r="R5">
        <f t="shared" si="3"/>
        <v>8.1166666666666671</v>
      </c>
      <c r="S5">
        <v>8</v>
      </c>
      <c r="T5">
        <v>7</v>
      </c>
      <c r="U5">
        <f t="shared" si="6"/>
        <v>1.2833333333333332</v>
      </c>
      <c r="V5">
        <f t="shared" si="7"/>
        <v>7.5</v>
      </c>
      <c r="W5">
        <v>7</v>
      </c>
      <c r="X5">
        <v>30</v>
      </c>
      <c r="Y5">
        <v>6.2166666666666668</v>
      </c>
    </row>
    <row r="6" spans="1:25" x14ac:dyDescent="0.2">
      <c r="A6" s="1">
        <v>42816</v>
      </c>
      <c r="B6">
        <v>10</v>
      </c>
      <c r="C6">
        <v>22</v>
      </c>
      <c r="D6">
        <v>6</v>
      </c>
      <c r="E6">
        <v>48</v>
      </c>
      <c r="G6">
        <f t="shared" si="0"/>
        <v>8.4333333333333336</v>
      </c>
      <c r="H6" s="2">
        <f>2+40/60</f>
        <v>2.6666666666666665</v>
      </c>
      <c r="I6">
        <v>5.25</v>
      </c>
      <c r="J6">
        <v>4.25</v>
      </c>
      <c r="K6">
        <f t="shared" si="4"/>
        <v>1</v>
      </c>
      <c r="L6">
        <f t="shared" si="5"/>
        <v>1.2352941176470589</v>
      </c>
      <c r="M6">
        <f>298+20</f>
        <v>318</v>
      </c>
      <c r="N6">
        <v>0</v>
      </c>
      <c r="O6">
        <f t="shared" si="1"/>
        <v>5.3</v>
      </c>
      <c r="P6" t="s">
        <v>40</v>
      </c>
      <c r="Q6">
        <f t="shared" si="2"/>
        <v>1.1000000000000003</v>
      </c>
      <c r="R6">
        <f t="shared" si="3"/>
        <v>7.9</v>
      </c>
      <c r="S6">
        <v>7</v>
      </c>
      <c r="T6">
        <v>54</v>
      </c>
      <c r="U6">
        <f t="shared" si="6"/>
        <v>0.63333333333333375</v>
      </c>
      <c r="V6">
        <f t="shared" si="7"/>
        <v>6.9833333333333334</v>
      </c>
      <c r="W6">
        <v>6</v>
      </c>
      <c r="X6">
        <v>59</v>
      </c>
      <c r="Y6">
        <v>6.35</v>
      </c>
    </row>
    <row r="7" spans="1:25" x14ac:dyDescent="0.2">
      <c r="A7" s="1">
        <v>42817</v>
      </c>
      <c r="B7">
        <v>10</v>
      </c>
      <c r="C7">
        <v>27</v>
      </c>
      <c r="D7">
        <v>6</v>
      </c>
      <c r="E7">
        <v>29</v>
      </c>
      <c r="G7">
        <f t="shared" si="0"/>
        <v>8.0333333333333332</v>
      </c>
      <c r="H7" s="2">
        <f>2+10/60</f>
        <v>2.1666666666666665</v>
      </c>
      <c r="I7">
        <v>9.82</v>
      </c>
      <c r="J7">
        <f>10*25.5/30+3/30</f>
        <v>8.6</v>
      </c>
      <c r="K7">
        <f t="shared" si="4"/>
        <v>1.2200000000000006</v>
      </c>
      <c r="L7">
        <f t="shared" si="5"/>
        <v>1.1418604651162791</v>
      </c>
      <c r="M7">
        <f>20+60+50+149</f>
        <v>279</v>
      </c>
      <c r="N7">
        <f>50+42</f>
        <v>92</v>
      </c>
      <c r="O7">
        <f t="shared" si="1"/>
        <v>3.1166666666666667</v>
      </c>
      <c r="P7" t="s">
        <v>41</v>
      </c>
      <c r="Q7">
        <f t="shared" si="2"/>
        <v>1.8666666666666663</v>
      </c>
      <c r="R7">
        <f t="shared" si="3"/>
        <v>8.35</v>
      </c>
      <c r="S7">
        <v>8</v>
      </c>
      <c r="T7">
        <v>21</v>
      </c>
      <c r="U7">
        <f t="shared" si="6"/>
        <v>0.78333333333333321</v>
      </c>
      <c r="V7">
        <f t="shared" si="7"/>
        <v>7.35</v>
      </c>
      <c r="W7">
        <v>7</v>
      </c>
      <c r="X7">
        <v>21</v>
      </c>
      <c r="Y7">
        <v>6.5666666666666664</v>
      </c>
    </row>
    <row r="8" spans="1:25" x14ac:dyDescent="0.2">
      <c r="A8" s="1">
        <v>42818</v>
      </c>
      <c r="B8">
        <v>11</v>
      </c>
      <c r="C8">
        <v>17</v>
      </c>
      <c r="D8">
        <v>6</v>
      </c>
      <c r="E8">
        <v>23</v>
      </c>
      <c r="G8">
        <f t="shared" si="0"/>
        <v>7.1000000000000005</v>
      </c>
      <c r="H8" s="2">
        <v>2.5</v>
      </c>
      <c r="I8">
        <v>8.7799999999999994</v>
      </c>
      <c r="J8">
        <v>5.86</v>
      </c>
      <c r="K8">
        <f t="shared" si="4"/>
        <v>2.919999999999999</v>
      </c>
      <c r="L8">
        <f t="shared" si="5"/>
        <v>1.4982935153583616</v>
      </c>
      <c r="M8">
        <v>350</v>
      </c>
      <c r="N8">
        <v>80</v>
      </c>
      <c r="O8">
        <f t="shared" si="1"/>
        <v>4.5</v>
      </c>
      <c r="P8" t="s">
        <v>42</v>
      </c>
      <c r="Q8">
        <f t="shared" si="2"/>
        <v>0.85000000000000009</v>
      </c>
      <c r="R8">
        <f>S8+T8/60</f>
        <v>7.2333333333333334</v>
      </c>
      <c r="S8">
        <v>7</v>
      </c>
      <c r="T8">
        <v>14</v>
      </c>
      <c r="U8">
        <f t="shared" si="6"/>
        <v>0.91666666666666607</v>
      </c>
      <c r="V8">
        <f t="shared" si="7"/>
        <v>7.5666666666666664</v>
      </c>
      <c r="W8">
        <v>7</v>
      </c>
      <c r="X8">
        <v>34</v>
      </c>
      <c r="Y8">
        <v>6.65</v>
      </c>
    </row>
    <row r="9" spans="1:25" x14ac:dyDescent="0.2">
      <c r="G9" s="3">
        <f>AVERAGE(G2:G8)</f>
        <v>7.2928571428571436</v>
      </c>
      <c r="H9" s="4">
        <f>AVERAGE(H2:H8)</f>
        <v>2.2476190476190476</v>
      </c>
      <c r="I9" s="4">
        <f>SUM(I2:I8)</f>
        <v>50.673999999999999</v>
      </c>
      <c r="J9" s="4">
        <f>SUM(J2:J8)</f>
        <v>38.684999999999995</v>
      </c>
      <c r="K9" s="4"/>
      <c r="L9" s="4">
        <f>AVERAGE(L2:L8)</f>
        <v>1.3245748548147485</v>
      </c>
    </row>
    <row r="14" spans="1:25" x14ac:dyDescent="0.2">
      <c r="M14">
        <f>0.1863*60</f>
        <v>11.177999999999999</v>
      </c>
    </row>
    <row r="15" spans="1:25" x14ac:dyDescent="0.2">
      <c r="M15">
        <f>0.0738*60</f>
        <v>4.4279999999999999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2" sqref="F2:F13"/>
    </sheetView>
  </sheetViews>
  <sheetFormatPr defaultRowHeight="14.25" x14ac:dyDescent="0.2"/>
  <cols>
    <col min="1" max="1" width="12.625" customWidth="1"/>
  </cols>
  <sheetData>
    <row r="1" spans="1:11" x14ac:dyDescent="0.2">
      <c r="B1" t="s">
        <v>4</v>
      </c>
      <c r="C1" t="s">
        <v>6</v>
      </c>
      <c r="F1" t="s">
        <v>46</v>
      </c>
      <c r="G1" t="s">
        <v>47</v>
      </c>
      <c r="K1">
        <f>SUM(G2:G13)</f>
        <v>38.372016666666667</v>
      </c>
    </row>
    <row r="2" spans="1:11" x14ac:dyDescent="0.2">
      <c r="A2" s="1">
        <v>42812</v>
      </c>
      <c r="B2">
        <v>11.85</v>
      </c>
      <c r="C2">
        <v>7.0333333333333332</v>
      </c>
      <c r="F2" t="s">
        <v>55</v>
      </c>
      <c r="G2">
        <f>6*0.88+6*0.85</f>
        <v>10.379999999999999</v>
      </c>
    </row>
    <row r="3" spans="1:11" x14ac:dyDescent="0.2">
      <c r="A3" s="1">
        <v>42813</v>
      </c>
      <c r="B3">
        <v>14.583333333333334</v>
      </c>
      <c r="C3">
        <v>8.1833333333333336</v>
      </c>
      <c r="F3" t="s">
        <v>54</v>
      </c>
      <c r="G3">
        <f>4.5*0.7583+1.5*0.925+1.5*0.825+3*0.675+0.2*1.5</f>
        <v>8.3623500000000011</v>
      </c>
    </row>
    <row r="4" spans="1:11" x14ac:dyDescent="0.2">
      <c r="A4" s="1">
        <v>42814</v>
      </c>
      <c r="B4">
        <v>11.016666666666667</v>
      </c>
      <c r="C4">
        <v>6.85</v>
      </c>
      <c r="F4" t="s">
        <v>49</v>
      </c>
      <c r="G4">
        <v>5.18</v>
      </c>
    </row>
    <row r="5" spans="1:11" x14ac:dyDescent="0.2">
      <c r="A5" s="1">
        <v>42815</v>
      </c>
      <c r="B5">
        <v>11.966666666666667</v>
      </c>
      <c r="C5">
        <v>6.833333333333333</v>
      </c>
      <c r="F5" t="s">
        <v>51</v>
      </c>
      <c r="G5">
        <f>3.5*25.5/30+28/60</f>
        <v>3.4416666666666669</v>
      </c>
    </row>
    <row r="6" spans="1:11" x14ac:dyDescent="0.2">
      <c r="A6" s="1">
        <v>42816</v>
      </c>
      <c r="B6">
        <v>10.366666666666667</v>
      </c>
      <c r="C6">
        <v>6.8</v>
      </c>
      <c r="F6" t="s">
        <v>48</v>
      </c>
      <c r="G6">
        <v>2.883</v>
      </c>
    </row>
    <row r="7" spans="1:11" x14ac:dyDescent="0.2">
      <c r="A7" s="1">
        <v>42817</v>
      </c>
      <c r="B7">
        <v>10.45</v>
      </c>
      <c r="C7">
        <v>6.4833333333333334</v>
      </c>
      <c r="F7" t="s">
        <v>52</v>
      </c>
      <c r="G7">
        <f>2.5*25.5/30+3/60</f>
        <v>2.1749999999999998</v>
      </c>
    </row>
    <row r="8" spans="1:11" x14ac:dyDescent="0.2">
      <c r="A8" s="1">
        <v>42818</v>
      </c>
      <c r="B8">
        <v>11.283333333333333</v>
      </c>
      <c r="C8">
        <v>6.3833333333333337</v>
      </c>
      <c r="F8" t="s">
        <v>22</v>
      </c>
      <c r="G8">
        <f>2.5*25.5/30</f>
        <v>2.125</v>
      </c>
    </row>
    <row r="9" spans="1:11" x14ac:dyDescent="0.2">
      <c r="F9" t="s">
        <v>56</v>
      </c>
      <c r="G9">
        <f>2*25.5/30</f>
        <v>1.7</v>
      </c>
    </row>
    <row r="10" spans="1:11" x14ac:dyDescent="0.2">
      <c r="F10" t="s">
        <v>53</v>
      </c>
      <c r="G10">
        <f>25.5/30</f>
        <v>0.85</v>
      </c>
    </row>
    <row r="11" spans="1:11" x14ac:dyDescent="0.2">
      <c r="F11" t="s">
        <v>57</v>
      </c>
      <c r="G11">
        <f>25.5/30</f>
        <v>0.85</v>
      </c>
    </row>
    <row r="12" spans="1:11" x14ac:dyDescent="0.2">
      <c r="F12" t="s">
        <v>58</v>
      </c>
      <c r="G12">
        <f>25.5/30/2</f>
        <v>0.42499999999999999</v>
      </c>
    </row>
    <row r="13" spans="1:11" x14ac:dyDescent="0.2">
      <c r="F13" t="s">
        <v>50</v>
      </c>
      <c r="G13">
        <v>0</v>
      </c>
    </row>
  </sheetData>
  <sortState ref="F2:G13">
    <sortCondition descending="1" ref="G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J17" sqref="J17"/>
    </sheetView>
  </sheetViews>
  <sheetFormatPr defaultRowHeight="14.25" x14ac:dyDescent="0.2"/>
  <cols>
    <col min="1" max="1" width="10" customWidth="1"/>
  </cols>
  <sheetData>
    <row r="1" spans="1:17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s="2" t="s">
        <v>0</v>
      </c>
      <c r="H1" s="2" t="s">
        <v>3</v>
      </c>
      <c r="I1" t="s">
        <v>1</v>
      </c>
      <c r="J1" t="s">
        <v>2</v>
      </c>
      <c r="K1" t="s">
        <v>12</v>
      </c>
      <c r="L1" t="s">
        <v>9</v>
      </c>
      <c r="M1" t="s">
        <v>10</v>
      </c>
      <c r="N1" t="s">
        <v>11</v>
      </c>
      <c r="O1" t="s">
        <v>13</v>
      </c>
      <c r="P1" t="s">
        <v>14</v>
      </c>
      <c r="Q1" t="s">
        <v>16</v>
      </c>
    </row>
    <row r="2" spans="1:17" x14ac:dyDescent="0.2">
      <c r="A2" s="1">
        <v>42819</v>
      </c>
      <c r="B2">
        <v>11</v>
      </c>
      <c r="C2">
        <v>12</v>
      </c>
      <c r="D2">
        <v>7</v>
      </c>
      <c r="E2">
        <v>14</v>
      </c>
      <c r="G2">
        <f t="shared" ref="G2:G8" si="0">D2+E2/60-B2-C2/60+12-F2/60</f>
        <v>8.0333333333333332</v>
      </c>
      <c r="H2" s="2">
        <v>2.5</v>
      </c>
      <c r="I2">
        <v>8</v>
      </c>
      <c r="J2">
        <v>5.6</v>
      </c>
      <c r="K2">
        <f>I2/J2</f>
        <v>1.4285714285714286</v>
      </c>
      <c r="L2">
        <v>415</v>
      </c>
      <c r="M2">
        <v>40</v>
      </c>
      <c r="N2">
        <f>(L2-M2)/60</f>
        <v>6.25</v>
      </c>
      <c r="O2">
        <f t="shared" ref="O2:O8" si="1">P2*60+Q2</f>
        <v>0</v>
      </c>
    </row>
    <row r="3" spans="1:17" x14ac:dyDescent="0.2">
      <c r="A3" s="1">
        <v>42820</v>
      </c>
      <c r="B3">
        <v>13</v>
      </c>
      <c r="C3">
        <v>32</v>
      </c>
      <c r="D3">
        <v>7</v>
      </c>
      <c r="E3">
        <v>3</v>
      </c>
      <c r="F3">
        <v>2</v>
      </c>
      <c r="G3">
        <f t="shared" si="0"/>
        <v>5.4833333333333334</v>
      </c>
      <c r="H3" s="2">
        <f>1+4/6</f>
        <v>1.6666666666666665</v>
      </c>
      <c r="I3">
        <v>6.88</v>
      </c>
      <c r="J3">
        <v>5.2249999999999996</v>
      </c>
      <c r="K3">
        <f t="shared" ref="K3:K8" si="2">I3/J3</f>
        <v>1.3167464114832537</v>
      </c>
      <c r="L3">
        <f>143+240</f>
        <v>383</v>
      </c>
      <c r="M3">
        <v>4</v>
      </c>
      <c r="N3">
        <f t="shared" ref="N3:N8" si="3">(L3-M3)/60</f>
        <v>6.3166666666666664</v>
      </c>
      <c r="O3">
        <f t="shared" si="1"/>
        <v>0</v>
      </c>
    </row>
    <row r="4" spans="1:17" x14ac:dyDescent="0.2">
      <c r="A4" s="1">
        <v>42821</v>
      </c>
      <c r="B4">
        <v>11</v>
      </c>
      <c r="C4">
        <v>20</v>
      </c>
      <c r="D4">
        <v>7</v>
      </c>
      <c r="E4">
        <v>0</v>
      </c>
      <c r="G4">
        <f t="shared" si="0"/>
        <v>7.666666666666667</v>
      </c>
      <c r="H4" s="2">
        <f>2+41/60</f>
        <v>2.6833333333333336</v>
      </c>
      <c r="I4">
        <v>9.18</v>
      </c>
      <c r="J4">
        <v>7.7050000000000001</v>
      </c>
      <c r="K4">
        <f t="shared" si="2"/>
        <v>1.191434133679429</v>
      </c>
      <c r="L4">
        <v>271</v>
      </c>
      <c r="M4">
        <v>81</v>
      </c>
      <c r="N4">
        <f t="shared" si="3"/>
        <v>3.1666666666666665</v>
      </c>
      <c r="O4">
        <f>P4*60+Q4</f>
        <v>0</v>
      </c>
    </row>
    <row r="5" spans="1:17" x14ac:dyDescent="0.2">
      <c r="A5" s="1">
        <v>42822</v>
      </c>
      <c r="B5">
        <v>11</v>
      </c>
      <c r="C5">
        <v>0</v>
      </c>
      <c r="D5">
        <v>6</v>
      </c>
      <c r="E5">
        <v>46</v>
      </c>
      <c r="G5">
        <f t="shared" si="0"/>
        <v>7.7666666666666666</v>
      </c>
      <c r="H5" s="2">
        <f>2+38/60</f>
        <v>2.6333333333333333</v>
      </c>
      <c r="I5">
        <v>3</v>
      </c>
      <c r="J5">
        <v>1.4624999999999999</v>
      </c>
      <c r="K5">
        <f t="shared" si="2"/>
        <v>2.0512820512820515</v>
      </c>
      <c r="L5">
        <v>524</v>
      </c>
      <c r="M5">
        <v>0</v>
      </c>
      <c r="N5">
        <f t="shared" si="3"/>
        <v>8.7333333333333325</v>
      </c>
      <c r="O5">
        <f t="shared" si="1"/>
        <v>0</v>
      </c>
    </row>
    <row r="6" spans="1:17" x14ac:dyDescent="0.2">
      <c r="A6" s="1">
        <v>42823</v>
      </c>
      <c r="B6">
        <v>12</v>
      </c>
      <c r="C6">
        <v>33</v>
      </c>
      <c r="D6">
        <v>7</v>
      </c>
      <c r="E6">
        <v>5</v>
      </c>
      <c r="G6">
        <f t="shared" si="0"/>
        <v>6.5333333333333332</v>
      </c>
      <c r="H6" s="2">
        <f>3+3/60</f>
        <v>3.05</v>
      </c>
      <c r="I6">
        <v>7.4169999999999998</v>
      </c>
      <c r="J6">
        <v>6.2539999999999996</v>
      </c>
      <c r="K6">
        <f t="shared" si="2"/>
        <v>1.1859609849696195</v>
      </c>
      <c r="L6">
        <v>379</v>
      </c>
      <c r="M6">
        <v>71</v>
      </c>
      <c r="N6">
        <f t="shared" si="3"/>
        <v>5.1333333333333337</v>
      </c>
      <c r="O6">
        <f t="shared" si="1"/>
        <v>0</v>
      </c>
    </row>
    <row r="7" spans="1:17" x14ac:dyDescent="0.2">
      <c r="A7" s="1">
        <v>42824</v>
      </c>
      <c r="B7">
        <v>11</v>
      </c>
      <c r="C7">
        <v>14</v>
      </c>
      <c r="D7">
        <v>6</v>
      </c>
      <c r="E7">
        <v>38</v>
      </c>
      <c r="G7">
        <f t="shared" si="0"/>
        <v>7.3999999999999995</v>
      </c>
      <c r="H7" s="2">
        <f>2+18/60</f>
        <v>2.2999999999999998</v>
      </c>
      <c r="I7">
        <v>9.7829999999999995</v>
      </c>
      <c r="J7">
        <v>7.6</v>
      </c>
      <c r="K7">
        <f t="shared" si="2"/>
        <v>1.2872368421052631</v>
      </c>
      <c r="L7">
        <v>254</v>
      </c>
      <c r="M7">
        <v>71</v>
      </c>
      <c r="N7">
        <f t="shared" si="3"/>
        <v>3.05</v>
      </c>
      <c r="O7">
        <f t="shared" si="1"/>
        <v>0</v>
      </c>
    </row>
    <row r="8" spans="1:17" x14ac:dyDescent="0.2">
      <c r="A8" s="1">
        <v>42825</v>
      </c>
      <c r="B8">
        <v>11</v>
      </c>
      <c r="C8">
        <v>0</v>
      </c>
      <c r="D8">
        <v>6</v>
      </c>
      <c r="E8">
        <v>58</v>
      </c>
      <c r="G8">
        <f t="shared" si="0"/>
        <v>7.9666666666666668</v>
      </c>
      <c r="H8" s="2">
        <f>2+4/60</f>
        <v>2.0666666666666669</v>
      </c>
      <c r="I8">
        <v>7.5170000000000003</v>
      </c>
      <c r="J8">
        <v>5.95</v>
      </c>
      <c r="K8">
        <f t="shared" si="2"/>
        <v>1.2633613445378151</v>
      </c>
      <c r="L8">
        <v>250</v>
      </c>
      <c r="M8">
        <v>1</v>
      </c>
      <c r="N8">
        <f t="shared" si="3"/>
        <v>4.1500000000000004</v>
      </c>
      <c r="O8">
        <f t="shared" si="1"/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18" sqref="I18:L21"/>
    </sheetView>
  </sheetViews>
  <sheetFormatPr defaultRowHeight="14.25" x14ac:dyDescent="0.2"/>
  <cols>
    <col min="1" max="1" width="13" bestFit="1" customWidth="1"/>
  </cols>
  <sheetData>
    <row r="1" spans="1:2" x14ac:dyDescent="0.2">
      <c r="A1" t="s">
        <v>60</v>
      </c>
      <c r="B1" t="s">
        <v>61</v>
      </c>
    </row>
    <row r="2" spans="1:2" x14ac:dyDescent="0.2">
      <c r="A2" t="s">
        <v>62</v>
      </c>
      <c r="B2">
        <v>8.6999999999999993</v>
      </c>
    </row>
    <row r="3" spans="1:2" x14ac:dyDescent="0.2">
      <c r="A3" t="s">
        <v>63</v>
      </c>
      <c r="B3">
        <v>8.5980000000000008</v>
      </c>
    </row>
    <row r="4" spans="1:2" x14ac:dyDescent="0.2">
      <c r="A4" t="s">
        <v>64</v>
      </c>
      <c r="B4">
        <v>5.0999999999999996</v>
      </c>
    </row>
    <row r="5" spans="1:2" x14ac:dyDescent="0.2">
      <c r="A5" t="s">
        <v>67</v>
      </c>
      <c r="B5">
        <v>3.5</v>
      </c>
    </row>
    <row r="6" spans="1:2" x14ac:dyDescent="0.2">
      <c r="A6" t="s">
        <v>65</v>
      </c>
      <c r="B6">
        <v>3.0169999999999999</v>
      </c>
    </row>
    <row r="7" spans="1:2" x14ac:dyDescent="0.2">
      <c r="A7" t="s">
        <v>66</v>
      </c>
      <c r="B7">
        <v>2.6</v>
      </c>
    </row>
    <row r="8" spans="1:2" x14ac:dyDescent="0.2">
      <c r="A8" t="s">
        <v>71</v>
      </c>
      <c r="B8">
        <v>2.2170000000000001</v>
      </c>
    </row>
    <row r="9" spans="1:2" x14ac:dyDescent="0.2">
      <c r="A9" t="s">
        <v>72</v>
      </c>
      <c r="B9">
        <v>1.625</v>
      </c>
    </row>
    <row r="10" spans="1:2" x14ac:dyDescent="0.2">
      <c r="A10" t="s">
        <v>68</v>
      </c>
      <c r="B10">
        <v>0.85</v>
      </c>
    </row>
    <row r="11" spans="1:2" x14ac:dyDescent="0.2">
      <c r="A11" t="s">
        <v>69</v>
      </c>
      <c r="B11">
        <v>0.85</v>
      </c>
    </row>
    <row r="12" spans="1:2" x14ac:dyDescent="0.2">
      <c r="A12" t="s">
        <v>70</v>
      </c>
      <c r="B12">
        <v>0.85</v>
      </c>
    </row>
  </sheetData>
  <sortState ref="A2:B21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第一周</vt:lpstr>
      <vt:lpstr>第二周</vt:lpstr>
      <vt:lpstr>第三周</vt:lpstr>
      <vt:lpstr>Sheet1</vt:lpstr>
      <vt:lpstr>第四周</vt:lpstr>
      <vt:lpstr>Sheet3</vt:lpstr>
      <vt:lpstr>第五周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2017-04-01T09:51:52Z</dcterms:modified>
</cp:coreProperties>
</file>