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Final Projects\"/>
    </mc:Choice>
  </mc:AlternateContent>
  <bookViews>
    <workbookView xWindow="0" yWindow="4200" windowWidth="28800" windowHeight="12195"/>
  </bookViews>
  <sheets>
    <sheet name="SETTINGS" sheetId="1" r:id="rId1"/>
    <sheet name="PRODUCTS" sheetId="2" r:id="rId2"/>
    <sheet name="PRICES" sheetId="6" r:id="rId3"/>
    <sheet name="PARTNERS" sheetId="4" r:id="rId4"/>
    <sheet name="ORDER_HEADERS" sheetId="3" r:id="rId5"/>
    <sheet name="ORDER_DETAILS" sheetId="5" r:id="rId6"/>
    <sheet name="H_C" sheetId="10" state="hidden" r:id="rId7"/>
    <sheet name="REPORT" sheetId="8" r:id="rId8"/>
  </sheets>
  <definedNames>
    <definedName name="C_PRH">H_C!$G$2</definedName>
    <definedName name="I_ADB">SETTINGS!$E$7</definedName>
    <definedName name="I_ADS">SETTINGS!$E$6</definedName>
    <definedName name="I_BN">SETTINGS!$E$5</definedName>
    <definedName name="I_ED">REPORT!$J$8</definedName>
    <definedName name="I_EM">SETTINGS!$E$9</definedName>
    <definedName name="I_M">REPORT!$AH$14</definedName>
    <definedName name="I_MP">REPORT!$BA$2</definedName>
    <definedName name="I_PA">REPORT!$CC$2</definedName>
    <definedName name="I_PH">SETTINGS!$E$10</definedName>
    <definedName name="I_RPR">REPORT!$BG$2</definedName>
    <definedName name="I_SD">REPORT!$J$4</definedName>
    <definedName name="I_TAG">SETTINGS!$E$8</definedName>
    <definedName name="I_WB">SETTINGS!$E$11</definedName>
    <definedName name="L_O">T_O[ORDER NUMBER]</definedName>
    <definedName name="L_PA">T_PA[NAME]</definedName>
    <definedName name="L_PC">T_PC[PRODUCT CATEGORIES]</definedName>
    <definedName name="L_PR">T_PR[ID]</definedName>
    <definedName name="_xlnm.Print_Area" localSheetId="7">REPORT!$A$1:$CH$31</definedName>
    <definedName name="S_R">REPORT!$J$14</definedName>
    <definedName name="TD">H_C!$G$3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Q22" i="8" l="1"/>
  <c r="O22" i="8"/>
  <c r="BI3" i="8" l="1"/>
  <c r="I4" i="4" l="1"/>
  <c r="G2" i="10" l="1"/>
  <c r="Y16" i="8" l="1"/>
  <c r="J4" i="4" l="1"/>
  <c r="BR12" i="8" l="1"/>
  <c r="BR8" i="8"/>
  <c r="BR13" i="8"/>
  <c r="BR9" i="8"/>
  <c r="BR5" i="8"/>
  <c r="BR11" i="8"/>
  <c r="BR7" i="8"/>
  <c r="BR14" i="8"/>
  <c r="BR10" i="8"/>
  <c r="BR6" i="8"/>
  <c r="BN6" i="8"/>
  <c r="BI2" i="8"/>
  <c r="AY19" i="8"/>
  <c r="AY4" i="8"/>
  <c r="B6" i="10"/>
  <c r="B7" i="10"/>
  <c r="B8" i="10"/>
  <c r="B9" i="10"/>
  <c r="B10" i="10"/>
  <c r="B11" i="10"/>
  <c r="B12" i="10"/>
  <c r="B13" i="10"/>
  <c r="B14" i="10"/>
  <c r="B15" i="10"/>
  <c r="B16" i="10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5" i="10"/>
  <c r="BS5" i="8" l="1"/>
  <c r="BS6" i="8" s="1"/>
  <c r="BS7" i="8" s="1"/>
  <c r="BT5" i="8" l="1"/>
  <c r="BU5" i="8"/>
  <c r="BT7" i="8"/>
  <c r="BU7" i="8"/>
  <c r="BS8" i="8"/>
  <c r="BT6" i="8"/>
  <c r="BU6" i="8"/>
  <c r="BT8" i="8" l="1"/>
  <c r="BU8" i="8"/>
  <c r="BS9" i="8"/>
  <c r="BU9" i="8" l="1"/>
  <c r="BT9" i="8"/>
  <c r="BS10" i="8"/>
  <c r="BS11" i="8" s="1"/>
  <c r="BS12" i="8" l="1"/>
  <c r="BU11" i="8"/>
  <c r="BT11" i="8"/>
  <c r="BT10" i="8"/>
  <c r="BU10" i="8"/>
  <c r="BT12" i="8" l="1"/>
  <c r="BS13" i="8"/>
  <c r="BU12" i="8"/>
  <c r="BS14" i="8" l="1"/>
  <c r="BT13" i="8"/>
  <c r="BU13" i="8"/>
  <c r="AR4" i="8"/>
  <c r="AR19" i="8"/>
  <c r="Q4" i="5"/>
  <c r="BU14" i="8" l="1"/>
  <c r="BT14" i="8"/>
  <c r="N4" i="5"/>
  <c r="M4" i="5"/>
  <c r="L4" i="5"/>
  <c r="P4" i="5" s="1"/>
  <c r="R4" i="5" s="1"/>
  <c r="K4" i="5"/>
  <c r="F4" i="5" l="1"/>
  <c r="O19" i="8"/>
  <c r="CE6" i="8"/>
  <c r="CC9" i="8"/>
  <c r="O16" i="8"/>
  <c r="BE12" i="8"/>
  <c r="CC6" i="8"/>
  <c r="CC12" i="8"/>
  <c r="Q16" i="8"/>
  <c r="CE12" i="8"/>
  <c r="BG12" i="8"/>
  <c r="BE6" i="8"/>
  <c r="O7" i="8"/>
  <c r="BG6" i="8"/>
  <c r="Q7" i="8"/>
  <c r="G4" i="5" l="1"/>
  <c r="C16" i="10"/>
  <c r="C14" i="10"/>
  <c r="C13" i="10"/>
  <c r="C15" i="10"/>
  <c r="C12" i="10"/>
  <c r="C7" i="10"/>
  <c r="C8" i="10"/>
  <c r="C11" i="10"/>
  <c r="C9" i="10"/>
  <c r="C10" i="10"/>
  <c r="AV29" i="8" l="1"/>
  <c r="AV25" i="8"/>
  <c r="AV21" i="8"/>
  <c r="AV28" i="8"/>
  <c r="AV24" i="8"/>
  <c r="AV27" i="8"/>
  <c r="AV23" i="8"/>
  <c r="AV26" i="8"/>
  <c r="AV22" i="8"/>
  <c r="AV20" i="8"/>
  <c r="AV11" i="8"/>
  <c r="AV7" i="8"/>
  <c r="AV14" i="8"/>
  <c r="AV10" i="8"/>
  <c r="AV6" i="8"/>
  <c r="AV13" i="8"/>
  <c r="AV9" i="8"/>
  <c r="AV5" i="8"/>
  <c r="AW5" i="8" s="1"/>
  <c r="AY5" i="8" s="1"/>
  <c r="AV12" i="8"/>
  <c r="AV8" i="8"/>
  <c r="Y3" i="8"/>
  <c r="Z3" i="8" s="1"/>
  <c r="AW20" i="8" l="1"/>
  <c r="AW21" i="8" s="1"/>
  <c r="AW6" i="8"/>
  <c r="AY6" i="8" s="1"/>
  <c r="AX5" i="8"/>
  <c r="AA3" i="8"/>
  <c r="Z8" i="8"/>
  <c r="Z7" i="8"/>
  <c r="Z5" i="8"/>
  <c r="Z4" i="8"/>
  <c r="Z16" i="8" s="1"/>
  <c r="Z11" i="8"/>
  <c r="Z10" i="8"/>
  <c r="BE18" i="8"/>
  <c r="AW22" i="8" l="1"/>
  <c r="AX21" i="8"/>
  <c r="AY21" i="8"/>
  <c r="AX20" i="8"/>
  <c r="AY20" i="8"/>
  <c r="AW7" i="8"/>
  <c r="AW8" i="8" s="1"/>
  <c r="AW9" i="8" s="1"/>
  <c r="AX9" i="8" s="1"/>
  <c r="AX6" i="8"/>
  <c r="Z6" i="8"/>
  <c r="AB3" i="8"/>
  <c r="AA9" i="8"/>
  <c r="AA8" i="8"/>
  <c r="AA7" i="8"/>
  <c r="AA5" i="8"/>
  <c r="AA4" i="8"/>
  <c r="AA16" i="8" s="1"/>
  <c r="AA11" i="8"/>
  <c r="AA10" i="8"/>
  <c r="BE19" i="8"/>
  <c r="BG19" i="8" s="1"/>
  <c r="O4" i="5"/>
  <c r="H4" i="5" s="1"/>
  <c r="AY8" i="8" l="1"/>
  <c r="AX8" i="8"/>
  <c r="AY9" i="8"/>
  <c r="AW10" i="8"/>
  <c r="AW23" i="8"/>
  <c r="AX22" i="8"/>
  <c r="AY22" i="8"/>
  <c r="AX7" i="8"/>
  <c r="AY7" i="8"/>
  <c r="I4" i="5"/>
  <c r="AC3" i="8"/>
  <c r="AB11" i="8"/>
  <c r="AB10" i="8"/>
  <c r="AB8" i="8"/>
  <c r="AB7" i="8"/>
  <c r="AB4" i="8"/>
  <c r="AB16" i="8" s="1"/>
  <c r="AB5" i="8"/>
  <c r="AA6" i="8"/>
  <c r="BE20" i="8"/>
  <c r="BG20" i="8" s="1"/>
  <c r="J4" i="5"/>
  <c r="AW11" i="8" l="1"/>
  <c r="AX10" i="8"/>
  <c r="AY10" i="8"/>
  <c r="AW24" i="8"/>
  <c r="AY23" i="8"/>
  <c r="AX23" i="8"/>
  <c r="AB6" i="8"/>
  <c r="AD3" i="8"/>
  <c r="AC11" i="8"/>
  <c r="AC10" i="8"/>
  <c r="AC8" i="8"/>
  <c r="AC7" i="8"/>
  <c r="AC5" i="8"/>
  <c r="BE21" i="8"/>
  <c r="BG21" i="8" s="1"/>
  <c r="BE9" i="8"/>
  <c r="AW12" i="8" l="1"/>
  <c r="AX11" i="8"/>
  <c r="AY11" i="8"/>
  <c r="AW25" i="8"/>
  <c r="AY24" i="8"/>
  <c r="AX24" i="8"/>
  <c r="AB9" i="8"/>
  <c r="Z9" i="8"/>
  <c r="CE9" i="8"/>
  <c r="AC4" i="8"/>
  <c r="AC9" i="8"/>
  <c r="AE3" i="8"/>
  <c r="AD9" i="8"/>
  <c r="AD8" i="8"/>
  <c r="AD7" i="8"/>
  <c r="AD5" i="8"/>
  <c r="AD4" i="8"/>
  <c r="AD16" i="8" s="1"/>
  <c r="AD11" i="8"/>
  <c r="AD10" i="8"/>
  <c r="BG9" i="8"/>
  <c r="O10" i="8"/>
  <c r="O28" i="8" s="1"/>
  <c r="Q10" i="8"/>
  <c r="E16" i="8"/>
  <c r="BL12" i="8"/>
  <c r="BL9" i="8"/>
  <c r="BL6" i="8"/>
  <c r="BE22" i="8"/>
  <c r="BG22" i="8" s="1"/>
  <c r="E5" i="8"/>
  <c r="C5" i="8"/>
  <c r="G5" i="8"/>
  <c r="AC6" i="8" l="1"/>
  <c r="AC16" i="8"/>
  <c r="AW13" i="8"/>
  <c r="AW14" i="8" s="1"/>
  <c r="AY12" i="8"/>
  <c r="AX12" i="8"/>
  <c r="AW26" i="8"/>
  <c r="AY25" i="8"/>
  <c r="AX25" i="8"/>
  <c r="C6" i="10"/>
  <c r="AF3" i="8"/>
  <c r="AE9" i="8"/>
  <c r="AE8" i="8"/>
  <c r="AE7" i="8"/>
  <c r="AE5" i="8"/>
  <c r="AE4" i="8"/>
  <c r="AE16" i="8" s="1"/>
  <c r="AE11" i="8"/>
  <c r="AE10" i="8"/>
  <c r="AD6" i="8"/>
  <c r="C5" i="10"/>
  <c r="O13" i="8"/>
  <c r="Q13" i="8"/>
  <c r="BN9" i="8"/>
  <c r="BE23" i="8"/>
  <c r="BG23" i="8" s="1"/>
  <c r="G16" i="8"/>
  <c r="C16" i="8"/>
  <c r="AY14" i="8" l="1"/>
  <c r="AZ14" i="8" s="1"/>
  <c r="AX14" i="8"/>
  <c r="AY13" i="8"/>
  <c r="AZ13" i="8" s="1"/>
  <c r="AX13" i="8"/>
  <c r="AW27" i="8"/>
  <c r="AX26" i="8"/>
  <c r="AY26" i="8"/>
  <c r="K4" i="3"/>
  <c r="AZ5" i="8"/>
  <c r="AZ9" i="8"/>
  <c r="AZ6" i="8"/>
  <c r="AZ10" i="8"/>
  <c r="AZ12" i="8"/>
  <c r="AZ7" i="8"/>
  <c r="AZ11" i="8"/>
  <c r="AZ8" i="8"/>
  <c r="AE6" i="8"/>
  <c r="AG3" i="8"/>
  <c r="AF11" i="8"/>
  <c r="AF10" i="8"/>
  <c r="AF5" i="8"/>
  <c r="AF9" i="8"/>
  <c r="AF8" i="8"/>
  <c r="AF7" i="8"/>
  <c r="AF4" i="8"/>
  <c r="AF16" i="8" s="1"/>
  <c r="D6" i="10"/>
  <c r="D27" i="10"/>
  <c r="D16" i="10"/>
  <c r="D29" i="10"/>
  <c r="D8" i="10"/>
  <c r="D21" i="10"/>
  <c r="D12" i="10"/>
  <c r="D22" i="10"/>
  <c r="D26" i="10"/>
  <c r="D23" i="10"/>
  <c r="D28" i="10"/>
  <c r="D19" i="10"/>
  <c r="D13" i="10"/>
  <c r="D18" i="10"/>
  <c r="D5" i="10"/>
  <c r="D25" i="10"/>
  <c r="D10" i="10"/>
  <c r="D20" i="10"/>
  <c r="D24" i="10"/>
  <c r="D11" i="10"/>
  <c r="D15" i="10"/>
  <c r="D14" i="10"/>
  <c r="D17" i="10"/>
  <c r="D7" i="10"/>
  <c r="D9" i="10"/>
  <c r="BE5" i="8"/>
  <c r="BE24" i="8"/>
  <c r="BG24" i="8" s="1"/>
  <c r="AW28" i="8" l="1"/>
  <c r="AY27" i="8"/>
  <c r="AX27" i="8"/>
  <c r="K4" i="4"/>
  <c r="AZ20" i="8"/>
  <c r="AF6" i="8"/>
  <c r="AH3" i="8"/>
  <c r="AG11" i="8"/>
  <c r="AG10" i="8"/>
  <c r="AG9" i="8"/>
  <c r="AG8" i="8"/>
  <c r="AG7" i="8"/>
  <c r="AG5" i="8"/>
  <c r="AG4" i="8"/>
  <c r="AG16" i="8" s="1"/>
  <c r="AR5" i="8"/>
  <c r="AS5" i="8" s="1"/>
  <c r="AR9" i="8"/>
  <c r="AS9" i="8" s="1"/>
  <c r="AR13" i="8"/>
  <c r="AS13" i="8" s="1"/>
  <c r="AQ7" i="8"/>
  <c r="AQ11" i="8"/>
  <c r="AR11" i="8"/>
  <c r="AS11" i="8" s="1"/>
  <c r="AQ9" i="8"/>
  <c r="AR6" i="8"/>
  <c r="AS6" i="8" s="1"/>
  <c r="AR10" i="8"/>
  <c r="AS10" i="8" s="1"/>
  <c r="AR14" i="8"/>
  <c r="AS14" i="8" s="1"/>
  <c r="AQ8" i="8"/>
  <c r="AQ12" i="8"/>
  <c r="AR7" i="8"/>
  <c r="AS7" i="8" s="1"/>
  <c r="AQ5" i="8"/>
  <c r="AQ13" i="8"/>
  <c r="AR8" i="8"/>
  <c r="AS8" i="8" s="1"/>
  <c r="AR12" i="8"/>
  <c r="AS12" i="8" s="1"/>
  <c r="AQ6" i="8"/>
  <c r="AQ10" i="8"/>
  <c r="AQ14" i="8"/>
  <c r="AP20" i="8"/>
  <c r="BE25" i="8"/>
  <c r="BG25" i="8" s="1"/>
  <c r="L4" i="4" l="1"/>
  <c r="AW29" i="8"/>
  <c r="AX28" i="8"/>
  <c r="AY28" i="8"/>
  <c r="BV7" i="8"/>
  <c r="BV8" i="8"/>
  <c r="AZ21" i="8"/>
  <c r="AQ20" i="8"/>
  <c r="AR20" i="8"/>
  <c r="AS20" i="8" s="1"/>
  <c r="AP21" i="8"/>
  <c r="AG6" i="8"/>
  <c r="AI3" i="8"/>
  <c r="AH9" i="8"/>
  <c r="AH8" i="8"/>
  <c r="AH7" i="8"/>
  <c r="AH5" i="8"/>
  <c r="AH4" i="8"/>
  <c r="AH16" i="8" s="1"/>
  <c r="AH11" i="8"/>
  <c r="AH10" i="8"/>
  <c r="BE26" i="8"/>
  <c r="BG26" i="8" s="1"/>
  <c r="BR29" i="8" l="1"/>
  <c r="BR25" i="8"/>
  <c r="BR21" i="8"/>
  <c r="BR26" i="8"/>
  <c r="BR22" i="8"/>
  <c r="BR28" i="8"/>
  <c r="BR24" i="8"/>
  <c r="BR20" i="8"/>
  <c r="BR27" i="8"/>
  <c r="BR23" i="8"/>
  <c r="AX29" i="8"/>
  <c r="AY29" i="8"/>
  <c r="BV11" i="8"/>
  <c r="BV9" i="8"/>
  <c r="BV5" i="8"/>
  <c r="BV6" i="8"/>
  <c r="BV14" i="8"/>
  <c r="BV12" i="8"/>
  <c r="BV10" i="8"/>
  <c r="BV13" i="8"/>
  <c r="AP22" i="8"/>
  <c r="AQ21" i="8"/>
  <c r="AR21" i="8"/>
  <c r="AS21" i="8" s="1"/>
  <c r="AZ22" i="8"/>
  <c r="AJ3" i="8"/>
  <c r="AI9" i="8"/>
  <c r="AI8" i="8"/>
  <c r="AI7" i="8"/>
  <c r="AI5" i="8"/>
  <c r="AI4" i="8"/>
  <c r="AI16" i="8" s="1"/>
  <c r="AI11" i="8"/>
  <c r="AI10" i="8"/>
  <c r="AH6" i="8"/>
  <c r="BE27" i="8"/>
  <c r="BG27" i="8" s="1"/>
  <c r="BS20" i="8" l="1"/>
  <c r="BS21" i="8" s="1"/>
  <c r="BS22" i="8" s="1"/>
  <c r="BS23" i="8" s="1"/>
  <c r="AZ23" i="8"/>
  <c r="AP23" i="8"/>
  <c r="AR22" i="8"/>
  <c r="AS22" i="8" s="1"/>
  <c r="AQ22" i="8"/>
  <c r="AI6" i="8"/>
  <c r="AK3" i="8"/>
  <c r="AJ11" i="8"/>
  <c r="AJ10" i="8"/>
  <c r="AJ7" i="8"/>
  <c r="AJ4" i="8"/>
  <c r="AJ16" i="8" s="1"/>
  <c r="AJ9" i="8"/>
  <c r="AJ8" i="8"/>
  <c r="AJ5" i="8"/>
  <c r="BE28" i="8"/>
  <c r="BG28" i="8" s="1"/>
  <c r="BU23" i="8" l="1"/>
  <c r="BV23" i="8" s="1"/>
  <c r="BT23" i="8"/>
  <c r="BU21" i="8"/>
  <c r="BV21" i="8" s="1"/>
  <c r="BT21" i="8"/>
  <c r="BS24" i="8"/>
  <c r="BU22" i="8"/>
  <c r="BV22" i="8" s="1"/>
  <c r="BT22" i="8"/>
  <c r="BT20" i="8"/>
  <c r="BU20" i="8"/>
  <c r="BV20" i="8" s="1"/>
  <c r="AP24" i="8"/>
  <c r="AR23" i="8"/>
  <c r="AS23" i="8" s="1"/>
  <c r="AQ23" i="8"/>
  <c r="AZ24" i="8"/>
  <c r="AJ6" i="8"/>
  <c r="AK11" i="8"/>
  <c r="AK10" i="8"/>
  <c r="AK9" i="8"/>
  <c r="AK8" i="8"/>
  <c r="AK7" i="8"/>
  <c r="AK5" i="8"/>
  <c r="AK4" i="8"/>
  <c r="AK16" i="8" s="1"/>
  <c r="BE29" i="8"/>
  <c r="BG29" i="8" s="1"/>
  <c r="BU24" i="8" l="1"/>
  <c r="BV24" i="8" s="1"/>
  <c r="BT24" i="8"/>
  <c r="BS25" i="8"/>
  <c r="BS26" i="8" s="1"/>
  <c r="AZ25" i="8"/>
  <c r="AP25" i="8"/>
  <c r="AQ24" i="8"/>
  <c r="AR24" i="8"/>
  <c r="AS24" i="8" s="1"/>
  <c r="AK6" i="8"/>
  <c r="BE30" i="8"/>
  <c r="BG30" i="8" s="1"/>
  <c r="BU26" i="8" l="1"/>
  <c r="BV26" i="8" s="1"/>
  <c r="BT26" i="8"/>
  <c r="BS27" i="8"/>
  <c r="BU25" i="8"/>
  <c r="BV25" i="8" s="1"/>
  <c r="BT25" i="8"/>
  <c r="AP26" i="8"/>
  <c r="AQ25" i="8"/>
  <c r="AR25" i="8"/>
  <c r="AS25" i="8" s="1"/>
  <c r="AZ26" i="8"/>
  <c r="BS28" i="8" l="1"/>
  <c r="BT27" i="8"/>
  <c r="BU27" i="8"/>
  <c r="BV27" i="8" s="1"/>
  <c r="AZ27" i="8"/>
  <c r="AP27" i="8"/>
  <c r="AR26" i="8"/>
  <c r="AS26" i="8" s="1"/>
  <c r="AQ26" i="8"/>
  <c r="BS29" i="8" l="1"/>
  <c r="BU28" i="8"/>
  <c r="BV28" i="8" s="1"/>
  <c r="BT28" i="8"/>
  <c r="AP28" i="8"/>
  <c r="AR27" i="8"/>
  <c r="AS27" i="8" s="1"/>
  <c r="AQ27" i="8"/>
  <c r="AZ28" i="8"/>
  <c r="BT29" i="8" l="1"/>
  <c r="BU29" i="8"/>
  <c r="BV29" i="8" s="1"/>
  <c r="AZ29" i="8"/>
  <c r="AP29" i="8"/>
  <c r="AQ28" i="8"/>
  <c r="AR28" i="8"/>
  <c r="AS28" i="8" s="1"/>
  <c r="AQ29" i="8" l="1"/>
  <c r="AR29" i="8"/>
  <c r="AS29" i="8" s="1"/>
</calcChain>
</file>

<file path=xl/sharedStrings.xml><?xml version="1.0" encoding="utf-8"?>
<sst xmlns="http://schemas.openxmlformats.org/spreadsheetml/2006/main" count="262" uniqueCount="194">
  <si>
    <t>NAME</t>
  </si>
  <si>
    <t>ID</t>
  </si>
  <si>
    <t>DESCRIPTION</t>
  </si>
  <si>
    <t>STARTING INVENTORY</t>
  </si>
  <si>
    <t>UNIT</t>
  </si>
  <si>
    <t>Unit of measurement</t>
  </si>
  <si>
    <t>PRODUCTS</t>
  </si>
  <si>
    <t>ORDER DATE</t>
  </si>
  <si>
    <t>ORDER TYPE</t>
  </si>
  <si>
    <t>PURCHASE</t>
  </si>
  <si>
    <t>SHIPPING ADDRESS</t>
  </si>
  <si>
    <t>BILLING ADDRESS</t>
  </si>
  <si>
    <t>EMAIL</t>
  </si>
  <si>
    <t>PHONE</t>
  </si>
  <si>
    <t>PARTNER NAME</t>
  </si>
  <si>
    <t>ORDERS</t>
  </si>
  <si>
    <t>ORDER DETAILS</t>
  </si>
  <si>
    <t>PRODUCT NAME</t>
  </si>
  <si>
    <t>TOTAL ORDER AMOUNT</t>
  </si>
  <si>
    <t>QUANTITY</t>
  </si>
  <si>
    <t>EXPECTED DATE</t>
  </si>
  <si>
    <t>CATEGORY</t>
  </si>
  <si>
    <t>PURCHASE PRICE</t>
  </si>
  <si>
    <t>PRODUCT ROW</t>
  </si>
  <si>
    <t>PRICE CHECK ROW</t>
  </si>
  <si>
    <t>UNIT PRICE</t>
  </si>
  <si>
    <t>PRODUCT ID</t>
  </si>
  <si>
    <t>UNIT DISCOUNT</t>
  </si>
  <si>
    <t>RE-ORDER POINT</t>
  </si>
  <si>
    <t>ORDER DISCOUNT</t>
  </si>
  <si>
    <t>TO ORDER</t>
  </si>
  <si>
    <t>ORDER NUMBER</t>
  </si>
  <si>
    <t>INVENTORY</t>
  </si>
  <si>
    <t>CURRENT STATUS</t>
  </si>
  <si>
    <t>TAX</t>
  </si>
  <si>
    <t>Tax</t>
  </si>
  <si>
    <t>SALES</t>
  </si>
  <si>
    <t>Discount Amt Given</t>
  </si>
  <si>
    <t>Sales Tax</t>
  </si>
  <si>
    <t>Qty Returned from Customer</t>
  </si>
  <si>
    <t>Report based on Order Date</t>
  </si>
  <si>
    <t>based on expected date</t>
  </si>
  <si>
    <t>CHOOSE METRIC</t>
  </si>
  <si>
    <t>SALES RANK</t>
  </si>
  <si>
    <t>PARTNER</t>
  </si>
  <si>
    <t>PURCHASES</t>
  </si>
  <si>
    <t>PURCHASE RANK</t>
  </si>
  <si>
    <t>RANK</t>
  </si>
  <si>
    <t>SALES (AMT)</t>
  </si>
  <si>
    <t>PURCHASES (AMT)</t>
  </si>
  <si>
    <t>PRODUCTS TO RE-ORDER</t>
  </si>
  <si>
    <t>ORDER ROW</t>
  </si>
  <si>
    <t>INVENTORY VALUE</t>
  </si>
  <si>
    <t>PRODUCT CATEGORIES</t>
  </si>
  <si>
    <t>SALES PRICE</t>
  </si>
  <si>
    <t>BUSINESS NAME</t>
  </si>
  <si>
    <t>WEBSITE</t>
  </si>
  <si>
    <t>ORDER NOTES</t>
  </si>
  <si>
    <t>Qty Returned to Supplier</t>
  </si>
  <si>
    <t>%</t>
  </si>
  <si>
    <t>Purchase Qty - returns</t>
  </si>
  <si>
    <t>Purchase Amount (excl tax)</t>
  </si>
  <si>
    <t>Sales Amount (excl tax)</t>
  </si>
  <si>
    <t>Sales Qty</t>
  </si>
  <si>
    <t>Purchase Qty</t>
  </si>
  <si>
    <t>MONTH</t>
  </si>
  <si>
    <t>SALES QTY</t>
  </si>
  <si>
    <t>REPORT</t>
  </si>
  <si>
    <t>SALES QTY TREND</t>
  </si>
  <si>
    <t>SALES RNK</t>
  </si>
  <si>
    <t>#</t>
  </si>
  <si>
    <t>PRODUCT CATEGORY</t>
  </si>
  <si>
    <t>SORT BY SALES METRIC</t>
  </si>
  <si>
    <t>TOP 10 CATEGORIES</t>
  </si>
  <si>
    <t>BOT 10 CATEGORIES</t>
  </si>
  <si>
    <t>BOT 10 PRODUCTS</t>
  </si>
  <si>
    <t>TOP 10 PRODUCTS</t>
  </si>
  <si>
    <t>PRODUCT PERFORMANCE</t>
  </si>
  <si>
    <t>TO ORDER?</t>
  </si>
  <si>
    <t>Choose Partner</t>
  </si>
  <si>
    <t>Choose Product</t>
  </si>
  <si>
    <t>OTHER CHARGES</t>
  </si>
  <si>
    <t>PA CUST FLD</t>
  </si>
  <si>
    <t>PR CUST FLD</t>
  </si>
  <si>
    <t>O CUST FLD</t>
  </si>
  <si>
    <t>AMOUNT BEFORE TAX</t>
  </si>
  <si>
    <t>AMOUNT AFTER TAX</t>
  </si>
  <si>
    <t>PRODUCTS IN STOCK</t>
  </si>
  <si>
    <t>TAG LINE</t>
  </si>
  <si>
    <t>TAXABLE</t>
  </si>
  <si>
    <t>TAX RATE</t>
  </si>
  <si>
    <t>PARTNERS (SUPPLIERS &amp; CUSTOMERS)</t>
  </si>
  <si>
    <t>PRODUCT PRICES</t>
  </si>
  <si>
    <t>BUSINESS INFORMATION</t>
  </si>
  <si>
    <t>Purchase Amount</t>
  </si>
  <si>
    <t>PRICE TABLEROW HEADEr</t>
  </si>
  <si>
    <t>REFRESH</t>
  </si>
  <si>
    <t>Sales Quantity</t>
  </si>
  <si>
    <t>Purchase Quantity</t>
  </si>
  <si>
    <t>Qty Returned by Customers</t>
  </si>
  <si>
    <t>Gross Profit</t>
  </si>
  <si>
    <t>Sales Amount</t>
  </si>
  <si>
    <t>Cost of Goods Sold</t>
  </si>
  <si>
    <t>EFFECTIVE FROM DATE</t>
  </si>
  <si>
    <t>PROFIT</t>
  </si>
  <si>
    <t>Qty Returned to Suppliers</t>
  </si>
  <si>
    <t>MONTHLY TREND CHART</t>
  </si>
  <si>
    <t>MONTHLY TABLE</t>
  </si>
  <si>
    <t>TOP AND BOTTOM PERFORMING PRODUCTS</t>
  </si>
  <si>
    <t xml:space="preserve">Categorize your products </t>
  </si>
  <si>
    <t>Quantity that has been purchased but not reached inventory yet</t>
  </si>
  <si>
    <t>Quantity that has been sold but not left inventory yet</t>
  </si>
  <si>
    <t>Quantity available in current Inventory</t>
  </si>
  <si>
    <t>Should we order?</t>
  </si>
  <si>
    <t>Value of current inventory based on current purchase price</t>
  </si>
  <si>
    <t>Sales between dates chosen in Report sheet</t>
  </si>
  <si>
    <t>Sales Rank for dates chosen in Report sheet</t>
  </si>
  <si>
    <t>Use this field to store any information you would need</t>
  </si>
  <si>
    <t>Product Name - can be repeated</t>
  </si>
  <si>
    <t xml:space="preserve">Product Description </t>
  </si>
  <si>
    <t>Unique ID of product</t>
  </si>
  <si>
    <t>Unique ID of Partner</t>
  </si>
  <si>
    <t>Shipping Address for Partner</t>
  </si>
  <si>
    <t>Billing Address for Partner</t>
  </si>
  <si>
    <t>Email Address of Partner</t>
  </si>
  <si>
    <t>Phone Number of Partner</t>
  </si>
  <si>
    <t>CONTACT</t>
  </si>
  <si>
    <t>Contact person at Partner</t>
  </si>
  <si>
    <t>DO NOT EDIT GREEN COLUMN CELLS. THEY ARE AUTOMATICALLY CALCULATED.</t>
  </si>
  <si>
    <t>Purchases between dates chosen in Report sheet</t>
  </si>
  <si>
    <t>Purchase Rank for dates chosen in Report sheet</t>
  </si>
  <si>
    <t>Use this field to store any information you would need about Partner</t>
  </si>
  <si>
    <t>Partner Name - should be unique</t>
  </si>
  <si>
    <t>Order Number - should be unique</t>
  </si>
  <si>
    <t>Date when the order was placed</t>
  </si>
  <si>
    <t>Name of Supplier for Purchase orders. Name of Customers for Sale orders.</t>
  </si>
  <si>
    <t>Any additonal cost after product costs and taxes</t>
  </si>
  <si>
    <t>Any additonal discounts after product discounts</t>
  </si>
  <si>
    <t>Tax Rate for the Order</t>
  </si>
  <si>
    <t>Use this field to store any information you would need about Orders</t>
  </si>
  <si>
    <t>Order Number</t>
  </si>
  <si>
    <t>Quantity</t>
  </si>
  <si>
    <t>ID of product on the order</t>
  </si>
  <si>
    <t xml:space="preserve">Any discount for each unit of product </t>
  </si>
  <si>
    <t>Unit price before any discounts</t>
  </si>
  <si>
    <t>Quantity * (Unit Price-Unit Discount)</t>
  </si>
  <si>
    <t xml:space="preserve">Total Tax Amount </t>
  </si>
  <si>
    <t>Amount Before Tax + Tax Amount</t>
  </si>
  <si>
    <t>Name of Product</t>
  </si>
  <si>
    <t>Order's Expected Date</t>
  </si>
  <si>
    <t>Order Date</t>
  </si>
  <si>
    <t>Order Type</t>
  </si>
  <si>
    <t>ON</t>
  </si>
  <si>
    <t>SUPPORT</t>
  </si>
  <si>
    <t>ENTER PRODUCT CATEGORIES</t>
  </si>
  <si>
    <t>INVENTORY TO COME</t>
  </si>
  <si>
    <t>INVENTORY TO GO</t>
  </si>
  <si>
    <t>Inventory level at which product needs to be ordered</t>
  </si>
  <si>
    <t>Date when inventory will be impacted</t>
  </si>
  <si>
    <t>INVENTORY ON HAND</t>
  </si>
  <si>
    <t>Partner Name on the Order</t>
  </si>
  <si>
    <t>Row number of Product</t>
  </si>
  <si>
    <t>Row number in Prices sheet</t>
  </si>
  <si>
    <t>Purchase Price of Product</t>
  </si>
  <si>
    <t>Total Order Amount considering all charges, discounts and taxes</t>
  </si>
  <si>
    <t>ENTER START DATE</t>
  </si>
  <si>
    <t>ENTER END DATE</t>
  </si>
  <si>
    <t>MONTHLY METRICS</t>
  </si>
  <si>
    <t>PARTNER PERFORMANCE</t>
  </si>
  <si>
    <t>ON HAND</t>
  </si>
  <si>
    <t>TOP 10 CUSTOMERS</t>
  </si>
  <si>
    <t>TOP 10 SUPPLIERS</t>
  </si>
  <si>
    <t>START ENTERING DATA FROM ROW 4</t>
  </si>
  <si>
    <t>Inventory on day 1</t>
  </si>
  <si>
    <t>IMPORTANT TIPS BEFORE GETTING STARTED</t>
  </si>
  <si>
    <t>INVENTORY ON-HAND</t>
  </si>
  <si>
    <t>Row Number of Order</t>
  </si>
  <si>
    <t>MSBL</t>
  </si>
  <si>
    <t>Choose NO if not taxable. Leave Blank if taxable</t>
  </si>
  <si>
    <t>Rajasthan</t>
  </si>
  <si>
    <t>Other Charges</t>
  </si>
  <si>
    <t>Introduction to Excel Tables</t>
  </si>
  <si>
    <t>R</t>
  </si>
  <si>
    <t>RETAIL INVENTORY TRACKER</t>
  </si>
  <si>
    <t>CUST COLUMN</t>
  </si>
  <si>
    <t>Use this to enter any information you need</t>
  </si>
  <si>
    <r>
      <rPr>
        <b/>
        <sz val="11"/>
        <color theme="1" tint="0.499984740745262"/>
        <rFont val="Calibri"/>
        <family val="2"/>
        <scheme val="minor"/>
      </rPr>
      <t xml:space="preserve">ONGOING UPDATES: </t>
    </r>
    <r>
      <rPr>
        <sz val="11"/>
        <color theme="1" tint="0.499984740745262"/>
        <rFont val="Calibri"/>
        <family val="2"/>
        <scheme val="minor"/>
      </rPr>
      <t xml:space="preserve">If a product's price changes, 1) create a new row for the product, 2) enter the date when new price becomes effective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and 3) enter the effective purchase and sales prices. Note: please enter both purchase and sales price even if only one has changed. </t>
    </r>
  </si>
  <si>
    <t>1. Do not edit calculated cells (ones with formulas). 
2. Input data is always visible and can be edited easily.
3. Backup by saving copies of this file regularly. 
Purple - Input cells for user to enter pre-defined information.
Green - Calculated cells. Should not be edited.
Blue - Custom Input cells for user to store any information needed.</t>
  </si>
  <si>
    <t>Today</t>
  </si>
  <si>
    <t xml:space="preserve"> </t>
  </si>
  <si>
    <t>Type of Order (Purchase, Sale, Adjust)</t>
  </si>
  <si>
    <t xml:space="preserve">Notes </t>
  </si>
  <si>
    <r>
      <rPr>
        <b/>
        <sz val="11"/>
        <color theme="1" tint="0.499984740745262"/>
        <rFont val="Calibri"/>
        <family val="2"/>
        <scheme val="minor"/>
      </rPr>
      <t xml:space="preserve">INITIAL SETUP: </t>
    </r>
    <r>
      <rPr>
        <sz val="11"/>
        <color theme="1" tint="0.499984740745262"/>
        <rFont val="Calibri"/>
        <family val="2"/>
        <scheme val="minor"/>
      </rPr>
      <t xml:space="preserve">Assuming you start entering all your orders beginning on Jan 1, 2020, then 1) create a row for each product, 2) enter Jan 1, 2020 as </t>
    </r>
    <r>
      <rPr>
        <b/>
        <sz val="11"/>
        <color theme="1" tint="0.499984740745262"/>
        <rFont val="Calibri"/>
        <family val="2"/>
        <scheme val="minor"/>
      </rPr>
      <t>Effective From Date</t>
    </r>
    <r>
      <rPr>
        <sz val="11"/>
        <color theme="1" tint="0.499984740745262"/>
        <rFont val="Calibri"/>
        <family val="2"/>
        <scheme val="minor"/>
      </rPr>
      <t xml:space="preserve"> in each row and 3) enter purchase and sales prices as of Jan 1, 2020. </t>
    </r>
  </si>
  <si>
    <t>Software Designed By: Phoenix Tech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</si>
</sst>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K&quot;#,##0;[Red]\-&quot;K&quot;#,##0"/>
    <numFmt numFmtId="164" formatCode="dd\-mmm\-yyyy"/>
    <numFmt numFmtId="165" formatCode="[&lt;=9999999]###\-####;\(###\)\ ###\-####"/>
  </numFmts>
  <fonts count="6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8"/>
      <color theme="1"/>
      <name val="Arial Rounded MT Bold"/>
      <family val="2"/>
    </font>
    <font>
      <sz val="14"/>
      <color theme="1"/>
      <name val="Arial Rounded MT Bold"/>
      <family val="2"/>
    </font>
    <font>
      <sz val="11"/>
      <color theme="1"/>
      <name val="Calibri"/>
      <family val="2"/>
      <scheme val="minor"/>
    </font>
    <font>
      <sz val="14"/>
      <color theme="0"/>
      <name val="Arial Rounded MT Bold"/>
      <family val="2"/>
    </font>
    <font>
      <sz val="24"/>
      <color rgb="FF00B05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Arial Narrow"/>
      <family val="2"/>
    </font>
    <font>
      <sz val="11"/>
      <color theme="1"/>
      <name val="Arial Narrow"/>
      <family val="2"/>
    </font>
    <font>
      <sz val="9"/>
      <color theme="1" tint="0.499984740745262"/>
      <name val="Arial Narrow"/>
      <family val="2"/>
    </font>
    <font>
      <i/>
      <sz val="11"/>
      <color theme="1"/>
      <name val="Arial Narrow"/>
      <family val="2"/>
    </font>
    <font>
      <sz val="16"/>
      <color theme="3"/>
      <name val="Arial Narrow"/>
      <family val="2"/>
    </font>
    <font>
      <sz val="16"/>
      <color theme="1"/>
      <name val="Arial Narrow"/>
      <family val="2"/>
    </font>
    <font>
      <b/>
      <sz val="16"/>
      <color theme="9" tint="-0.249977111117893"/>
      <name val="Arial Narrow"/>
      <family val="2"/>
    </font>
    <font>
      <b/>
      <sz val="16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26"/>
      <color theme="3"/>
      <name val="Arial Narrow"/>
      <family val="2"/>
    </font>
    <font>
      <b/>
      <sz val="26"/>
      <color rgb="FF00B050"/>
      <name val="Arial Narrow"/>
      <family val="2"/>
    </font>
    <font>
      <b/>
      <sz val="11"/>
      <color theme="3"/>
      <name val="Arial Narrow"/>
      <family val="2"/>
    </font>
    <font>
      <sz val="8"/>
      <color theme="1" tint="0.499984740745262"/>
      <name val="Arial Narrow"/>
      <family val="2"/>
    </font>
    <font>
      <b/>
      <sz val="24"/>
      <color theme="3"/>
      <name val="Arial Narrow"/>
      <family val="2"/>
    </font>
    <font>
      <sz val="16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8"/>
      <name val="Arial Narrow"/>
      <family val="2"/>
    </font>
    <font>
      <b/>
      <sz val="20"/>
      <color theme="8"/>
      <name val="Arial Narrow"/>
      <family val="2"/>
    </font>
    <font>
      <sz val="11"/>
      <color theme="1" tint="0.499984740745262"/>
      <name val="Arial Narrow"/>
      <family val="2"/>
    </font>
    <font>
      <b/>
      <sz val="12"/>
      <color rgb="FF0070C0"/>
      <name val="Arial Narrow"/>
      <family val="2"/>
    </font>
    <font>
      <b/>
      <sz val="12"/>
      <color theme="1"/>
      <name val="Arial Narrow"/>
      <family val="2"/>
    </font>
    <font>
      <i/>
      <sz val="11"/>
      <color theme="1" tint="0.34998626667073579"/>
      <name val="Arial Narrow"/>
      <family val="2"/>
    </font>
    <font>
      <b/>
      <sz val="18"/>
      <color theme="0"/>
      <name val="Arial Narrow"/>
      <family val="2"/>
    </font>
    <font>
      <b/>
      <sz val="14"/>
      <color theme="3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sz val="10"/>
      <color theme="3"/>
      <name val="Arial Narrow"/>
      <family val="2"/>
    </font>
    <font>
      <b/>
      <sz val="11"/>
      <color theme="1" tint="0.499984740745262"/>
      <name val="Arial Narrow"/>
      <family val="2"/>
    </font>
    <font>
      <sz val="14"/>
      <color theme="3"/>
      <name val="Arial Narrow"/>
      <family val="2"/>
    </font>
    <font>
      <b/>
      <sz val="14"/>
      <color rgb="FF0070C0"/>
      <name val="Arial Narrow"/>
      <family val="2"/>
    </font>
    <font>
      <b/>
      <sz val="12"/>
      <color theme="0"/>
      <name val="Arial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6"/>
      <color rgb="FF7030A0"/>
      <name val="Arial Narrow"/>
      <family val="2"/>
    </font>
    <font>
      <b/>
      <sz val="26"/>
      <color rgb="FF7030A0"/>
      <name val="Franklin Gothic Medium"/>
      <family val="2"/>
    </font>
    <font>
      <b/>
      <sz val="28"/>
      <color rgb="FF7030A0"/>
      <name val="Arial Narrow"/>
      <family val="2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2"/>
      <color theme="2" tint="-9.9978637043366805E-2"/>
      <name val="Arial Narrow"/>
      <family val="2"/>
    </font>
    <font>
      <sz val="11"/>
      <color theme="0"/>
      <name val="Arial Narrow"/>
      <family val="2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6"/>
      <color rgb="FF7030A0"/>
      <name val="Calibri"/>
      <family val="2"/>
      <scheme val="minor"/>
    </font>
    <font>
      <u/>
      <sz val="16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B86A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NumberFormat="1" applyFont="1"/>
    <xf numFmtId="0" fontId="0" fillId="9" borderId="0" xfId="0" applyFill="1"/>
    <xf numFmtId="0" fontId="0" fillId="0" borderId="0" xfId="0" applyAlignment="1">
      <alignment horizontal="center"/>
    </xf>
    <xf numFmtId="0" fontId="0" fillId="9" borderId="0" xfId="0" applyFont="1" applyFill="1"/>
    <xf numFmtId="0" fontId="12" fillId="0" borderId="0" xfId="2"/>
    <xf numFmtId="0" fontId="0" fillId="0" borderId="0" xfId="0" applyFill="1"/>
    <xf numFmtId="9" fontId="0" fillId="0" borderId="0" xfId="1" applyFont="1"/>
    <xf numFmtId="0" fontId="2" fillId="0" borderId="0" xfId="0" applyFont="1" applyFill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1" fillId="15" borderId="0" xfId="0" applyFont="1" applyFill="1" applyAlignment="1">
      <alignment wrapText="1"/>
    </xf>
    <xf numFmtId="0" fontId="15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Fill="1"/>
    <xf numFmtId="0" fontId="17" fillId="15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165" fontId="0" fillId="0" borderId="0" xfId="0" applyNumberFormat="1"/>
    <xf numFmtId="0" fontId="7" fillId="5" borderId="3" xfId="0" applyFont="1" applyFill="1" applyBorder="1" applyAlignment="1" applyProtection="1">
      <alignment horizontal="right" vertical="center"/>
      <protection locked="0"/>
    </xf>
    <xf numFmtId="0" fontId="6" fillId="5" borderId="3" xfId="0" applyFont="1" applyFill="1" applyBorder="1" applyProtection="1">
      <protection locked="0"/>
    </xf>
    <xf numFmtId="0" fontId="6" fillId="5" borderId="4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19" fillId="0" borderId="3" xfId="0" applyFont="1" applyBorder="1" applyProtection="1">
      <protection locked="0"/>
    </xf>
    <xf numFmtId="0" fontId="19" fillId="0" borderId="4" xfId="0" applyFont="1" applyBorder="1" applyProtection="1">
      <protection locked="0"/>
    </xf>
    <xf numFmtId="0" fontId="0" fillId="0" borderId="3" xfId="0" applyBorder="1" applyProtection="1">
      <protection locked="0"/>
    </xf>
    <xf numFmtId="0" fontId="11" fillId="5" borderId="4" xfId="0" applyFont="1" applyFill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/>
      <protection locked="0"/>
    </xf>
    <xf numFmtId="0" fontId="0" fillId="0" borderId="4" xfId="0" applyBorder="1" applyProtection="1">
      <protection locked="0"/>
    </xf>
    <xf numFmtId="0" fontId="7" fillId="5" borderId="5" xfId="0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19" fillId="0" borderId="0" xfId="0" applyFont="1" applyBorder="1" applyProtection="1">
      <protection locked="0"/>
    </xf>
    <xf numFmtId="0" fontId="19" fillId="0" borderId="6" xfId="0" applyFont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34" fillId="0" borderId="0" xfId="0" applyFont="1" applyFill="1" applyBorder="1" applyAlignment="1" applyProtection="1">
      <alignment horizontal="centerContinuous" vertical="center"/>
      <protection locked="0"/>
    </xf>
    <xf numFmtId="0" fontId="35" fillId="0" borderId="0" xfId="0" applyFont="1" applyBorder="1" applyAlignment="1" applyProtection="1">
      <alignment horizontal="right" vertical="top"/>
      <protection locked="0"/>
    </xf>
    <xf numFmtId="0" fontId="43" fillId="7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horizontal="right" vertical="center"/>
      <protection locked="0"/>
    </xf>
    <xf numFmtId="0" fontId="49" fillId="7" borderId="0" xfId="0" applyFont="1" applyFill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protection locked="0"/>
    </xf>
    <xf numFmtId="0" fontId="18" fillId="5" borderId="0" xfId="0" applyFont="1" applyFill="1" applyBorder="1" applyAlignment="1" applyProtection="1">
      <alignment horizontal="right" vertical="center"/>
      <protection locked="0"/>
    </xf>
    <xf numFmtId="0" fontId="19" fillId="5" borderId="0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31" fillId="5" borderId="0" xfId="0" applyFont="1" applyFill="1" applyBorder="1" applyAlignment="1" applyProtection="1">
      <alignment horizontal="right" vertical="top"/>
      <protection locked="0"/>
    </xf>
    <xf numFmtId="0" fontId="21" fillId="0" borderId="0" xfId="0" applyFont="1" applyBorder="1" applyProtection="1">
      <protection locked="0"/>
    </xf>
    <xf numFmtId="0" fontId="43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20" fillId="5" borderId="0" xfId="0" applyFont="1" applyFill="1" applyBorder="1" applyAlignment="1" applyProtection="1">
      <alignment horizontal="center" vertical="center"/>
      <protection locked="0"/>
    </xf>
    <xf numFmtId="0" fontId="40" fillId="0" borderId="2" xfId="0" applyFont="1" applyBorder="1" applyAlignment="1" applyProtection="1">
      <alignment horizontal="right"/>
      <protection locked="0"/>
    </xf>
    <xf numFmtId="0" fontId="27" fillId="0" borderId="3" xfId="0" applyFont="1" applyBorder="1" applyProtection="1">
      <protection locked="0"/>
    </xf>
    <xf numFmtId="0" fontId="40" fillId="3" borderId="0" xfId="0" applyFont="1" applyFill="1" applyBorder="1" applyAlignment="1" applyProtection="1">
      <alignment horizontal="center" vertical="center"/>
      <protection locked="0"/>
    </xf>
    <xf numFmtId="0" fontId="45" fillId="2" borderId="0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 applyBorder="1" applyAlignment="1" applyProtection="1">
      <alignment horizontal="center" vertical="center"/>
      <protection locked="0"/>
    </xf>
    <xf numFmtId="0" fontId="45" fillId="11" borderId="0" xfId="0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 applyProtection="1">
      <alignment horizontal="right"/>
      <protection locked="0"/>
    </xf>
    <xf numFmtId="0" fontId="22" fillId="5" borderId="0" xfId="0" applyFont="1" applyFill="1" applyBorder="1" applyAlignment="1" applyProtection="1">
      <alignment horizontal="center" vertical="center"/>
      <protection locked="0"/>
    </xf>
    <xf numFmtId="0" fontId="40" fillId="0" borderId="5" xfId="0" applyFont="1" applyBorder="1" applyAlignment="1" applyProtection="1">
      <alignment horizontal="right"/>
      <protection locked="0"/>
    </xf>
    <xf numFmtId="0" fontId="27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6" xfId="0" applyNumberFormat="1" applyBorder="1" applyProtection="1">
      <protection locked="0"/>
    </xf>
    <xf numFmtId="0" fontId="0" fillId="0" borderId="5" xfId="0" applyNumberFormat="1" applyBorder="1" applyProtection="1">
      <protection locked="0"/>
    </xf>
    <xf numFmtId="0" fontId="19" fillId="0" borderId="0" xfId="0" applyNumberFormat="1" applyFont="1" applyBorder="1" applyProtection="1">
      <protection locked="0"/>
    </xf>
    <xf numFmtId="0" fontId="19" fillId="0" borderId="6" xfId="0" applyNumberFormat="1" applyFont="1" applyBorder="1" applyProtection="1">
      <protection locked="0"/>
    </xf>
    <xf numFmtId="9" fontId="19" fillId="0" borderId="0" xfId="0" applyNumberFormat="1" applyFont="1" applyBorder="1" applyAlignment="1" applyProtection="1">
      <alignment horizontal="center"/>
      <protection locked="0"/>
    </xf>
    <xf numFmtId="0" fontId="50" fillId="12" borderId="0" xfId="0" applyFont="1" applyFill="1" applyBorder="1" applyAlignment="1" applyProtection="1">
      <alignment horizontal="center" vertical="center"/>
      <protection locked="0"/>
    </xf>
    <xf numFmtId="14" fontId="19" fillId="0" borderId="6" xfId="0" applyNumberFormat="1" applyFont="1" applyBorder="1" applyProtection="1">
      <protection locked="0"/>
    </xf>
    <xf numFmtId="0" fontId="23" fillId="5" borderId="5" xfId="0" applyFont="1" applyFill="1" applyBorder="1" applyAlignment="1" applyProtection="1">
      <alignment vertical="center" wrapText="1"/>
      <protection locked="0"/>
    </xf>
    <xf numFmtId="0" fontId="23" fillId="5" borderId="0" xfId="0" applyFont="1" applyFill="1" applyBorder="1" applyAlignment="1" applyProtection="1">
      <alignment vertical="center" wrapText="1"/>
      <protection locked="0"/>
    </xf>
    <xf numFmtId="0" fontId="32" fillId="5" borderId="0" xfId="0" applyFont="1" applyFill="1" applyBorder="1" applyAlignment="1" applyProtection="1">
      <alignment horizontal="center" vertical="center"/>
      <protection locked="0"/>
    </xf>
    <xf numFmtId="14" fontId="0" fillId="0" borderId="6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14" fontId="19" fillId="0" borderId="0" xfId="0" applyNumberFormat="1" applyFont="1" applyBorder="1" applyProtection="1">
      <protection locked="0"/>
    </xf>
    <xf numFmtId="0" fontId="19" fillId="5" borderId="0" xfId="0" applyFont="1" applyFill="1" applyBorder="1" applyAlignment="1" applyProtection="1">
      <alignment vertical="top"/>
      <protection locked="0"/>
    </xf>
    <xf numFmtId="0" fontId="38" fillId="5" borderId="0" xfId="0" applyFont="1" applyFill="1" applyBorder="1" applyAlignment="1" applyProtection="1">
      <alignment horizontal="center" vertical="top"/>
      <protection locked="0"/>
    </xf>
    <xf numFmtId="0" fontId="19" fillId="0" borderId="0" xfId="0" applyFont="1" applyBorder="1" applyAlignment="1" applyProtection="1">
      <alignment vertical="top"/>
      <protection locked="0"/>
    </xf>
    <xf numFmtId="0" fontId="0" fillId="5" borderId="6" xfId="0" applyFill="1" applyBorder="1" applyProtection="1"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40" fillId="0" borderId="7" xfId="0" applyFont="1" applyBorder="1" applyAlignment="1" applyProtection="1">
      <alignment horizontal="right"/>
      <protection locked="0"/>
    </xf>
    <xf numFmtId="0" fontId="27" fillId="0" borderId="8" xfId="0" applyFont="1" applyBorder="1" applyProtection="1">
      <protection locked="0"/>
    </xf>
    <xf numFmtId="0" fontId="19" fillId="5" borderId="5" xfId="0" applyFont="1" applyFill="1" applyBorder="1" applyProtection="1">
      <protection locked="0"/>
    </xf>
    <xf numFmtId="0" fontId="36" fillId="7" borderId="1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Alignment="1" applyProtection="1">
      <alignment horizontal="center" vertical="center" wrapText="1"/>
      <protection locked="0"/>
    </xf>
    <xf numFmtId="0" fontId="25" fillId="5" borderId="0" xfId="0" applyFont="1" applyFill="1" applyBorder="1" applyAlignment="1" applyProtection="1">
      <alignment vertical="center" wrapText="1"/>
      <protection locked="0"/>
    </xf>
    <xf numFmtId="0" fontId="21" fillId="5" borderId="0" xfId="0" applyFont="1" applyFill="1" applyBorder="1" applyAlignment="1" applyProtection="1">
      <alignment horizontal="right"/>
      <protection locked="0"/>
    </xf>
    <xf numFmtId="0" fontId="35" fillId="0" borderId="0" xfId="0" applyFont="1" applyBorder="1" applyAlignment="1" applyProtection="1">
      <alignment horizontal="right" vertical="center"/>
      <protection locked="0"/>
    </xf>
    <xf numFmtId="0" fontId="25" fillId="5" borderId="5" xfId="0" applyFont="1" applyFill="1" applyBorder="1" applyAlignment="1" applyProtection="1">
      <alignment vertical="center" wrapText="1"/>
      <protection locked="0"/>
    </xf>
    <xf numFmtId="0" fontId="47" fillId="3" borderId="0" xfId="0" applyFont="1" applyFill="1" applyBorder="1" applyAlignment="1" applyProtection="1">
      <alignment horizontal="center" vertical="center"/>
      <protection locked="0"/>
    </xf>
    <xf numFmtId="0" fontId="38" fillId="3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23" fillId="5" borderId="5" xfId="0" applyFont="1" applyFill="1" applyBorder="1" applyAlignment="1" applyProtection="1">
      <alignment horizontal="right" vertical="center"/>
      <protection locked="0"/>
    </xf>
    <xf numFmtId="0" fontId="27" fillId="5" borderId="0" xfId="0" applyFont="1" applyFill="1" applyBorder="1" applyAlignment="1" applyProtection="1">
      <alignment horizontal="right" vertical="center"/>
      <protection locked="0"/>
    </xf>
    <xf numFmtId="0" fontId="19" fillId="0" borderId="4" xfId="0" applyFont="1" applyBorder="1" applyAlignment="1" applyProtection="1">
      <alignment horizontal="center"/>
      <protection locked="0"/>
    </xf>
    <xf numFmtId="0" fontId="28" fillId="5" borderId="5" xfId="0" applyFont="1" applyFill="1" applyBorder="1" applyAlignment="1" applyProtection="1">
      <alignment horizontal="right"/>
      <protection locked="0"/>
    </xf>
    <xf numFmtId="0" fontId="23" fillId="5" borderId="5" xfId="0" applyFont="1" applyFill="1" applyBorder="1" applyAlignment="1" applyProtection="1">
      <alignment horizontal="right"/>
      <protection locked="0"/>
    </xf>
    <xf numFmtId="0" fontId="19" fillId="5" borderId="0" xfId="0" applyFont="1" applyFill="1" applyBorder="1" applyAlignment="1" applyProtection="1">
      <alignment horizontal="right"/>
      <protection locked="0"/>
    </xf>
    <xf numFmtId="0" fontId="6" fillId="5" borderId="5" xfId="0" applyFont="1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19" fillId="0" borderId="8" xfId="0" applyFont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17" fontId="41" fillId="3" borderId="0" xfId="0" applyNumberFormat="1" applyFont="1" applyFill="1" applyBorder="1" applyAlignment="1" applyProtection="1">
      <alignment horizontal="right" vertical="center"/>
    </xf>
    <xf numFmtId="17" fontId="35" fillId="3" borderId="0" xfId="0" applyNumberFormat="1" applyFont="1" applyFill="1" applyBorder="1" applyAlignment="1" applyProtection="1">
      <alignment horizontal="center" vertical="center"/>
    </xf>
    <xf numFmtId="0" fontId="27" fillId="0" borderId="3" xfId="0" applyFont="1" applyBorder="1" applyProtection="1"/>
    <xf numFmtId="0" fontId="27" fillId="0" borderId="4" xfId="0" applyFont="1" applyBorder="1" applyProtection="1"/>
    <xf numFmtId="0" fontId="27" fillId="0" borderId="0" xfId="0" applyFont="1" applyBorder="1" applyProtection="1"/>
    <xf numFmtId="0" fontId="27" fillId="0" borderId="6" xfId="0" applyFont="1" applyBorder="1" applyProtection="1"/>
    <xf numFmtId="0" fontId="27" fillId="0" borderId="0" xfId="0" applyFont="1" applyBorder="1" applyAlignment="1" applyProtection="1">
      <alignment horizontal="right"/>
    </xf>
    <xf numFmtId="0" fontId="27" fillId="0" borderId="6" xfId="0" applyFont="1" applyBorder="1" applyAlignment="1" applyProtection="1">
      <alignment horizontal="right"/>
    </xf>
    <xf numFmtId="0" fontId="27" fillId="0" borderId="0" xfId="0" applyNumberFormat="1" applyFont="1" applyBorder="1" applyAlignment="1" applyProtection="1">
      <alignment horizontal="right"/>
    </xf>
    <xf numFmtId="0" fontId="27" fillId="0" borderId="6" xfId="0" applyNumberFormat="1" applyFont="1" applyBorder="1" applyAlignment="1" applyProtection="1">
      <alignment horizontal="right"/>
    </xf>
    <xf numFmtId="0" fontId="27" fillId="0" borderId="8" xfId="0" applyFont="1" applyBorder="1" applyAlignment="1" applyProtection="1">
      <alignment horizontal="right"/>
    </xf>
    <xf numFmtId="0" fontId="27" fillId="0" borderId="9" xfId="0" applyFont="1" applyBorder="1" applyAlignment="1" applyProtection="1">
      <alignment horizontal="right"/>
    </xf>
    <xf numFmtId="0" fontId="40" fillId="3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right"/>
    </xf>
    <xf numFmtId="0" fontId="19" fillId="0" borderId="0" xfId="0" applyFont="1" applyBorder="1" applyAlignment="1" applyProtection="1">
      <alignment vertical="center"/>
    </xf>
    <xf numFmtId="9" fontId="26" fillId="0" borderId="0" xfId="1" applyNumberFormat="1" applyFont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46" fillId="0" borderId="0" xfId="0" applyFont="1" applyBorder="1" applyAlignment="1" applyProtection="1">
      <alignment horizontal="right" vertical="top"/>
    </xf>
    <xf numFmtId="0" fontId="40" fillId="0" borderId="0" xfId="0" applyFont="1" applyBorder="1" applyAlignment="1" applyProtection="1">
      <alignment horizontal="right"/>
    </xf>
    <xf numFmtId="0" fontId="27" fillId="8" borderId="0" xfId="0" applyFont="1" applyFill="1" applyBorder="1" applyAlignment="1" applyProtection="1">
      <alignment horizontal="center" vertical="center"/>
    </xf>
    <xf numFmtId="0" fontId="19" fillId="5" borderId="0" xfId="0" applyFont="1" applyFill="1" applyBorder="1" applyProtection="1"/>
    <xf numFmtId="9" fontId="26" fillId="0" borderId="0" xfId="1" applyNumberFormat="1" applyFont="1" applyBorder="1" applyAlignment="1" applyProtection="1">
      <alignment horizontal="center"/>
    </xf>
    <xf numFmtId="9" fontId="26" fillId="0" borderId="0" xfId="0" applyNumberFormat="1" applyFont="1" applyBorder="1" applyAlignment="1" applyProtection="1">
      <alignment horizontal="center"/>
    </xf>
    <xf numFmtId="9" fontId="26" fillId="0" borderId="0" xfId="1" applyFont="1" applyBorder="1" applyProtection="1"/>
    <xf numFmtId="17" fontId="21" fillId="0" borderId="2" xfId="0" applyNumberFormat="1" applyFont="1" applyFill="1" applyBorder="1" applyProtection="1"/>
    <xf numFmtId="17" fontId="35" fillId="0" borderId="5" xfId="0" applyNumberFormat="1" applyFont="1" applyFill="1" applyBorder="1" applyProtection="1"/>
    <xf numFmtId="17" fontId="35" fillId="0" borderId="7" xfId="0" applyNumberFormat="1" applyFont="1" applyFill="1" applyBorder="1" applyProtection="1"/>
    <xf numFmtId="0" fontId="19" fillId="0" borderId="6" xfId="0" applyFont="1" applyBorder="1" applyAlignment="1" applyProtection="1">
      <alignment horizontal="center"/>
    </xf>
    <xf numFmtId="0" fontId="19" fillId="0" borderId="9" xfId="0" applyFont="1" applyBorder="1" applyAlignment="1" applyProtection="1">
      <alignment horizontal="center"/>
    </xf>
    <xf numFmtId="0" fontId="0" fillId="16" borderId="0" xfId="0" applyFont="1" applyFill="1" applyAlignment="1">
      <alignment vertical="center"/>
    </xf>
    <xf numFmtId="0" fontId="0" fillId="16" borderId="0" xfId="0" applyFont="1" applyFill="1" applyAlignment="1">
      <alignment wrapText="1"/>
    </xf>
    <xf numFmtId="0" fontId="0" fillId="16" borderId="0" xfId="0" applyFont="1" applyFill="1"/>
    <xf numFmtId="0" fontId="0" fillId="16" borderId="0" xfId="0" applyFill="1"/>
    <xf numFmtId="0" fontId="52" fillId="0" borderId="3" xfId="0" applyFont="1" applyBorder="1" applyProtection="1">
      <protection locked="0"/>
    </xf>
    <xf numFmtId="0" fontId="53" fillId="10" borderId="0" xfId="0" applyFont="1" applyFill="1" applyAlignment="1">
      <alignment wrapText="1"/>
    </xf>
    <xf numFmtId="0" fontId="14" fillId="0" borderId="0" xfId="0" applyFont="1" applyAlignment="1">
      <alignment vertical="center"/>
    </xf>
    <xf numFmtId="0" fontId="16" fillId="14" borderId="0" xfId="0" applyFont="1" applyFill="1"/>
    <xf numFmtId="0" fontId="3" fillId="14" borderId="0" xfId="0" applyFont="1" applyFill="1"/>
    <xf numFmtId="0" fontId="2" fillId="14" borderId="0" xfId="0" applyFont="1" applyFill="1"/>
    <xf numFmtId="0" fontId="4" fillId="14" borderId="0" xfId="0" applyFont="1" applyFill="1"/>
    <xf numFmtId="0" fontId="54" fillId="5" borderId="2" xfId="0" applyFont="1" applyFill="1" applyBorder="1" applyAlignment="1" applyProtection="1">
      <alignment horizontal="right" vertical="center"/>
      <protection locked="0"/>
    </xf>
    <xf numFmtId="0" fontId="54" fillId="5" borderId="3" xfId="0" applyFont="1" applyFill="1" applyBorder="1" applyAlignment="1" applyProtection="1">
      <alignment horizontal="right" vertical="center"/>
      <protection locked="0"/>
    </xf>
    <xf numFmtId="0" fontId="55" fillId="5" borderId="3" xfId="0" applyFont="1" applyFill="1" applyBorder="1" applyAlignment="1" applyProtection="1">
      <alignment horizontal="left" vertical="center"/>
      <protection locked="0"/>
    </xf>
    <xf numFmtId="0" fontId="17" fillId="10" borderId="0" xfId="0" applyFont="1" applyFill="1" applyAlignment="1">
      <alignment wrapText="1"/>
    </xf>
    <xf numFmtId="0" fontId="17" fillId="10" borderId="0" xfId="0" applyFont="1" applyFill="1"/>
    <xf numFmtId="0" fontId="17" fillId="10" borderId="0" xfId="0" applyFont="1" applyFill="1" applyAlignment="1">
      <alignment horizontal="center" wrapText="1"/>
    </xf>
    <xf numFmtId="0" fontId="1" fillId="10" borderId="0" xfId="0" applyFont="1" applyFill="1" applyAlignment="1">
      <alignment wrapText="1"/>
    </xf>
    <xf numFmtId="0" fontId="35" fillId="0" borderId="3" xfId="0" applyFont="1" applyBorder="1" applyAlignment="1" applyProtection="1">
      <alignment horizontal="right"/>
      <protection locked="0"/>
    </xf>
    <xf numFmtId="0" fontId="51" fillId="0" borderId="0" xfId="0" applyFont="1" applyAlignment="1">
      <alignment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 vertical="top"/>
    </xf>
    <xf numFmtId="0" fontId="57" fillId="0" borderId="0" xfId="0" applyFont="1" applyAlignment="1">
      <alignment horizontal="left"/>
    </xf>
    <xf numFmtId="0" fontId="58" fillId="0" borderId="0" xfId="2" applyFont="1" applyAlignment="1">
      <alignment horizontal="left" vertical="center"/>
    </xf>
    <xf numFmtId="0" fontId="59" fillId="3" borderId="0" xfId="0" applyFont="1" applyFill="1" applyBorder="1" applyAlignment="1" applyProtection="1">
      <alignment horizontal="center" vertical="center"/>
      <protection locked="0"/>
    </xf>
    <xf numFmtId="0" fontId="60" fillId="5" borderId="0" xfId="0" applyFont="1" applyFill="1" applyBorder="1" applyProtection="1"/>
    <xf numFmtId="0" fontId="40" fillId="0" borderId="0" xfId="0" applyFont="1" applyBorder="1" applyAlignment="1" applyProtection="1">
      <alignment horizontal="right"/>
      <protection locked="0"/>
    </xf>
    <xf numFmtId="0" fontId="63" fillId="0" borderId="14" xfId="0" applyFont="1" applyFill="1" applyBorder="1" applyAlignment="1">
      <alignment horizontal="left" vertical="center"/>
    </xf>
    <xf numFmtId="0" fontId="63" fillId="0" borderId="16" xfId="0" applyFont="1" applyFill="1" applyBorder="1" applyAlignment="1">
      <alignment horizontal="left" vertical="center" wrapText="1"/>
    </xf>
    <xf numFmtId="0" fontId="63" fillId="0" borderId="16" xfId="0" applyFont="1" applyFill="1" applyBorder="1"/>
    <xf numFmtId="0" fontId="64" fillId="0" borderId="16" xfId="2" applyFont="1" applyFill="1" applyBorder="1"/>
    <xf numFmtId="0" fontId="64" fillId="0" borderId="18" xfId="2" applyFont="1" applyFill="1" applyBorder="1"/>
    <xf numFmtId="14" fontId="0" fillId="0" borderId="0" xfId="0" applyNumberFormat="1"/>
    <xf numFmtId="0" fontId="65" fillId="16" borderId="13" xfId="0" applyFont="1" applyFill="1" applyBorder="1" applyAlignment="1">
      <alignment horizontal="right"/>
    </xf>
    <xf numFmtId="0" fontId="65" fillId="16" borderId="15" xfId="0" applyFont="1" applyFill="1" applyBorder="1" applyAlignment="1">
      <alignment horizontal="right"/>
    </xf>
    <xf numFmtId="0" fontId="65" fillId="16" borderId="17" xfId="0" applyFont="1" applyFill="1" applyBorder="1" applyAlignment="1">
      <alignment horizontal="right"/>
    </xf>
    <xf numFmtId="0" fontId="66" fillId="10" borderId="19" xfId="0" applyFont="1" applyFill="1" applyBorder="1" applyAlignment="1">
      <alignment horizontal="left" wrapText="1"/>
    </xf>
    <xf numFmtId="0" fontId="66" fillId="10" borderId="20" xfId="0" applyFont="1" applyFill="1" applyBorder="1" applyAlignment="1">
      <alignment horizontal="left" wrapText="1"/>
    </xf>
    <xf numFmtId="0" fontId="66" fillId="10" borderId="21" xfId="0" applyFont="1" applyFill="1" applyBorder="1" applyAlignment="1">
      <alignment horizontal="left" wrapText="1"/>
    </xf>
    <xf numFmtId="0" fontId="61" fillId="0" borderId="10" xfId="0" applyFont="1" applyBorder="1" applyAlignment="1">
      <alignment horizontal="left" vertical="top" wrapText="1"/>
    </xf>
    <xf numFmtId="0" fontId="61" fillId="0" borderId="11" xfId="0" applyFont="1" applyBorder="1" applyAlignment="1">
      <alignment horizontal="left" vertical="top" wrapText="1"/>
    </xf>
    <xf numFmtId="0" fontId="61" fillId="0" borderId="12" xfId="0" applyFont="1" applyBorder="1" applyAlignment="1">
      <alignment horizontal="left" vertical="top" wrapText="1"/>
    </xf>
    <xf numFmtId="0" fontId="33" fillId="3" borderId="0" xfId="0" applyFont="1" applyFill="1" applyBorder="1" applyAlignment="1" applyProtection="1">
      <alignment horizontal="center" vertical="center"/>
    </xf>
    <xf numFmtId="0" fontId="33" fillId="3" borderId="0" xfId="0" applyNumberFormat="1" applyFont="1" applyFill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left"/>
    </xf>
    <xf numFmtId="0" fontId="34" fillId="4" borderId="0" xfId="0" applyFont="1" applyFill="1" applyBorder="1" applyAlignment="1" applyProtection="1">
      <alignment horizontal="center" vertical="center"/>
      <protection locked="0"/>
    </xf>
    <xf numFmtId="0" fontId="56" fillId="10" borderId="0" xfId="0" applyNumberFormat="1" applyFont="1" applyFill="1" applyBorder="1" applyAlignment="1" applyProtection="1">
      <alignment horizontal="center" vertical="center"/>
    </xf>
    <xf numFmtId="0" fontId="56" fillId="10" borderId="0" xfId="0" applyFont="1" applyFill="1" applyBorder="1" applyAlignment="1" applyProtection="1">
      <alignment horizontal="center" vertical="center"/>
    </xf>
    <xf numFmtId="164" fontId="37" fillId="7" borderId="0" xfId="0" applyNumberFormat="1" applyFont="1" applyFill="1" applyBorder="1" applyAlignment="1" applyProtection="1">
      <alignment horizontal="center" vertical="center"/>
      <protection locked="0"/>
    </xf>
    <xf numFmtId="0" fontId="42" fillId="2" borderId="0" xfId="0" applyFont="1" applyFill="1" applyBorder="1" applyAlignment="1" applyProtection="1">
      <alignment horizontal="center" vertical="center"/>
      <protection locked="0"/>
    </xf>
    <xf numFmtId="0" fontId="42" fillId="13" borderId="0" xfId="0" applyFont="1" applyFill="1" applyBorder="1" applyAlignment="1" applyProtection="1">
      <alignment horizontal="center" vertical="center"/>
      <protection locked="0"/>
    </xf>
    <xf numFmtId="0" fontId="29" fillId="0" borderId="5" xfId="0" applyFont="1" applyFill="1" applyBorder="1" applyAlignment="1" applyProtection="1">
      <alignment horizontal="right" vertical="center" wrapText="1"/>
      <protection locked="0"/>
    </xf>
    <xf numFmtId="0" fontId="30" fillId="0" borderId="5" xfId="0" applyFont="1" applyFill="1" applyBorder="1" applyAlignment="1" applyProtection="1">
      <alignment horizontal="right" vertical="center"/>
      <protection locked="0"/>
    </xf>
    <xf numFmtId="0" fontId="39" fillId="7" borderId="0" xfId="0" applyFont="1" applyFill="1" applyBorder="1" applyAlignment="1" applyProtection="1">
      <alignment horizontal="center" vertical="center"/>
      <protection locked="0"/>
    </xf>
    <xf numFmtId="0" fontId="42" fillId="14" borderId="2" xfId="0" applyFont="1" applyFill="1" applyBorder="1" applyAlignment="1" applyProtection="1">
      <alignment horizontal="center" vertical="center"/>
      <protection locked="0"/>
    </xf>
    <xf numFmtId="0" fontId="42" fillId="14" borderId="3" xfId="0" applyFont="1" applyFill="1" applyBorder="1" applyAlignment="1" applyProtection="1">
      <alignment horizontal="center" vertical="center"/>
      <protection locked="0"/>
    </xf>
    <xf numFmtId="0" fontId="42" fillId="14" borderId="4" xfId="0" applyFont="1" applyFill="1" applyBorder="1" applyAlignment="1" applyProtection="1">
      <alignment horizontal="center" vertical="center"/>
      <protection locked="0"/>
    </xf>
    <xf numFmtId="0" fontId="42" fillId="14" borderId="7" xfId="0" applyFont="1" applyFill="1" applyBorder="1" applyAlignment="1" applyProtection="1">
      <alignment horizontal="center" vertical="center"/>
      <protection locked="0"/>
    </xf>
    <xf numFmtId="0" fontId="42" fillId="14" borderId="8" xfId="0" applyFont="1" applyFill="1" applyBorder="1" applyAlignment="1" applyProtection="1">
      <alignment horizontal="center" vertical="center"/>
      <protection locked="0"/>
    </xf>
    <xf numFmtId="0" fontId="42" fillId="14" borderId="9" xfId="0" applyFont="1" applyFill="1" applyBorder="1" applyAlignment="1" applyProtection="1">
      <alignment horizontal="center" vertical="center"/>
      <protection locked="0"/>
    </xf>
    <xf numFmtId="0" fontId="33" fillId="3" borderId="3" xfId="0" applyNumberFormat="1" applyFont="1" applyFill="1" applyBorder="1" applyAlignment="1" applyProtection="1">
      <alignment horizontal="center" vertical="center"/>
    </xf>
    <xf numFmtId="6" fontId="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50">
    <dxf>
      <font>
        <color rgb="FFC0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-mmm\-yyyy"/>
    </dxf>
    <dxf>
      <numFmt numFmtId="164" formatCode="dd\-mmm\-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&lt;=9999999]###\-####;\(###\)\ ###\-####"/>
    </dxf>
    <dxf>
      <numFmt numFmtId="164" formatCode="dd\-mmm\-yyyy"/>
    </dxf>
    <dxf>
      <fill>
        <patternFill patternType="solid">
          <fgColor indexed="64"/>
          <bgColor rgb="FF8B86A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8B86AC"/>
        </patternFill>
      </fill>
    </dxf>
  </dxfs>
  <tableStyles count="0" defaultTableStyle="TableStyleMedium2" defaultPivotStyle="PivotStyleLight16"/>
  <colors>
    <mruColors>
      <color rgb="FF8B86AC"/>
      <color rgb="FFC46AAC"/>
      <color rgb="FFE0A0D7"/>
      <color rgb="FFFFCCFF"/>
      <color rgb="FFC2AEC2"/>
      <color rgb="FFF67688"/>
      <color rgb="FFDBC1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REPORT!$Y$16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REPORT!$Z$3:$AK$3</c:f>
              <c:strCache>
                <c:ptCount val="2"/>
                <c:pt idx="0">
                  <c:v>Jan-20</c:v>
                </c:pt>
                <c:pt idx="1">
                  <c:v>Feb-20</c:v>
                </c:pt>
              </c:strCache>
            </c:strRef>
          </c:cat>
          <c:val>
            <c:numRef>
              <c:f>REPORT!$Z$16:$AK$16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E-47DB-958A-722F5DCC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06224"/>
        <c:axId val="408306880"/>
      </c:barChart>
      <c:dateAx>
        <c:axId val="40830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08306880"/>
        <c:crosses val="autoZero"/>
        <c:auto val="1"/>
        <c:lblOffset val="100"/>
        <c:baseTimeUnit val="months"/>
      </c:dateAx>
      <c:valAx>
        <c:axId val="4083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62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REPORT!$BG$17</c:f>
              <c:strCache>
                <c:ptCount val="1"/>
                <c:pt idx="0">
                  <c:v>SALES QTY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REPORT!$BE$19:$BE$30</c:f>
              <c:strCache>
                <c:ptCount val="2"/>
                <c:pt idx="0">
                  <c:v>Jan-20</c:v>
                </c:pt>
                <c:pt idx="1">
                  <c:v>Feb-20</c:v>
                </c:pt>
              </c:strCache>
            </c:strRef>
          </c:cat>
          <c:val>
            <c:numRef>
              <c:f>REPORT!$BG$19:$BG$30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D-4EDA-8ACA-EC00E946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06224"/>
        <c:axId val="408306880"/>
      </c:barChart>
      <c:dateAx>
        <c:axId val="408306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08306880"/>
        <c:crosses val="autoZero"/>
        <c:auto val="1"/>
        <c:lblOffset val="100"/>
        <c:baseTimeUnit val="months"/>
      </c:dateAx>
      <c:valAx>
        <c:axId val="4083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62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tx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enixtech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257175</xdr:rowOff>
    </xdr:from>
    <xdr:to>
      <xdr:col>0</xdr:col>
      <xdr:colOff>2419350</xdr:colOff>
      <xdr:row>15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7EBCF1-0E67-4865-9A99-D676826F1294}"/>
            </a:ext>
          </a:extLst>
        </xdr:cNvPr>
        <xdr:cNvSpPr/>
      </xdr:nvSpPr>
      <xdr:spPr>
        <a:xfrm>
          <a:off x="38100" y="3333750"/>
          <a:ext cx="2381250" cy="971550"/>
        </a:xfrm>
        <a:prstGeom prst="roundRect">
          <a:avLst/>
        </a:prstGeom>
        <a:solidFill>
          <a:schemeClr val="bg1"/>
        </a:solidFill>
        <a:ln w="28575">
          <a:solidFill>
            <a:srgbClr val="7030A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7030A0"/>
              </a:solidFill>
            </a:rPr>
            <a:t>HOW TO USE THIS TEMPLATE?</a:t>
          </a:r>
        </a:p>
      </xdr:txBody>
    </xdr:sp>
    <xdr:clientData/>
  </xdr:twoCellAnchor>
  <xdr:twoCellAnchor>
    <xdr:from>
      <xdr:col>0</xdr:col>
      <xdr:colOff>28575</xdr:colOff>
      <xdr:row>16</xdr:row>
      <xdr:rowOff>19050</xdr:rowOff>
    </xdr:from>
    <xdr:to>
      <xdr:col>0</xdr:col>
      <xdr:colOff>2409825</xdr:colOff>
      <xdr:row>22</xdr:row>
      <xdr:rowOff>180976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A6CFDE-BEAE-40BC-A5E8-919F227DF1EC}"/>
            </a:ext>
          </a:extLst>
        </xdr:cNvPr>
        <xdr:cNvSpPr/>
      </xdr:nvSpPr>
      <xdr:spPr>
        <a:xfrm>
          <a:off x="28575" y="4400550"/>
          <a:ext cx="2381250" cy="130492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RETAIL BUSINESS SOFTWARE</a:t>
          </a:r>
        </a:p>
        <a:p>
          <a:pPr algn="ctr"/>
          <a:r>
            <a:rPr lang="en-US" sz="1400" b="0">
              <a:solidFill>
                <a:schemeClr val="bg1"/>
              </a:solidFill>
            </a:rPr>
            <a:t>(+ Invoicing &amp; Accounting)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97024</xdr:colOff>
      <xdr:row>16</xdr:row>
      <xdr:rowOff>104775</xdr:rowOff>
    </xdr:from>
    <xdr:to>
      <xdr:col>37</xdr:col>
      <xdr:colOff>38100</xdr:colOff>
      <xdr:row>29</xdr:row>
      <xdr:rowOff>107856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154625</xdr:colOff>
      <xdr:row>16</xdr:row>
      <xdr:rowOff>80404</xdr:rowOff>
    </xdr:from>
    <xdr:to>
      <xdr:col>66</xdr:col>
      <xdr:colOff>449036</xdr:colOff>
      <xdr:row>30</xdr:row>
      <xdr:rowOff>74699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2</xdr:row>
      <xdr:rowOff>12700</xdr:rowOff>
    </xdr:from>
    <xdr:to>
      <xdr:col>0</xdr:col>
      <xdr:colOff>2724150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742950" y="869950"/>
          <a:ext cx="1981200" cy="501650"/>
        </a:xfrm>
        <a:prstGeom prst="rect">
          <a:avLst/>
        </a:prstGeom>
        <a:solidFill>
          <a:srgbClr val="7030A0"/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bg1"/>
              </a:solidFill>
            </a:rPr>
            <a:t>INVENTORY</a:t>
          </a:r>
        </a:p>
      </xdr:txBody>
    </xdr:sp>
    <xdr:clientData/>
  </xdr:twoCellAnchor>
  <xdr:twoCellAnchor>
    <xdr:from>
      <xdr:col>5</xdr:col>
      <xdr:colOff>503400</xdr:colOff>
      <xdr:row>3</xdr:row>
      <xdr:rowOff>237140</xdr:rowOff>
    </xdr:from>
    <xdr:to>
      <xdr:col>7</xdr:col>
      <xdr:colOff>17626</xdr:colOff>
      <xdr:row>10</xdr:row>
      <xdr:rowOff>209550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7427342" y="1343505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160501</xdr:colOff>
      <xdr:row>3</xdr:row>
      <xdr:rowOff>237140</xdr:rowOff>
    </xdr:from>
    <xdr:to>
      <xdr:col>2</xdr:col>
      <xdr:colOff>1711611</xdr:colOff>
      <xdr:row>10</xdr:row>
      <xdr:rowOff>209550</xdr:rowOff>
    </xdr:to>
    <xdr:sp macro="" textlink="">
      <xdr:nvSpPr>
        <xdr:cNvPr id="20" name="Rounded Rectangle 11">
          <a:extLst>
            <a:ext uri="{FF2B5EF4-FFF2-40B4-BE49-F238E27FC236}">
              <a16:creationId xmlns:a16="http://schemas.microsoft.com/office/drawing/2014/main" id="{D5A04B8D-727B-444E-8ADC-E573A99D0A28}"/>
            </a:ext>
          </a:extLst>
        </xdr:cNvPr>
        <xdr:cNvSpPr/>
      </xdr:nvSpPr>
      <xdr:spPr>
        <a:xfrm>
          <a:off x="2952059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478488</xdr:colOff>
      <xdr:row>3</xdr:row>
      <xdr:rowOff>237140</xdr:rowOff>
    </xdr:from>
    <xdr:to>
      <xdr:col>4</xdr:col>
      <xdr:colOff>1707214</xdr:colOff>
      <xdr:row>10</xdr:row>
      <xdr:rowOff>209550</xdr:rowOff>
    </xdr:to>
    <xdr:sp macro="" textlink="">
      <xdr:nvSpPr>
        <xdr:cNvPr id="21" name="Rounded Rectangle 11">
          <a:extLst>
            <a:ext uri="{FF2B5EF4-FFF2-40B4-BE49-F238E27FC236}">
              <a16:creationId xmlns:a16="http://schemas.microsoft.com/office/drawing/2014/main" id="{11219C11-C60E-4394-8EF8-E0084F08D34F}"/>
            </a:ext>
          </a:extLst>
        </xdr:cNvPr>
        <xdr:cNvSpPr/>
      </xdr:nvSpPr>
      <xdr:spPr>
        <a:xfrm>
          <a:off x="5175046" y="1343505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3704</xdr:colOff>
      <xdr:row>15</xdr:row>
      <xdr:rowOff>1213</xdr:rowOff>
    </xdr:from>
    <xdr:to>
      <xdr:col>7</xdr:col>
      <xdr:colOff>30815</xdr:colOff>
      <xdr:row>21</xdr:row>
      <xdr:rowOff>222739</xdr:rowOff>
    </xdr:to>
    <xdr:sp macro="" textlink="">
      <xdr:nvSpPr>
        <xdr:cNvPr id="22" name="Rounded Rectangle 11">
          <a:extLst>
            <a:ext uri="{FF2B5EF4-FFF2-40B4-BE49-F238E27FC236}">
              <a16:creationId xmlns:a16="http://schemas.microsoft.com/office/drawing/2014/main" id="{3C7E0294-11AF-4841-8271-C1C61DF71B6A}"/>
            </a:ext>
          </a:extLst>
        </xdr:cNvPr>
        <xdr:cNvSpPr/>
      </xdr:nvSpPr>
      <xdr:spPr>
        <a:xfrm>
          <a:off x="7440531" y="4096963"/>
          <a:ext cx="1741611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173690</xdr:colOff>
      <xdr:row>15</xdr:row>
      <xdr:rowOff>1213</xdr:rowOff>
    </xdr:from>
    <xdr:to>
      <xdr:col>3</xdr:col>
      <xdr:colOff>10300</xdr:colOff>
      <xdr:row>21</xdr:row>
      <xdr:rowOff>222739</xdr:rowOff>
    </xdr:to>
    <xdr:sp macro="" textlink="">
      <xdr:nvSpPr>
        <xdr:cNvPr id="23" name="Rounded Rectangle 11">
          <a:extLst>
            <a:ext uri="{FF2B5EF4-FFF2-40B4-BE49-F238E27FC236}">
              <a16:creationId xmlns:a16="http://schemas.microsoft.com/office/drawing/2014/main" id="{08016991-DEE4-470F-BE54-5FB82EAA00FE}"/>
            </a:ext>
          </a:extLst>
        </xdr:cNvPr>
        <xdr:cNvSpPr/>
      </xdr:nvSpPr>
      <xdr:spPr>
        <a:xfrm>
          <a:off x="2965248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491677</xdr:colOff>
      <xdr:row>15</xdr:row>
      <xdr:rowOff>1213</xdr:rowOff>
    </xdr:from>
    <xdr:to>
      <xdr:col>5</xdr:col>
      <xdr:colOff>5903</xdr:colOff>
      <xdr:row>21</xdr:row>
      <xdr:rowOff>222739</xdr:rowOff>
    </xdr:to>
    <xdr:sp macro="" textlink="">
      <xdr:nvSpPr>
        <xdr:cNvPr id="24" name="Rounded Rectangle 11">
          <a:extLst>
            <a:ext uri="{FF2B5EF4-FFF2-40B4-BE49-F238E27FC236}">
              <a16:creationId xmlns:a16="http://schemas.microsoft.com/office/drawing/2014/main" id="{7B35946B-9B90-4043-B1F9-D50303441DC4}"/>
            </a:ext>
          </a:extLst>
        </xdr:cNvPr>
        <xdr:cNvSpPr/>
      </xdr:nvSpPr>
      <xdr:spPr>
        <a:xfrm>
          <a:off x="5188235" y="4096963"/>
          <a:ext cx="1741610" cy="1716218"/>
        </a:xfrm>
        <a:prstGeom prst="round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T_PC" displayName="T_PC" ref="D15:D17" totalsRowShown="0" headerRowDxfId="49">
  <autoFilter ref="D15:D17"/>
  <tableColumns count="1">
    <tableColumn id="1" name="PRODUCT CATEGORIES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_PR" displayName="T_PR" ref="A3:P4" totalsRowShown="0" headerRowDxfId="48" dataDxfId="47">
  <autoFilter ref="A3:P4"/>
  <sortState ref="A4:P4">
    <sortCondition descending="1" ref="O3:O4"/>
  </sortState>
  <tableColumns count="16">
    <tableColumn id="1" name="ID" dataDxfId="46"/>
    <tableColumn id="2" name="NAME" dataDxfId="45"/>
    <tableColumn id="3" name="DESCRIPTION" dataDxfId="44"/>
    <tableColumn id="4" name="STARTING INVENTORY" dataDxfId="43"/>
    <tableColumn id="9" name="RE-ORDER POINT" dataDxfId="42"/>
    <tableColumn id="5" name="UNIT" dataDxfId="41"/>
    <tableColumn id="7" name="CATEGORY" dataDxfId="40"/>
    <tableColumn id="17" name="TAXABLE" dataDxfId="39"/>
    <tableColumn id="8" name="PR CUST FLD" dataDxfId="38"/>
    <tableColumn id="10" name="INVENTORY ON HAND" dataDxfId="37"/>
    <tableColumn id="11" name="INVENTORY TO COME" dataDxfId="36"/>
    <tableColumn id="12" name="INVENTORY TO GO" dataDxfId="35"/>
    <tableColumn id="13" name="TO ORDER" dataDxfId="34"/>
    <tableColumn id="14" name="INVENTORY VALUE" dataDxfId="33"/>
    <tableColumn id="15" name="SALES" dataDxfId="32"/>
    <tableColumn id="16" name="SALES RANK" dataDxfId="3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5" name="T_PRI" displayName="T_PRI" ref="A3:D4" totalsRowShown="0" headerRowDxfId="30">
  <autoFilter ref="A3:D4"/>
  <tableColumns count="4">
    <tableColumn id="1" name="PRODUCT ID"/>
    <tableColumn id="2" name="EFFECTIVE FROM DATE" dataDxfId="29"/>
    <tableColumn id="3" name="PURCHASE PRICE"/>
    <tableColumn id="4" name="SALES PRICE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3" name="T_PA" displayName="T_PA" ref="A3:L4" totalsRowShown="0">
  <autoFilter ref="A3:L4"/>
  <tableColumns count="12">
    <tableColumn id="1" name="ID"/>
    <tableColumn id="2" name="NAME"/>
    <tableColumn id="3" name="SHIPPING ADDRESS"/>
    <tableColumn id="4" name="BILLING ADDRESS"/>
    <tableColumn id="5" name="EMAIL" dataCellStyle="Hyperlink"/>
    <tableColumn id="6" name="PHONE" dataDxfId="28"/>
    <tableColumn id="7" name="CONTACT"/>
    <tableColumn id="13" name="PA CUST FLD" dataDxfId="27"/>
    <tableColumn id="8" name="SALES" dataDxfId="26">
      <calculatedColumnFormula>IFERROR(IF(S_R="OFF","",SUMIFS(T_O[TOTAL ORDER AMOUNT],T_O[ORDER TYPE],"SALE",T_O[ORDER DATE],"&gt;="&amp;I_SD,T_O[ORDER DATE],"&lt;="&amp;I_ED,T_O[PARTNER NAME],T_PA[[#This Row],[NAME]])),"")</calculatedColumnFormula>
    </tableColumn>
    <tableColumn id="9" name="SALES RANK" dataDxfId="25">
      <calculatedColumnFormula>IFERROR(IF(S_R="OFF","",RANK(T_PA[[#This Row],[SALES]],T_PA[SALES],0)),"")</calculatedColumnFormula>
    </tableColumn>
    <tableColumn id="10" name="PURCHASES" dataDxfId="24">
      <calculatedColumnFormula>IFERROR(IF(S_R="OFF","",SUMIFS(T_O[TOTAL ORDER AMOUNT],T_O[ORDER TYPE],"PURCHASE",T_O[ORDER DATE],"&gt;="&amp;I_SD,T_O[ORDER DATE],"&lt;="&amp;I_ED,T_O[PARTNER NAME],T_PA[[#This Row],[NAME]])),"")</calculatedColumnFormula>
    </tableColumn>
    <tableColumn id="11" name="PURCHASE RANK" dataDxfId="23">
      <calculatedColumnFormula>IFERROR(IF(S_R="OFF","",RANK(T_PA[[#This Row],[PURCHASES]],T_PA[PURCHASES],0)),"")</calculatedColumnFormula>
    </tableColumn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2" name="T_O" displayName="T_O" ref="A3:K4" totalsRowShown="0">
  <autoFilter ref="A3:K4"/>
  <tableColumns count="11">
    <tableColumn id="1" name="ORDER NUMBER"/>
    <tableColumn id="2" name="ORDER DATE" dataDxfId="22"/>
    <tableColumn id="9" name="EXPECTED DATE" dataDxfId="21"/>
    <tableColumn id="3" name="ORDER TYPE"/>
    <tableColumn id="4" name="PARTNER NAME"/>
    <tableColumn id="12" name="OTHER CHARGES" dataDxfId="20"/>
    <tableColumn id="10" name="ORDER DISCOUNT" dataDxfId="19"/>
    <tableColumn id="15" name="TAX RATE" dataDxfId="18" dataCellStyle="Percent"/>
    <tableColumn id="11" name="ORDER NOTES"/>
    <tableColumn id="13" name="O CUST FLD" dataDxfId="17" dataCellStyle="Percent"/>
    <tableColumn id="6" name="TOTAL ORDER AMOUNT" dataDxfId="16">
      <calculatedColumnFormula>IFERROR(SUMIF(T_OD[ORDER NUMBER],T_O[[#This Row],[ORDER NUMBER]],T_OD[AMOUNT AFTER TAX])+T_O[[#This Row],[OTHER CHARGES]]-T_O[[#This Row],[ORDER DISCOUNT]],"")</calculatedColumn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4" name="T_OD" displayName="T_OD" ref="A3:R4" totalsRowShown="0">
  <autoFilter ref="A3:R4"/>
  <tableColumns count="18">
    <tableColumn id="1" name="ORDER NUMBER"/>
    <tableColumn id="2" name="PRODUCT ID"/>
    <tableColumn id="3" name="QUANTITY"/>
    <tableColumn id="13" name="UNIT DISCOUNT"/>
    <tableColumn id="6" name="CUST COLUMN"/>
    <tableColumn id="10" name="UNIT PRICE" dataDxfId="15">
      <calculatedColumnFormula>IFERROR(IF(T_OD[[#This Row],[ORDER TYPE]]="PURCHASE",T_OD[[#This Row],[PURCHASE PRICE]],INDEX(T_PRI[SALES PRICE],T_OD[[#This Row],[PRICE CHECK ROW]])),"")</calculatedColumnFormula>
    </tableColumn>
    <tableColumn id="11" name="AMOUNT BEFORE TAX" dataDxfId="14">
      <calculatedColumnFormula>IFERROR(ROUND((T_OD[[#This Row],[QUANTITY]]*(T_OD[[#This Row],[UNIT PRICE]]-T_OD[[#This Row],[UNIT DISCOUNT]])),2),"")</calculatedColumnFormula>
    </tableColumn>
    <tableColumn id="16" name="TAX" dataDxfId="13">
      <calculatedColumnFormula>IFERROR(ROUND(IF(INDEX(T_PR[TAXABLE],T_OD[[#This Row],[PRODUCT ROW]])="NO",0,INDEX(T_O[TAX RATE],T_OD[[#This Row],[ORDER ROW]]))*T_OD[[#This Row],[AMOUNT BEFORE TAX]],2),"")</calculatedColumnFormula>
    </tableColumn>
    <tableColumn id="17" name="AMOUNT AFTER TAX" dataDxfId="12">
      <calculatedColumnFormula>IFERROR(ROUND(T_OD[[#This Row],[AMOUNT BEFORE TAX]]+T_OD[[#This Row],[TAX]],2),"")</calculatedColumnFormula>
    </tableColumn>
    <tableColumn id="12" name="PRODUCT NAME" dataDxfId="11">
      <calculatedColumnFormula>IFERROR(INDEX(T_PR[NAME],T_OD[[#This Row],[PRODUCT ROW]]),"")</calculatedColumnFormula>
    </tableColumn>
    <tableColumn id="4" name="EXPECTED DATE" dataDxfId="10">
      <calculatedColumnFormula>IFERROR(INDEX(T_O[EXPECTED DATE],T_OD[[#This Row],[ORDER ROW]]),"")</calculatedColumnFormula>
    </tableColumn>
    <tableColumn id="5" name="ORDER DATE" dataDxfId="9">
      <calculatedColumnFormula>IFERROR(INDEX(T_O[ORDER DATE],T_OD[[#This Row],[ORDER ROW]]),"")</calculatedColumnFormula>
    </tableColumn>
    <tableColumn id="7" name="ORDER TYPE" dataDxfId="8">
      <calculatedColumnFormula>IFERROR(INDEX(T_O[ORDER TYPE],T_OD[[#This Row],[ORDER ROW]]),"")</calculatedColumnFormula>
    </tableColumn>
    <tableColumn id="18" name="PARTNER" dataDxfId="7">
      <calculatedColumnFormula>IFERROR(INDEX(T_O[PARTNER NAME],T_OD[[#This Row],[ORDER ROW]]),"")</calculatedColumnFormula>
    </tableColumn>
    <tableColumn id="9" name="PRODUCT ROW" dataDxfId="6">
      <calculatedColumnFormula>IFERROR(MATCH(T_OD[[#This Row],[PRODUCT ID]],T_PR[ID],0),"")</calculatedColumnFormula>
    </tableColumn>
    <tableColumn id="8" name="PRICE CHECK ROW" dataDxfId="5">
      <calculatedColumnFormula>IFERROR(IF(T_OD[[#This Row],[PRODUCT ID]]="","",_xlfn.AGGREGATE(14,6,(T_PRI[PRODUCT ID]=T_OD[[#This Row],[PRODUCT ID]])*(T_PRI[EFFECTIVE FROM DATE]&lt;=T_OD[[#This Row],[ORDER DATE]])*ROW(T_PRI[PRODUCT ID]),1)-C_PRH),"NO PRICE")</calculatedColumnFormula>
    </tableColumn>
    <tableColumn id="19" name="ORDER ROW" dataDxfId="4">
      <calculatedColumnFormula>IFERROR(MATCH(T_OD[[#This Row],[ORDER NUMBER]],T_O[ORDER NUMBER],0),"")</calculatedColumnFormula>
    </tableColumn>
    <tableColumn id="20" name="PURCHASE PRICE" dataDxfId="3">
      <calculatedColumnFormula>IFERROR(INDEX(T_PRI[PURCHASE PRICE],T_OD[[#This Row],[PRICE CHECK ROW]]),"")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_PCS" displayName="T_PCS" ref="A4:D29" totalsRowShown="0">
  <autoFilter ref="A4:D29"/>
  <tableColumns count="4">
    <tableColumn id="1" name="#"/>
    <tableColumn id="2" name="CATEGORY">
      <calculatedColumnFormula>IFERROR(INDEX(T_PC[PRODUCT CATEGORIES],A5),"")</calculatedColumnFormula>
    </tableColumn>
    <tableColumn id="3" name="SALES" dataDxfId="2">
      <calculatedColumnFormula>IFERROR(IF(OR(S_R="OFF",T_PCS[[#This Row],[CATEGORY]]=""),"",SUMIF(T_PR[CATEGORY],T_PCS[[#This Row],[CATEGORY]],T_PR[SALES])),"")</calculatedColumnFormula>
    </tableColumn>
    <tableColumn id="4" name="SALES RNK" dataDxfId="1">
      <calculatedColumnFormula>IFERROR(RANK(T_PCS[[#This Row],[SALES]],T_PCS[SALES],0)+COUNTIF($C$4:C4,T_PCS[[#This Row],[SALES]]),"")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hoenixtech.com/" TargetMode="External"/><Relationship Id="rId1" Type="http://schemas.openxmlformats.org/officeDocument/2006/relationships/hyperlink" Target="https://indzara.com/faq-items/3-tips-starting-use-templates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topLeftCell="A4" zoomScaleNormal="100" workbookViewId="0">
      <selection activeCell="E13" sqref="E13"/>
    </sheetView>
  </sheetViews>
  <sheetFormatPr defaultRowHeight="15" x14ac:dyDescent="0.25"/>
  <cols>
    <col min="1" max="1" width="60.140625" customWidth="1"/>
    <col min="2" max="3" width="8.5703125" customWidth="1"/>
    <col min="4" max="4" width="33.7109375" bestFit="1" customWidth="1"/>
    <col min="5" max="5" width="41.28515625" customWidth="1"/>
    <col min="6" max="6" width="4.28515625" customWidth="1"/>
    <col min="7" max="7" width="5.28515625" customWidth="1"/>
    <col min="9" max="9" width="30.28515625" customWidth="1"/>
    <col min="10" max="10" width="23.140625" customWidth="1"/>
    <col min="11" max="11" width="9" customWidth="1"/>
  </cols>
  <sheetData>
    <row r="1" spans="1:8" ht="31.5" x14ac:dyDescent="0.5">
      <c r="A1" s="158" t="s">
        <v>183</v>
      </c>
      <c r="D1" s="22"/>
    </row>
    <row r="2" spans="1:8" x14ac:dyDescent="0.25">
      <c r="E2" s="4"/>
      <c r="F2" s="4"/>
    </row>
    <row r="3" spans="1:8" x14ac:dyDescent="0.25">
      <c r="D3" s="4"/>
    </row>
    <row r="4" spans="1:8" ht="21.75" thickBot="1" x14ac:dyDescent="0.4">
      <c r="A4" s="174" t="s">
        <v>174</v>
      </c>
      <c r="D4" s="17" t="s">
        <v>93</v>
      </c>
    </row>
    <row r="5" spans="1:8" ht="27" customHeight="1" x14ac:dyDescent="0.3">
      <c r="A5" s="187" t="s">
        <v>187</v>
      </c>
      <c r="D5" s="184" t="s">
        <v>55</v>
      </c>
      <c r="E5" s="178"/>
    </row>
    <row r="6" spans="1:8" ht="35.1" customHeight="1" x14ac:dyDescent="0.3">
      <c r="A6" s="188"/>
      <c r="D6" s="185" t="s">
        <v>10</v>
      </c>
      <c r="E6" s="179"/>
    </row>
    <row r="7" spans="1:8" ht="35.1" customHeight="1" x14ac:dyDescent="0.3">
      <c r="A7" s="189"/>
      <c r="D7" s="185" t="s">
        <v>11</v>
      </c>
      <c r="E7" s="179"/>
    </row>
    <row r="8" spans="1:8" ht="21" x14ac:dyDescent="0.35">
      <c r="D8" s="185" t="s">
        <v>88</v>
      </c>
      <c r="E8" s="180"/>
      <c r="H8" s="21"/>
    </row>
    <row r="9" spans="1:8" ht="21" x14ac:dyDescent="0.35">
      <c r="A9" s="173" t="s">
        <v>153</v>
      </c>
      <c r="D9" s="185" t="s">
        <v>12</v>
      </c>
      <c r="E9" s="181"/>
      <c r="H9" s="21"/>
    </row>
    <row r="10" spans="1:8" ht="21" x14ac:dyDescent="0.35">
      <c r="A10" s="11" t="s">
        <v>181</v>
      </c>
      <c r="D10" s="185" t="s">
        <v>13</v>
      </c>
      <c r="E10" s="180"/>
    </row>
    <row r="11" spans="1:8" ht="21.75" thickBot="1" x14ac:dyDescent="0.4">
      <c r="A11" s="172" t="s">
        <v>193</v>
      </c>
      <c r="D11" s="186" t="s">
        <v>56</v>
      </c>
      <c r="E11" s="182"/>
    </row>
    <row r="14" spans="1:8" ht="21" x14ac:dyDescent="0.35">
      <c r="A14" s="171"/>
      <c r="D14" s="17" t="s">
        <v>154</v>
      </c>
    </row>
    <row r="15" spans="1:8" x14ac:dyDescent="0.25">
      <c r="A15" t="s">
        <v>189</v>
      </c>
      <c r="D15" s="154" t="s">
        <v>53</v>
      </c>
    </row>
  </sheetData>
  <mergeCells count="1">
    <mergeCell ref="A5:A7"/>
  </mergeCells>
  <hyperlinks>
    <hyperlink ref="A4" r:id="rId1"/>
    <hyperlink ref="A10" r:id="rId2"/>
  </hyperlinks>
  <pageMargins left="0.7" right="0.7" top="0.75" bottom="0.75" header="0.3" footer="0.3"/>
  <pageSetup orientation="portrait" horizontalDpi="200" verticalDpi="20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zoomScaleNormal="100" workbookViewId="0">
      <selection activeCell="C12" sqref="C12"/>
    </sheetView>
  </sheetViews>
  <sheetFormatPr defaultRowHeight="15" x14ac:dyDescent="0.25"/>
  <cols>
    <col min="1" max="1" width="13.28515625" customWidth="1"/>
    <col min="2" max="2" width="18.85546875" customWidth="1"/>
    <col min="3" max="3" width="34.42578125" customWidth="1"/>
    <col min="4" max="4" width="22.5703125" customWidth="1"/>
    <col min="5" max="5" width="19.42578125" customWidth="1"/>
    <col min="6" max="6" width="13.42578125" customWidth="1"/>
    <col min="7" max="7" width="25.140625" customWidth="1"/>
    <col min="8" max="8" width="16.7109375" customWidth="1"/>
    <col min="9" max="9" width="22" customWidth="1"/>
    <col min="10" max="10" width="23.140625" customWidth="1"/>
    <col min="11" max="11" width="23.42578125" customWidth="1"/>
    <col min="12" max="12" width="21.42578125" customWidth="1"/>
    <col min="13" max="13" width="14.7109375" customWidth="1"/>
    <col min="14" max="14" width="22" customWidth="1"/>
    <col min="15" max="15" width="17.140625" customWidth="1"/>
    <col min="16" max="16" width="21.140625" customWidth="1"/>
  </cols>
  <sheetData>
    <row r="1" spans="1:16" ht="26.25" x14ac:dyDescent="0.4">
      <c r="A1" s="159" t="s">
        <v>6</v>
      </c>
      <c r="B1" s="159"/>
      <c r="C1" s="157" t="s">
        <v>172</v>
      </c>
      <c r="J1" s="19" t="s">
        <v>128</v>
      </c>
    </row>
    <row r="2" spans="1:16" ht="39" x14ac:dyDescent="0.25">
      <c r="A2" s="165" t="s">
        <v>120</v>
      </c>
      <c r="B2" s="165" t="s">
        <v>118</v>
      </c>
      <c r="C2" s="166" t="s">
        <v>119</v>
      </c>
      <c r="D2" s="167" t="s">
        <v>173</v>
      </c>
      <c r="E2" s="167" t="s">
        <v>157</v>
      </c>
      <c r="F2" s="167" t="s">
        <v>5</v>
      </c>
      <c r="G2" s="167" t="s">
        <v>109</v>
      </c>
      <c r="H2" s="165" t="s">
        <v>178</v>
      </c>
      <c r="I2" s="24" t="s">
        <v>117</v>
      </c>
      <c r="J2" s="23" t="s">
        <v>112</v>
      </c>
      <c r="K2" s="23" t="s">
        <v>110</v>
      </c>
      <c r="L2" s="23" t="s">
        <v>111</v>
      </c>
      <c r="M2" s="23" t="s">
        <v>113</v>
      </c>
      <c r="N2" s="23" t="s">
        <v>114</v>
      </c>
      <c r="O2" s="23" t="s">
        <v>115</v>
      </c>
      <c r="P2" s="23" t="s">
        <v>116</v>
      </c>
    </row>
    <row r="3" spans="1:16" x14ac:dyDescent="0.25">
      <c r="A3" s="151" t="s">
        <v>1</v>
      </c>
      <c r="B3" s="151" t="s">
        <v>0</v>
      </c>
      <c r="C3" s="151" t="s">
        <v>2</v>
      </c>
      <c r="D3" s="152" t="s">
        <v>3</v>
      </c>
      <c r="E3" s="153" t="s">
        <v>28</v>
      </c>
      <c r="F3" s="153" t="s">
        <v>4</v>
      </c>
      <c r="G3" s="153" t="s">
        <v>21</v>
      </c>
      <c r="H3" s="153" t="s">
        <v>89</v>
      </c>
      <c r="I3" s="10" t="s">
        <v>83</v>
      </c>
      <c r="J3" s="6" t="s">
        <v>159</v>
      </c>
      <c r="K3" s="6" t="s">
        <v>155</v>
      </c>
      <c r="L3" s="6" t="s">
        <v>156</v>
      </c>
      <c r="M3" s="6" t="s">
        <v>30</v>
      </c>
      <c r="N3" s="6" t="s">
        <v>52</v>
      </c>
      <c r="O3" s="6" t="s">
        <v>36</v>
      </c>
      <c r="P3" s="6" t="s">
        <v>43</v>
      </c>
    </row>
    <row r="4" spans="1:16" x14ac:dyDescent="0.25">
      <c r="A4" s="5"/>
      <c r="B4" s="5"/>
      <c r="C4" s="5"/>
      <c r="D4" s="5"/>
      <c r="E4" s="5"/>
      <c r="F4" s="5"/>
      <c r="G4" s="5"/>
      <c r="H4" s="5"/>
      <c r="I4" s="212"/>
      <c r="J4" s="7"/>
      <c r="K4" s="7"/>
      <c r="L4" s="7"/>
      <c r="M4" s="7"/>
      <c r="N4" s="7"/>
      <c r="O4" s="7"/>
      <c r="P4" s="7"/>
    </row>
  </sheetData>
  <dataValidations count="2">
    <dataValidation type="list" allowBlank="1" showInputMessage="1" showErrorMessage="1" sqref="G4">
      <formula1>L_PC</formula1>
    </dataValidation>
    <dataValidation type="list" allowBlank="1" showInputMessage="1" showErrorMessage="1" sqref="H4">
      <formula1>"NO"</formula1>
    </dataValidation>
  </dataValidations>
  <pageMargins left="0.7" right="0.7" top="0.75" bottom="0.75" header="0.3" footer="0.3"/>
  <pageSetup orientation="portrait" horizontalDpi="4294967293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0.140625" customWidth="1"/>
    <col min="2" max="2" width="23.42578125" bestFit="1" customWidth="1"/>
    <col min="3" max="3" width="18" customWidth="1"/>
    <col min="4" max="4" width="16.28515625" customWidth="1"/>
    <col min="5" max="7" width="21.7109375" customWidth="1"/>
    <col min="8" max="8" width="31.42578125" customWidth="1"/>
  </cols>
  <sheetData>
    <row r="1" spans="1:8" ht="26.25" x14ac:dyDescent="0.4">
      <c r="A1" s="159" t="s">
        <v>92</v>
      </c>
      <c r="B1" s="159"/>
      <c r="C1" s="157" t="s">
        <v>172</v>
      </c>
    </row>
    <row r="2" spans="1:8" ht="50.25" customHeight="1" x14ac:dyDescent="0.25">
      <c r="A2" s="190" t="s">
        <v>192</v>
      </c>
      <c r="B2" s="191"/>
      <c r="C2" s="191"/>
      <c r="D2" s="192"/>
      <c r="E2" s="190" t="s">
        <v>186</v>
      </c>
      <c r="F2" s="191"/>
      <c r="G2" s="191"/>
      <c r="H2" s="192"/>
    </row>
    <row r="3" spans="1:8" x14ac:dyDescent="0.25">
      <c r="A3" s="154" t="s">
        <v>26</v>
      </c>
      <c r="B3" s="154" t="s">
        <v>103</v>
      </c>
      <c r="C3" s="154" t="s">
        <v>22</v>
      </c>
      <c r="D3" s="154" t="s">
        <v>54</v>
      </c>
    </row>
    <row r="4" spans="1:8" x14ac:dyDescent="0.25">
      <c r="B4" s="2"/>
    </row>
  </sheetData>
  <mergeCells count="2">
    <mergeCell ref="A2:D2"/>
    <mergeCell ref="E2:H2"/>
  </mergeCells>
  <dataValidations count="1">
    <dataValidation type="list" allowBlank="1" showInputMessage="1" showErrorMessage="1" sqref="A4">
      <formula1>L_PR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zoomScaleNormal="100" workbookViewId="0">
      <selection activeCell="A4" sqref="A4"/>
    </sheetView>
  </sheetViews>
  <sheetFormatPr defaultRowHeight="15" x14ac:dyDescent="0.25"/>
  <cols>
    <col min="1" max="1" width="10.42578125" customWidth="1"/>
    <col min="2" max="2" width="20.42578125" customWidth="1"/>
    <col min="3" max="3" width="29.28515625" customWidth="1"/>
    <col min="4" max="4" width="26" customWidth="1"/>
    <col min="5" max="5" width="21.85546875" customWidth="1"/>
    <col min="6" max="6" width="18.7109375" customWidth="1"/>
    <col min="7" max="7" width="19.5703125" customWidth="1"/>
    <col min="8" max="8" width="45.7109375" customWidth="1"/>
    <col min="9" max="9" width="19.28515625" customWidth="1"/>
    <col min="10" max="10" width="17.7109375" customWidth="1"/>
    <col min="11" max="11" width="19.140625" customWidth="1"/>
    <col min="12" max="12" width="18.28515625" bestFit="1" customWidth="1"/>
  </cols>
  <sheetData>
    <row r="1" spans="1:12" ht="26.25" x14ac:dyDescent="0.4">
      <c r="A1" s="159" t="s">
        <v>91</v>
      </c>
      <c r="B1" s="160"/>
      <c r="C1" s="160"/>
      <c r="D1" s="157" t="s">
        <v>172</v>
      </c>
      <c r="I1" s="19" t="s">
        <v>128</v>
      </c>
    </row>
    <row r="2" spans="1:12" ht="45" x14ac:dyDescent="0.25">
      <c r="A2" s="156" t="s">
        <v>121</v>
      </c>
      <c r="B2" s="156" t="s">
        <v>132</v>
      </c>
      <c r="C2" s="156" t="s">
        <v>122</v>
      </c>
      <c r="D2" s="156" t="s">
        <v>123</v>
      </c>
      <c r="E2" s="156" t="s">
        <v>124</v>
      </c>
      <c r="F2" s="156" t="s">
        <v>125</v>
      </c>
      <c r="G2" s="156" t="s">
        <v>127</v>
      </c>
      <c r="H2" s="20" t="s">
        <v>131</v>
      </c>
      <c r="I2" s="18" t="s">
        <v>115</v>
      </c>
      <c r="J2" s="18" t="s">
        <v>116</v>
      </c>
      <c r="K2" s="18" t="s">
        <v>129</v>
      </c>
      <c r="L2" s="18" t="s">
        <v>130</v>
      </c>
    </row>
    <row r="3" spans="1:12" x14ac:dyDescent="0.25">
      <c r="A3" s="154" t="s">
        <v>1</v>
      </c>
      <c r="B3" s="154" t="s">
        <v>0</v>
      </c>
      <c r="C3" s="154" t="s">
        <v>10</v>
      </c>
      <c r="D3" s="154" t="s">
        <v>11</v>
      </c>
      <c r="E3" s="154" t="s">
        <v>12</v>
      </c>
      <c r="F3" s="154" t="s">
        <v>13</v>
      </c>
      <c r="G3" s="154" t="s">
        <v>126</v>
      </c>
      <c r="H3" s="8" t="s">
        <v>82</v>
      </c>
      <c r="I3" s="1" t="s">
        <v>36</v>
      </c>
      <c r="J3" s="1" t="s">
        <v>43</v>
      </c>
      <c r="K3" s="1" t="s">
        <v>45</v>
      </c>
      <c r="L3" s="1" t="s">
        <v>46</v>
      </c>
    </row>
    <row r="4" spans="1:12" x14ac:dyDescent="0.25">
      <c r="E4" s="11"/>
      <c r="F4" s="25"/>
      <c r="H4" s="3"/>
      <c r="I4">
        <f>IFERROR(IF(S_R="OFF","",SUMIFS(T_O[TOTAL ORDER AMOUNT],T_O[ORDER TYPE],"SALE",T_O[ORDER DATE],"&gt;="&amp;I_SD,T_O[ORDER DATE],"&lt;="&amp;I_ED,T_O[PARTNER NAME],T_PA[[#This Row],[NAME]])),"")</f>
        <v>0</v>
      </c>
      <c r="J4">
        <f>IFERROR(IF(S_R="OFF","",RANK(T_PA[[#This Row],[SALES]],T_PA[SALES],0)),"")</f>
        <v>1</v>
      </c>
      <c r="K4">
        <f>IFERROR(IF(S_R="OFF","",SUMIFS(T_O[TOTAL ORDER AMOUNT],T_O[ORDER TYPE],"PURCHASE",T_O[ORDER DATE],"&gt;="&amp;I_SD,T_O[ORDER DATE],"&lt;="&amp;I_ED,T_O[PARTNER NAME],T_PA[[#This Row],[NAME]])),"")</f>
        <v>0</v>
      </c>
      <c r="L4">
        <f>IFERROR(IF(S_R="OFF","",RANK(T_PA[[#This Row],[PURCHASES]],T_PA[PURCHASES],0)),"")</f>
        <v>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Normal="100"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17.140625" customWidth="1"/>
    <col min="3" max="3" width="19.5703125" customWidth="1"/>
    <col min="4" max="4" width="23.85546875" customWidth="1"/>
    <col min="5" max="5" width="31.42578125" customWidth="1"/>
    <col min="6" max="6" width="19.7109375" customWidth="1"/>
    <col min="7" max="7" width="23.7109375" customWidth="1"/>
    <col min="8" max="8" width="14.7109375" customWidth="1"/>
    <col min="9" max="9" width="24.28515625" customWidth="1"/>
    <col min="10" max="10" width="24" customWidth="1"/>
    <col min="11" max="11" width="30.140625" customWidth="1"/>
    <col min="12" max="12" width="32.140625" customWidth="1"/>
    <col min="13" max="13" width="16" bestFit="1" customWidth="1"/>
  </cols>
  <sheetData>
    <row r="1" spans="1:11" ht="26.25" x14ac:dyDescent="0.4">
      <c r="A1" s="159" t="s">
        <v>15</v>
      </c>
      <c r="B1" s="157" t="s">
        <v>172</v>
      </c>
      <c r="C1" s="14"/>
      <c r="D1" s="12"/>
    </row>
    <row r="2" spans="1:11" ht="45" x14ac:dyDescent="0.25">
      <c r="A2" s="168" t="s">
        <v>133</v>
      </c>
      <c r="B2" s="168" t="s">
        <v>134</v>
      </c>
      <c r="C2" s="168" t="s">
        <v>158</v>
      </c>
      <c r="D2" s="168" t="s">
        <v>190</v>
      </c>
      <c r="E2" s="168" t="s">
        <v>135</v>
      </c>
      <c r="F2" s="168" t="s">
        <v>136</v>
      </c>
      <c r="G2" s="168" t="s">
        <v>137</v>
      </c>
      <c r="H2" s="168" t="s">
        <v>138</v>
      </c>
      <c r="I2" s="168" t="s">
        <v>191</v>
      </c>
      <c r="J2" s="20" t="s">
        <v>139</v>
      </c>
      <c r="K2" s="18" t="s">
        <v>164</v>
      </c>
    </row>
    <row r="3" spans="1:11" x14ac:dyDescent="0.25">
      <c r="A3" s="154" t="s">
        <v>31</v>
      </c>
      <c r="B3" s="154" t="s">
        <v>7</v>
      </c>
      <c r="C3" s="154" t="s">
        <v>20</v>
      </c>
      <c r="D3" s="154" t="s">
        <v>8</v>
      </c>
      <c r="E3" s="154" t="s">
        <v>14</v>
      </c>
      <c r="F3" s="154" t="s">
        <v>81</v>
      </c>
      <c r="G3" s="154" t="s">
        <v>29</v>
      </c>
      <c r="H3" s="154" t="s">
        <v>90</v>
      </c>
      <c r="I3" s="154" t="s">
        <v>57</v>
      </c>
      <c r="J3" s="8" t="s">
        <v>84</v>
      </c>
      <c r="K3" s="1" t="s">
        <v>18</v>
      </c>
    </row>
    <row r="4" spans="1:11" x14ac:dyDescent="0.25">
      <c r="B4" s="2"/>
      <c r="C4" s="2"/>
      <c r="F4" s="9"/>
      <c r="G4" s="9"/>
      <c r="H4" s="13"/>
      <c r="J4" s="3"/>
      <c r="K4">
        <f>IFERROR(SUMIF(T_OD[ORDER NUMBER],T_O[[#This Row],[ORDER NUMBER]],T_OD[AMOUNT AFTER TAX])+T_O[[#This Row],[OTHER CHARGES]]-T_O[[#This Row],[ORDER DISCOUNT]],"")</f>
        <v>0</v>
      </c>
    </row>
  </sheetData>
  <dataValidations count="2">
    <dataValidation type="list" allowBlank="1" showInputMessage="1" showErrorMessage="1" sqref="E4">
      <formula1>L_PA</formula1>
    </dataValidation>
    <dataValidation type="list" allowBlank="1" showInputMessage="1" showErrorMessage="1" sqref="D4">
      <formula1>"PURCHASE, SALE, ADJUST"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showGridLines="0" zoomScaleNormal="100" workbookViewId="0">
      <selection activeCell="A4" sqref="A4"/>
    </sheetView>
  </sheetViews>
  <sheetFormatPr defaultRowHeight="15" x14ac:dyDescent="0.25"/>
  <cols>
    <col min="1" max="1" width="17.7109375" customWidth="1"/>
    <col min="2" max="2" width="18.28515625" customWidth="1"/>
    <col min="3" max="3" width="15" customWidth="1"/>
    <col min="4" max="4" width="19.42578125" customWidth="1"/>
    <col min="5" max="5" width="55.42578125" customWidth="1"/>
    <col min="6" max="6" width="14.5703125" customWidth="1"/>
    <col min="7" max="7" width="24.5703125" bestFit="1" customWidth="1"/>
    <col min="8" max="8" width="9.7109375" customWidth="1"/>
    <col min="9" max="9" width="23.140625" bestFit="1" customWidth="1"/>
    <col min="10" max="10" width="20.5703125" customWidth="1"/>
    <col min="11" max="12" width="17.5703125" customWidth="1"/>
    <col min="13" max="13" width="14.42578125" bestFit="1" customWidth="1"/>
    <col min="14" max="14" width="14.28515625" bestFit="1" customWidth="1"/>
    <col min="15" max="15" width="18.28515625" bestFit="1" customWidth="1"/>
    <col min="16" max="17" width="14.28515625" bestFit="1" customWidth="1"/>
    <col min="18" max="18" width="18.28515625" bestFit="1" customWidth="1"/>
  </cols>
  <sheetData>
    <row r="1" spans="1:18" ht="26.25" x14ac:dyDescent="0.4">
      <c r="A1" s="159" t="s">
        <v>16</v>
      </c>
      <c r="B1" s="161"/>
      <c r="C1" s="170" t="s">
        <v>172</v>
      </c>
      <c r="F1" s="19" t="s">
        <v>128</v>
      </c>
      <c r="G1" s="19"/>
    </row>
    <row r="2" spans="1:18" ht="45" x14ac:dyDescent="0.25">
      <c r="A2" s="168" t="s">
        <v>140</v>
      </c>
      <c r="B2" s="168" t="s">
        <v>142</v>
      </c>
      <c r="C2" s="168" t="s">
        <v>141</v>
      </c>
      <c r="D2" s="168" t="s">
        <v>143</v>
      </c>
      <c r="E2" s="168" t="s">
        <v>185</v>
      </c>
      <c r="F2" s="18" t="s">
        <v>144</v>
      </c>
      <c r="G2" s="18" t="s">
        <v>145</v>
      </c>
      <c r="H2" s="18" t="s">
        <v>146</v>
      </c>
      <c r="I2" s="18" t="s">
        <v>147</v>
      </c>
      <c r="J2" s="18" t="s">
        <v>148</v>
      </c>
      <c r="K2" s="18" t="s">
        <v>149</v>
      </c>
      <c r="L2" s="18" t="s">
        <v>150</v>
      </c>
      <c r="M2" s="18" t="s">
        <v>151</v>
      </c>
      <c r="N2" s="18" t="s">
        <v>160</v>
      </c>
      <c r="O2" s="18" t="s">
        <v>161</v>
      </c>
      <c r="P2" s="18" t="s">
        <v>162</v>
      </c>
      <c r="Q2" s="18" t="s">
        <v>176</v>
      </c>
      <c r="R2" s="18" t="s">
        <v>163</v>
      </c>
    </row>
    <row r="3" spans="1:18" x14ac:dyDescent="0.25">
      <c r="A3" s="154" t="s">
        <v>31</v>
      </c>
      <c r="B3" s="154" t="s">
        <v>26</v>
      </c>
      <c r="C3" s="154" t="s">
        <v>19</v>
      </c>
      <c r="D3" s="154" t="s">
        <v>27</v>
      </c>
      <c r="E3" s="8" t="s">
        <v>184</v>
      </c>
      <c r="F3" s="1" t="s">
        <v>25</v>
      </c>
      <c r="G3" s="1" t="s">
        <v>85</v>
      </c>
      <c r="H3" s="1" t="s">
        <v>34</v>
      </c>
      <c r="I3" s="1" t="s">
        <v>86</v>
      </c>
      <c r="J3" s="1" t="s">
        <v>17</v>
      </c>
      <c r="K3" s="1" t="s">
        <v>20</v>
      </c>
      <c r="L3" s="1" t="s">
        <v>7</v>
      </c>
      <c r="M3" s="1" t="s">
        <v>8</v>
      </c>
      <c r="N3" s="1" t="s">
        <v>44</v>
      </c>
      <c r="O3" s="1" t="s">
        <v>23</v>
      </c>
      <c r="P3" s="1" t="s">
        <v>24</v>
      </c>
      <c r="Q3" s="1" t="s">
        <v>51</v>
      </c>
      <c r="R3" s="1" t="s">
        <v>22</v>
      </c>
    </row>
    <row r="4" spans="1:18" x14ac:dyDescent="0.25">
      <c r="F4" t="str">
        <f>IFERROR(IF(T_OD[[#This Row],[ORDER TYPE]]="PURCHASE",T_OD[[#This Row],[PURCHASE PRICE]],INDEX(T_PRI[SALES PRICE],T_OD[[#This Row],[PRICE CHECK ROW]])),"")</f>
        <v/>
      </c>
      <c r="G4" t="str">
        <f>IFERROR(ROUND((T_OD[[#This Row],[QUANTITY]]*(T_OD[[#This Row],[UNIT PRICE]]-T_OD[[#This Row],[UNIT DISCOUNT]])),2),"")</f>
        <v/>
      </c>
      <c r="H4" t="str">
        <f>IFERROR(ROUND(IF(INDEX(T_PR[TAXABLE],T_OD[[#This Row],[PRODUCT ROW]])="NO",0,INDEX(T_O[TAX RATE],T_OD[[#This Row],[ORDER ROW]]))*T_OD[[#This Row],[AMOUNT BEFORE TAX]],2),"")</f>
        <v/>
      </c>
      <c r="I4" t="str">
        <f>IFERROR(ROUND(T_OD[[#This Row],[AMOUNT BEFORE TAX]]+T_OD[[#This Row],[TAX]],2),"")</f>
        <v/>
      </c>
      <c r="J4" t="str">
        <f>IFERROR(INDEX(T_PR[NAME],T_OD[[#This Row],[PRODUCT ROW]]),"")</f>
        <v/>
      </c>
      <c r="K4" s="2" t="str">
        <f>IFERROR(INDEX(T_O[EXPECTED DATE],T_OD[[#This Row],[ORDER ROW]]),"")</f>
        <v/>
      </c>
      <c r="L4" s="2" t="str">
        <f>IFERROR(INDEX(T_O[ORDER DATE],T_OD[[#This Row],[ORDER ROW]]),"")</f>
        <v/>
      </c>
      <c r="M4" t="str">
        <f>IFERROR(INDEX(T_O[ORDER TYPE],T_OD[[#This Row],[ORDER ROW]]),"")</f>
        <v/>
      </c>
      <c r="N4" s="3" t="str">
        <f>IFERROR(INDEX(T_O[PARTNER NAME],T_OD[[#This Row],[ORDER ROW]]),"")</f>
        <v/>
      </c>
      <c r="O4" t="str">
        <f>IFERROR(MATCH(T_OD[[#This Row],[PRODUCT ID]],T_PR[ID],0),"")</f>
        <v/>
      </c>
      <c r="P4" s="3" t="str">
        <f>IFERROR(IF(T_OD[[#This Row],[PRODUCT ID]]="","",_xlfn.AGGREGATE(14,6,(T_PRI[PRODUCT ID]=T_OD[[#This Row],[PRODUCT ID]])*(T_PRI[EFFECTIVE FROM DATE]&lt;=T_OD[[#This Row],[ORDER DATE]])*ROW(T_PRI[PRODUCT ID]),1)-C_PRH),"NO PRICE")</f>
        <v/>
      </c>
      <c r="Q4" s="3" t="str">
        <f>IFERROR(MATCH(T_OD[[#This Row],[ORDER NUMBER]],T_O[ORDER NUMBER],0),"")</f>
        <v/>
      </c>
      <c r="R4" s="3" t="str">
        <f>IFERROR(INDEX(T_PRI[PURCHASE PRICE],T_OD[[#This Row],[PRICE CHECK ROW]]),"")</f>
        <v/>
      </c>
    </row>
  </sheetData>
  <dataValidations count="2">
    <dataValidation type="list" allowBlank="1" showInputMessage="1" showErrorMessage="1" sqref="A4">
      <formula1>L_O</formula1>
    </dataValidation>
    <dataValidation type="list" allowBlank="1" showInputMessage="1" showErrorMessage="1" sqref="B4">
      <formula1>L_PR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F4" sqref="F4"/>
    </sheetView>
  </sheetViews>
  <sheetFormatPr defaultRowHeight="15" x14ac:dyDescent="0.25"/>
  <cols>
    <col min="1" max="1" width="4.28515625" bestFit="1" customWidth="1"/>
    <col min="2" max="2" width="27.42578125" customWidth="1"/>
    <col min="3" max="3" width="12.85546875" customWidth="1"/>
    <col min="4" max="4" width="12.5703125" bestFit="1" customWidth="1"/>
    <col min="6" max="6" width="23.5703125" bestFit="1" customWidth="1"/>
  </cols>
  <sheetData>
    <row r="2" spans="1:7" x14ac:dyDescent="0.25">
      <c r="F2" t="s">
        <v>95</v>
      </c>
      <c r="G2">
        <f>ROW(T_PRI[[#Headers],[PRODUCT ID]])</f>
        <v>3</v>
      </c>
    </row>
    <row r="3" spans="1:7" x14ac:dyDescent="0.25">
      <c r="F3" t="s">
        <v>188</v>
      </c>
      <c r="G3" s="183">
        <f ca="1">TODAY()</f>
        <v>43837</v>
      </c>
    </row>
    <row r="4" spans="1:7" x14ac:dyDescent="0.25">
      <c r="A4" t="s">
        <v>70</v>
      </c>
      <c r="B4" t="s">
        <v>21</v>
      </c>
      <c r="C4" t="s">
        <v>36</v>
      </c>
      <c r="D4" t="s">
        <v>69</v>
      </c>
    </row>
    <row r="5" spans="1:7" x14ac:dyDescent="0.25">
      <c r="A5">
        <v>1</v>
      </c>
      <c r="B5">
        <f>IFERROR(INDEX(T_PC[PRODUCT CATEGORIES],A5),"")</f>
        <v>0</v>
      </c>
      <c r="C5">
        <f>IFERROR(IF(OR(S_R="OFF",T_PCS[[#This Row],[CATEGORY]]=""),"",SUMIF(T_PR[CATEGORY],T_PCS[[#This Row],[CATEGORY]],T_PR[SALES])),"")</f>
        <v>0</v>
      </c>
      <c r="D5">
        <f>IFERROR(RANK(T_PCS[[#This Row],[SALES]],T_PCS[SALES],0)+COUNTIF($C$4:C4,T_PCS[[#This Row],[SALES]]),"")</f>
        <v>1</v>
      </c>
    </row>
    <row r="6" spans="1:7" x14ac:dyDescent="0.25">
      <c r="A6">
        <v>2</v>
      </c>
      <c r="B6">
        <f>IFERROR(INDEX(T_PC[PRODUCT CATEGORIES],A6),"")</f>
        <v>0</v>
      </c>
      <c r="C6">
        <f>IFERROR(IF(OR(S_R="OFF",T_PCS[[#This Row],[CATEGORY]]=""),"",SUMIF(T_PR[CATEGORY],T_PCS[[#This Row],[CATEGORY]],T_PR[SALES])),"")</f>
        <v>0</v>
      </c>
      <c r="D6">
        <f>IFERROR(RANK(T_PCS[[#This Row],[SALES]],T_PCS[SALES],0)+COUNTIF($C$4:C5,T_PCS[[#This Row],[SALES]]),"")</f>
        <v>2</v>
      </c>
    </row>
    <row r="7" spans="1:7" x14ac:dyDescent="0.25">
      <c r="A7">
        <v>3</v>
      </c>
      <c r="B7" t="str">
        <f>IFERROR(INDEX(T_PC[PRODUCT CATEGORIES],A7),"")</f>
        <v/>
      </c>
      <c r="C7" t="str">
        <f>IFERROR(IF(OR(S_R="OFF",T_PCS[[#This Row],[CATEGORY]]=""),"",SUMIF(T_PR[CATEGORY],T_PCS[[#This Row],[CATEGORY]],T_PR[SALES])),"")</f>
        <v/>
      </c>
      <c r="D7" t="str">
        <f>IFERROR(RANK(T_PCS[[#This Row],[SALES]],T_PCS[SALES],0)+COUNTIF($C$4:C6,T_PCS[[#This Row],[SALES]]),"")</f>
        <v/>
      </c>
    </row>
    <row r="8" spans="1:7" x14ac:dyDescent="0.25">
      <c r="A8">
        <v>4</v>
      </c>
      <c r="B8" t="str">
        <f>IFERROR(INDEX(T_PC[PRODUCT CATEGORIES],A8),"")</f>
        <v/>
      </c>
      <c r="C8" t="str">
        <f>IFERROR(IF(OR(S_R="OFF",T_PCS[[#This Row],[CATEGORY]]=""),"",SUMIF(T_PR[CATEGORY],T_PCS[[#This Row],[CATEGORY]],T_PR[SALES])),"")</f>
        <v/>
      </c>
      <c r="D8" t="str">
        <f>IFERROR(RANK(T_PCS[[#This Row],[SALES]],T_PCS[SALES],0)+COUNTIF($C$4:C7,T_PCS[[#This Row],[SALES]]),"")</f>
        <v/>
      </c>
    </row>
    <row r="9" spans="1:7" x14ac:dyDescent="0.25">
      <c r="A9">
        <v>5</v>
      </c>
      <c r="B9" t="str">
        <f>IFERROR(INDEX(T_PC[PRODUCT CATEGORIES],A9),"")</f>
        <v/>
      </c>
      <c r="C9" t="str">
        <f>IFERROR(IF(OR(S_R="OFF",T_PCS[[#This Row],[CATEGORY]]=""),"",SUMIF(T_PR[CATEGORY],T_PCS[[#This Row],[CATEGORY]],T_PR[SALES])),"")</f>
        <v/>
      </c>
      <c r="D9" t="str">
        <f>IFERROR(RANK(T_PCS[[#This Row],[SALES]],T_PCS[SALES],0)+COUNTIF($C$4:C8,T_PCS[[#This Row],[SALES]]),"")</f>
        <v/>
      </c>
    </row>
    <row r="10" spans="1:7" x14ac:dyDescent="0.25">
      <c r="A10">
        <v>6</v>
      </c>
      <c r="B10" t="str">
        <f>IFERROR(INDEX(T_PC[PRODUCT CATEGORIES],A10),"")</f>
        <v/>
      </c>
      <c r="C10" t="str">
        <f>IFERROR(IF(OR(S_R="OFF",T_PCS[[#This Row],[CATEGORY]]=""),"",SUMIF(T_PR[CATEGORY],T_PCS[[#This Row],[CATEGORY]],T_PR[SALES])),"")</f>
        <v/>
      </c>
      <c r="D10" t="str">
        <f>IFERROR(RANK(T_PCS[[#This Row],[SALES]],T_PCS[SALES],0)+COUNTIF($C$4:C9,T_PCS[[#This Row],[SALES]]),"")</f>
        <v/>
      </c>
    </row>
    <row r="11" spans="1:7" x14ac:dyDescent="0.25">
      <c r="A11">
        <v>7</v>
      </c>
      <c r="B11" t="str">
        <f>IFERROR(INDEX(T_PC[PRODUCT CATEGORIES],A11),"")</f>
        <v/>
      </c>
      <c r="C11" t="str">
        <f>IFERROR(IF(OR(S_R="OFF",T_PCS[[#This Row],[CATEGORY]]=""),"",SUMIF(T_PR[CATEGORY],T_PCS[[#This Row],[CATEGORY]],T_PR[SALES])),"")</f>
        <v/>
      </c>
      <c r="D11" t="str">
        <f>IFERROR(RANK(T_PCS[[#This Row],[SALES]],T_PCS[SALES],0)+COUNTIF($C$4:C10,T_PCS[[#This Row],[SALES]]),"")</f>
        <v/>
      </c>
    </row>
    <row r="12" spans="1:7" x14ac:dyDescent="0.25">
      <c r="A12">
        <v>8</v>
      </c>
      <c r="B12" t="str">
        <f>IFERROR(INDEX(T_PC[PRODUCT CATEGORIES],A12),"")</f>
        <v/>
      </c>
      <c r="C12" t="str">
        <f>IFERROR(IF(OR(S_R="OFF",T_PCS[[#This Row],[CATEGORY]]=""),"",SUMIF(T_PR[CATEGORY],T_PCS[[#This Row],[CATEGORY]],T_PR[SALES])),"")</f>
        <v/>
      </c>
      <c r="D12" t="str">
        <f>IFERROR(RANK(T_PCS[[#This Row],[SALES]],T_PCS[SALES],0)+COUNTIF($C$4:C11,T_PCS[[#This Row],[SALES]]),"")</f>
        <v/>
      </c>
    </row>
    <row r="13" spans="1:7" x14ac:dyDescent="0.25">
      <c r="A13">
        <v>9</v>
      </c>
      <c r="B13" t="str">
        <f>IFERROR(INDEX(T_PC[PRODUCT CATEGORIES],A13),"")</f>
        <v/>
      </c>
      <c r="C13" t="str">
        <f>IFERROR(IF(OR(S_R="OFF",T_PCS[[#This Row],[CATEGORY]]=""),"",SUMIF(T_PR[CATEGORY],T_PCS[[#This Row],[CATEGORY]],T_PR[SALES])),"")</f>
        <v/>
      </c>
      <c r="D13" t="str">
        <f>IFERROR(RANK(T_PCS[[#This Row],[SALES]],T_PCS[SALES],0)+COUNTIF($C$4:C12,T_PCS[[#This Row],[SALES]]),"")</f>
        <v/>
      </c>
    </row>
    <row r="14" spans="1:7" x14ac:dyDescent="0.25">
      <c r="A14">
        <v>10</v>
      </c>
      <c r="B14" t="str">
        <f>IFERROR(INDEX(T_PC[PRODUCT CATEGORIES],A14),"")</f>
        <v/>
      </c>
      <c r="C14" t="str">
        <f>IFERROR(IF(OR(S_R="OFF",T_PCS[[#This Row],[CATEGORY]]=""),"",SUMIF(T_PR[CATEGORY],T_PCS[[#This Row],[CATEGORY]],T_PR[SALES])),"")</f>
        <v/>
      </c>
      <c r="D14" t="str">
        <f>IFERROR(RANK(T_PCS[[#This Row],[SALES]],T_PCS[SALES],0)+COUNTIF($C$4:C13,T_PCS[[#This Row],[SALES]]),"")</f>
        <v/>
      </c>
    </row>
    <row r="15" spans="1:7" x14ac:dyDescent="0.25">
      <c r="A15">
        <v>11</v>
      </c>
      <c r="B15" t="str">
        <f>IFERROR(INDEX(T_PC[PRODUCT CATEGORIES],A15),"")</f>
        <v/>
      </c>
      <c r="C15" t="str">
        <f>IFERROR(IF(OR(S_R="OFF",T_PCS[[#This Row],[CATEGORY]]=""),"",SUMIF(T_PR[CATEGORY],T_PCS[[#This Row],[CATEGORY]],T_PR[SALES])),"")</f>
        <v/>
      </c>
      <c r="D15" t="str">
        <f>IFERROR(RANK(T_PCS[[#This Row],[SALES]],T_PCS[SALES],0)+COUNTIF($C$4:C14,T_PCS[[#This Row],[SALES]]),"")</f>
        <v/>
      </c>
    </row>
    <row r="16" spans="1:7" x14ac:dyDescent="0.25">
      <c r="A16">
        <v>12</v>
      </c>
      <c r="B16" t="str">
        <f>IFERROR(INDEX(T_PC[PRODUCT CATEGORIES],A16),"")</f>
        <v/>
      </c>
      <c r="C16" t="str">
        <f>IFERROR(IF(OR(S_R="OFF",T_PCS[[#This Row],[CATEGORY]]=""),"",SUMIF(T_PR[CATEGORY],T_PCS[[#This Row],[CATEGORY]],T_PR[SALES])),"")</f>
        <v/>
      </c>
      <c r="D16" t="str">
        <f>IFERROR(RANK(T_PCS[[#This Row],[SALES]],T_PCS[SALES],0)+COUNTIF($C$4:C15,T_PCS[[#This Row],[SALES]]),"")</f>
        <v/>
      </c>
    </row>
    <row r="17" spans="1:4" x14ac:dyDescent="0.25">
      <c r="A17">
        <v>13</v>
      </c>
      <c r="B17" t="str">
        <f>IFERROR(INDEX(T_PC[PRODUCT CATEGORIES],A17),"")</f>
        <v/>
      </c>
      <c r="C17" t="str">
        <f>IFERROR(IF(OR(S_R="OFF",T_PCS[[#This Row],[CATEGORY]]=""),"",SUMIF(T_PR[CATEGORY],T_PCS[[#This Row],[CATEGORY]],T_PR[SALES])),"")</f>
        <v/>
      </c>
      <c r="D17" t="str">
        <f>IFERROR(RANK(T_PCS[[#This Row],[SALES]],T_PCS[SALES],0)+COUNTIF($C$4:C16,T_PCS[[#This Row],[SALES]]),"")</f>
        <v/>
      </c>
    </row>
    <row r="18" spans="1:4" x14ac:dyDescent="0.25">
      <c r="A18">
        <v>14</v>
      </c>
      <c r="B18" t="str">
        <f>IFERROR(INDEX(T_PC[PRODUCT CATEGORIES],A18),"")</f>
        <v/>
      </c>
      <c r="C18" t="str">
        <f>IFERROR(IF(OR(S_R="OFF",T_PCS[[#This Row],[CATEGORY]]=""),"",SUMIF(T_PR[CATEGORY],T_PCS[[#This Row],[CATEGORY]],T_PR[SALES])),"")</f>
        <v/>
      </c>
      <c r="D18" t="str">
        <f>IFERROR(RANK(T_PCS[[#This Row],[SALES]],T_PCS[SALES],0)+COUNTIF($C$4:C17,T_PCS[[#This Row],[SALES]]),"")</f>
        <v/>
      </c>
    </row>
    <row r="19" spans="1:4" x14ac:dyDescent="0.25">
      <c r="A19">
        <v>15</v>
      </c>
      <c r="B19" t="str">
        <f>IFERROR(INDEX(T_PC[PRODUCT CATEGORIES],A19),"")</f>
        <v/>
      </c>
      <c r="C19" t="str">
        <f>IFERROR(IF(OR(S_R="OFF",T_PCS[[#This Row],[CATEGORY]]=""),"",SUMIF(T_PR[CATEGORY],T_PCS[[#This Row],[CATEGORY]],T_PR[SALES])),"")</f>
        <v/>
      </c>
      <c r="D19" t="str">
        <f>IFERROR(RANK(T_PCS[[#This Row],[SALES]],T_PCS[SALES],0)+COUNTIF($C$4:C18,T_PCS[[#This Row],[SALES]]),"")</f>
        <v/>
      </c>
    </row>
    <row r="20" spans="1:4" x14ac:dyDescent="0.25">
      <c r="A20">
        <v>16</v>
      </c>
      <c r="B20" t="str">
        <f>IFERROR(INDEX(T_PC[PRODUCT CATEGORIES],A20),"")</f>
        <v/>
      </c>
      <c r="C20" t="str">
        <f>IFERROR(IF(OR(S_R="OFF",T_PCS[[#This Row],[CATEGORY]]=""),"",SUMIF(T_PR[CATEGORY],T_PCS[[#This Row],[CATEGORY]],T_PR[SALES])),"")</f>
        <v/>
      </c>
      <c r="D20" t="str">
        <f>IFERROR(RANK(T_PCS[[#This Row],[SALES]],T_PCS[SALES],0)+COUNTIF($C$4:C19,T_PCS[[#This Row],[SALES]]),"")</f>
        <v/>
      </c>
    </row>
    <row r="21" spans="1:4" x14ac:dyDescent="0.25">
      <c r="A21">
        <v>17</v>
      </c>
      <c r="B21" t="str">
        <f>IFERROR(INDEX(T_PC[PRODUCT CATEGORIES],A21),"")</f>
        <v/>
      </c>
      <c r="C21" t="str">
        <f>IFERROR(IF(OR(S_R="OFF",T_PCS[[#This Row],[CATEGORY]]=""),"",SUMIF(T_PR[CATEGORY],T_PCS[[#This Row],[CATEGORY]],T_PR[SALES])),"")</f>
        <v/>
      </c>
      <c r="D21" t="str">
        <f>IFERROR(RANK(T_PCS[[#This Row],[SALES]],T_PCS[SALES],0)+COUNTIF($C$4:C20,T_PCS[[#This Row],[SALES]]),"")</f>
        <v/>
      </c>
    </row>
    <row r="22" spans="1:4" x14ac:dyDescent="0.25">
      <c r="A22">
        <v>18</v>
      </c>
      <c r="B22" t="str">
        <f>IFERROR(INDEX(T_PC[PRODUCT CATEGORIES],A22),"")</f>
        <v/>
      </c>
      <c r="C22" t="str">
        <f>IFERROR(IF(OR(S_R="OFF",T_PCS[[#This Row],[CATEGORY]]=""),"",SUMIF(T_PR[CATEGORY],T_PCS[[#This Row],[CATEGORY]],T_PR[SALES])),"")</f>
        <v/>
      </c>
      <c r="D22" t="str">
        <f>IFERROR(RANK(T_PCS[[#This Row],[SALES]],T_PCS[SALES],0)+COUNTIF($C$4:C21,T_PCS[[#This Row],[SALES]]),"")</f>
        <v/>
      </c>
    </row>
    <row r="23" spans="1:4" x14ac:dyDescent="0.25">
      <c r="A23">
        <v>19</v>
      </c>
      <c r="B23" t="str">
        <f>IFERROR(INDEX(T_PC[PRODUCT CATEGORIES],A23),"")</f>
        <v/>
      </c>
      <c r="C23" t="str">
        <f>IFERROR(IF(OR(S_R="OFF",T_PCS[[#This Row],[CATEGORY]]=""),"",SUMIF(T_PR[CATEGORY],T_PCS[[#This Row],[CATEGORY]],T_PR[SALES])),"")</f>
        <v/>
      </c>
      <c r="D23" t="str">
        <f>IFERROR(RANK(T_PCS[[#This Row],[SALES]],T_PCS[SALES],0)+COUNTIF($C$4:C22,T_PCS[[#This Row],[SALES]]),"")</f>
        <v/>
      </c>
    </row>
    <row r="24" spans="1:4" x14ac:dyDescent="0.25">
      <c r="A24">
        <v>20</v>
      </c>
      <c r="B24" t="str">
        <f>IFERROR(INDEX(T_PC[PRODUCT CATEGORIES],A24),"")</f>
        <v/>
      </c>
      <c r="C24" t="str">
        <f>IFERROR(IF(OR(S_R="OFF",T_PCS[[#This Row],[CATEGORY]]=""),"",SUMIF(T_PR[CATEGORY],T_PCS[[#This Row],[CATEGORY]],T_PR[SALES])),"")</f>
        <v/>
      </c>
      <c r="D24" t="str">
        <f>IFERROR(RANK(T_PCS[[#This Row],[SALES]],T_PCS[SALES],0)+COUNTIF($C$4:C23,T_PCS[[#This Row],[SALES]]),"")</f>
        <v/>
      </c>
    </row>
    <row r="25" spans="1:4" x14ac:dyDescent="0.25">
      <c r="A25">
        <v>21</v>
      </c>
      <c r="B25" t="str">
        <f>IFERROR(INDEX(T_PC[PRODUCT CATEGORIES],A25),"")</f>
        <v/>
      </c>
      <c r="C25" t="str">
        <f>IFERROR(IF(OR(S_R="OFF",T_PCS[[#This Row],[CATEGORY]]=""),"",SUMIF(T_PR[CATEGORY],T_PCS[[#This Row],[CATEGORY]],T_PR[SALES])),"")</f>
        <v/>
      </c>
      <c r="D25" t="str">
        <f>IFERROR(RANK(T_PCS[[#This Row],[SALES]],T_PCS[SALES],0)+COUNTIF($C$4:C24,T_PCS[[#This Row],[SALES]]),"")</f>
        <v/>
      </c>
    </row>
    <row r="26" spans="1:4" x14ac:dyDescent="0.25">
      <c r="A26">
        <v>22</v>
      </c>
      <c r="B26" t="str">
        <f>IFERROR(INDEX(T_PC[PRODUCT CATEGORIES],A26),"")</f>
        <v/>
      </c>
      <c r="C26" t="str">
        <f>IFERROR(IF(OR(S_R="OFF",T_PCS[[#This Row],[CATEGORY]]=""),"",SUMIF(T_PR[CATEGORY],T_PCS[[#This Row],[CATEGORY]],T_PR[SALES])),"")</f>
        <v/>
      </c>
      <c r="D26" t="str">
        <f>IFERROR(RANK(T_PCS[[#This Row],[SALES]],T_PCS[SALES],0)+COUNTIF($C$4:C25,T_PCS[[#This Row],[SALES]]),"")</f>
        <v/>
      </c>
    </row>
    <row r="27" spans="1:4" x14ac:dyDescent="0.25">
      <c r="A27">
        <v>23</v>
      </c>
      <c r="B27" t="str">
        <f>IFERROR(INDEX(T_PC[PRODUCT CATEGORIES],A27),"")</f>
        <v/>
      </c>
      <c r="C27" t="str">
        <f>IFERROR(IF(OR(S_R="OFF",T_PCS[[#This Row],[CATEGORY]]=""),"",SUMIF(T_PR[CATEGORY],T_PCS[[#This Row],[CATEGORY]],T_PR[SALES])),"")</f>
        <v/>
      </c>
      <c r="D27" t="str">
        <f>IFERROR(RANK(T_PCS[[#This Row],[SALES]],T_PCS[SALES],0)+COUNTIF($C$4:C26,T_PCS[[#This Row],[SALES]]),"")</f>
        <v/>
      </c>
    </row>
    <row r="28" spans="1:4" x14ac:dyDescent="0.25">
      <c r="A28">
        <v>24</v>
      </c>
      <c r="B28" t="str">
        <f>IFERROR(INDEX(T_PC[PRODUCT CATEGORIES],A28),"")</f>
        <v/>
      </c>
      <c r="C28" t="str">
        <f>IFERROR(IF(OR(S_R="OFF",T_PCS[[#This Row],[CATEGORY]]=""),"",SUMIF(T_PR[CATEGORY],T_PCS[[#This Row],[CATEGORY]],T_PR[SALES])),"")</f>
        <v/>
      </c>
      <c r="D28" t="str">
        <f>IFERROR(RANK(T_PCS[[#This Row],[SALES]],T_PCS[SALES],0)+COUNTIF($C$4:C27,T_PCS[[#This Row],[SALES]]),"")</f>
        <v/>
      </c>
    </row>
    <row r="29" spans="1:4" x14ac:dyDescent="0.25">
      <c r="A29">
        <v>25</v>
      </c>
      <c r="B29" t="str">
        <f>IFERROR(INDEX(T_PC[PRODUCT CATEGORIES],A29),"")</f>
        <v/>
      </c>
      <c r="C29" t="str">
        <f>IFERROR(IF(OR(S_R="OFF",T_PCS[[#This Row],[CATEGORY]]=""),"",SUMIF(T_PR[CATEGORY],T_PCS[[#This Row],[CATEGORY]],T_PR[SALES])),"")</f>
        <v/>
      </c>
      <c r="D29" t="str">
        <f>IFERROR(RANK(T_PCS[[#This Row],[SALES]],T_PCS[SALES],0)+COUNTIF($C$4:C28,T_PCS[[#This Row],[SALES]]),"")</f>
        <v/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K35"/>
  <sheetViews>
    <sheetView showGridLines="0" zoomScaleNormal="100" workbookViewId="0">
      <selection activeCell="L4" sqref="L4"/>
    </sheetView>
  </sheetViews>
  <sheetFormatPr defaultRowHeight="15" x14ac:dyDescent="0.25"/>
  <cols>
    <col min="1" max="1" width="41.85546875" style="15" customWidth="1"/>
    <col min="2" max="2" width="2.85546875" style="15" customWidth="1"/>
    <col min="3" max="3" width="25.7109375" style="15" customWidth="1"/>
    <col min="4" max="4" width="7.7109375" style="15" customWidth="1"/>
    <col min="5" max="5" width="25.7109375" style="15" customWidth="1"/>
    <col min="6" max="6" width="7.7109375" style="15" customWidth="1"/>
    <col min="7" max="7" width="25.7109375" style="15" customWidth="1"/>
    <col min="8" max="8" width="23.5703125" style="15" customWidth="1"/>
    <col min="9" max="9" width="6.140625" style="15" customWidth="1"/>
    <col min="10" max="10" width="26.42578125" style="15" bestFit="1" customWidth="1"/>
    <col min="11" max="11" width="1.7109375" style="15" customWidth="1"/>
    <col min="12" max="12" width="11.5703125" style="15" bestFit="1" customWidth="1"/>
    <col min="13" max="14" width="6.7109375" style="15" customWidth="1"/>
    <col min="15" max="15" width="30.7109375" style="15" customWidth="1"/>
    <col min="16" max="16" width="6.7109375" style="15" customWidth="1"/>
    <col min="17" max="17" width="30.7109375" style="15" customWidth="1"/>
    <col min="18" max="18" width="6.7109375" style="15" customWidth="1"/>
    <col min="19" max="19" width="6.42578125" style="15" customWidth="1"/>
    <col min="20" max="20" width="23.42578125" style="15" customWidth="1"/>
    <col min="21" max="22" width="3" style="15" customWidth="1"/>
    <col min="23" max="23" width="1.85546875" style="15" customWidth="1"/>
    <col min="24" max="24" width="30.42578125" style="15" customWidth="1"/>
    <col min="25" max="37" width="8.7109375" style="15" customWidth="1"/>
    <col min="38" max="39" width="6.28515625" style="15" customWidth="1"/>
    <col min="40" max="40" width="4" style="15" customWidth="1"/>
    <col min="41" max="41" width="1.7109375" style="15" customWidth="1"/>
    <col min="42" max="42" width="6.7109375" style="15" customWidth="1"/>
    <col min="43" max="43" width="26.7109375" style="15" customWidth="1"/>
    <col min="44" max="44" width="18.7109375" style="15" customWidth="1"/>
    <col min="45" max="45" width="6.7109375" style="15" customWidth="1"/>
    <col min="46" max="46" width="5.5703125" style="15" customWidth="1"/>
    <col min="47" max="47" width="5.28515625" style="15" customWidth="1"/>
    <col min="48" max="48" width="6.7109375" style="15" customWidth="1"/>
    <col min="49" max="49" width="1.28515625" style="15" customWidth="1"/>
    <col min="50" max="50" width="26.7109375" style="15" customWidth="1"/>
    <col min="51" max="51" width="18.7109375" style="15" customWidth="1"/>
    <col min="52" max="52" width="6.7109375" style="15" customWidth="1"/>
    <col min="53" max="53" width="14" style="15" customWidth="1"/>
    <col min="54" max="54" width="13.28515625" style="15" customWidth="1"/>
    <col min="55" max="55" width="5.28515625" style="15" customWidth="1"/>
    <col min="56" max="56" width="1.7109375" style="15" customWidth="1"/>
    <col min="57" max="57" width="22.7109375" style="15" customWidth="1"/>
    <col min="58" max="58" width="2.7109375" style="15" customWidth="1"/>
    <col min="59" max="59" width="22.7109375" style="15" customWidth="1"/>
    <col min="60" max="60" width="2.7109375" style="15" customWidth="1"/>
    <col min="61" max="61" width="22.7109375" style="15" customWidth="1"/>
    <col min="62" max="62" width="9.42578125" style="15" customWidth="1"/>
    <col min="63" max="63" width="16.42578125" style="15" customWidth="1"/>
    <col min="64" max="64" width="22.42578125" style="15" customWidth="1"/>
    <col min="65" max="65" width="3.85546875" style="15" customWidth="1"/>
    <col min="66" max="66" width="15.28515625" style="15" customWidth="1"/>
    <col min="67" max="67" width="15.5703125" style="15" customWidth="1"/>
    <col min="68" max="68" width="2.5703125" style="15" customWidth="1"/>
    <col min="69" max="69" width="1.7109375" style="15" customWidth="1"/>
    <col min="70" max="70" width="6.7109375" style="15" customWidth="1"/>
    <col min="71" max="71" width="4.7109375" style="15" customWidth="1"/>
    <col min="72" max="72" width="26.7109375" style="15" customWidth="1"/>
    <col min="73" max="73" width="18.7109375" style="15" customWidth="1"/>
    <col min="74" max="74" width="6.7109375" style="15" customWidth="1"/>
    <col min="75" max="75" width="3.5703125" style="15" customWidth="1"/>
    <col min="76" max="76" width="1.85546875" style="15" customWidth="1"/>
    <col min="77" max="77" width="6.42578125" style="15" customWidth="1"/>
    <col min="78" max="79" width="1.7109375" style="15" customWidth="1"/>
    <col min="80" max="80" width="12.5703125" style="15" customWidth="1"/>
    <col min="81" max="81" width="22.7109375" style="15" customWidth="1"/>
    <col min="82" max="82" width="8.7109375" style="15" customWidth="1"/>
    <col min="83" max="83" width="22.7109375" style="15" customWidth="1"/>
    <col min="84" max="84" width="1.7109375" style="15" customWidth="1"/>
    <col min="85" max="85" width="1.5703125" style="15" customWidth="1"/>
    <col min="86" max="86" width="8.5703125" style="15" customWidth="1"/>
    <col min="87" max="87" width="28.5703125" style="15" bestFit="1" customWidth="1"/>
    <col min="88" max="88" width="9.140625" style="15"/>
    <col min="89" max="89" width="14.85546875" style="15" customWidth="1"/>
    <col min="90" max="16384" width="9.140625" style="15"/>
  </cols>
  <sheetData>
    <row r="1" spans="1:89" ht="48" customHeight="1" x14ac:dyDescent="0.3">
      <c r="A1" s="162" t="s">
        <v>33</v>
      </c>
      <c r="B1" s="26"/>
      <c r="C1" s="27"/>
      <c r="D1" s="27"/>
      <c r="E1" s="27"/>
      <c r="F1" s="27"/>
      <c r="G1" s="27"/>
      <c r="H1" s="28"/>
      <c r="I1" s="29"/>
      <c r="J1" s="163" t="s">
        <v>67</v>
      </c>
      <c r="K1" s="30"/>
      <c r="L1" s="30"/>
      <c r="M1" s="30"/>
      <c r="N1" s="30"/>
      <c r="O1" s="30"/>
      <c r="P1" s="30"/>
      <c r="Q1" s="30"/>
      <c r="R1" s="30"/>
      <c r="S1" s="30"/>
      <c r="T1" s="31"/>
      <c r="U1" s="29"/>
      <c r="V1" s="164" t="s">
        <v>167</v>
      </c>
      <c r="W1" s="155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3"/>
      <c r="AN1" s="29"/>
      <c r="AO1" s="32"/>
      <c r="AP1" s="32"/>
      <c r="AQ1" s="164" t="s">
        <v>108</v>
      </c>
      <c r="AR1" s="32"/>
      <c r="AS1" s="32"/>
      <c r="AT1" s="32"/>
      <c r="AU1" s="32"/>
      <c r="AV1" s="32"/>
      <c r="AW1" s="32"/>
      <c r="AX1" s="34"/>
      <c r="AY1" s="34"/>
      <c r="AZ1" s="32"/>
      <c r="BA1" s="169" t="s">
        <v>72</v>
      </c>
      <c r="BB1" s="35"/>
      <c r="BC1" s="29"/>
      <c r="BD1" s="32"/>
      <c r="BE1" s="164" t="s">
        <v>77</v>
      </c>
      <c r="BF1" s="32"/>
      <c r="BG1" s="32"/>
      <c r="BH1" s="32"/>
      <c r="BI1" s="32"/>
      <c r="BJ1" s="32"/>
      <c r="BK1" s="32"/>
      <c r="BL1" s="32"/>
      <c r="BM1" s="32"/>
      <c r="BN1" s="32"/>
      <c r="BO1" s="35"/>
      <c r="BP1" s="29"/>
      <c r="BQ1" s="32"/>
      <c r="BR1" s="32"/>
      <c r="BS1" s="32"/>
      <c r="BT1" s="164" t="s">
        <v>168</v>
      </c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5"/>
    </row>
    <row r="2" spans="1:89" ht="20.100000000000001" customHeight="1" x14ac:dyDescent="0.3">
      <c r="A2" s="36"/>
      <c r="B2" s="37"/>
      <c r="C2" s="38"/>
      <c r="D2" s="38"/>
      <c r="E2" s="38"/>
      <c r="F2" s="38"/>
      <c r="H2" s="39"/>
      <c r="I2" s="40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  <c r="U2" s="40"/>
      <c r="V2" s="43"/>
      <c r="W2" s="43"/>
      <c r="Y2" s="44"/>
      <c r="AL2" s="43"/>
      <c r="AM2" s="39"/>
      <c r="AN2" s="40"/>
      <c r="AO2" s="43"/>
      <c r="AP2" s="41"/>
      <c r="AQ2" s="45"/>
      <c r="AR2" s="45"/>
      <c r="AS2" s="46"/>
      <c r="AT2" s="41"/>
      <c r="AU2" s="41"/>
      <c r="AV2" s="41"/>
      <c r="AW2" s="41"/>
      <c r="AX2" s="41"/>
      <c r="AY2" s="45"/>
      <c r="AZ2" s="47"/>
      <c r="BA2" s="48" t="s">
        <v>19</v>
      </c>
      <c r="BB2" s="42"/>
      <c r="BC2" s="40"/>
      <c r="BD2" s="43"/>
      <c r="BE2" s="49" t="s">
        <v>80</v>
      </c>
      <c r="BF2" s="41"/>
      <c r="BG2" s="48" t="s">
        <v>177</v>
      </c>
      <c r="BH2" s="41"/>
      <c r="BI2" s="195" t="str">
        <f>IFERROR(INDEX(T_PR[NAME],MATCH(I_RPR,T_PR[ID],0)),"")</f>
        <v/>
      </c>
      <c r="BJ2" s="195"/>
      <c r="BK2" s="195"/>
      <c r="BO2" s="42"/>
      <c r="BP2" s="40"/>
      <c r="BQ2" s="50"/>
      <c r="BR2" s="51"/>
      <c r="BS2" s="51"/>
      <c r="BT2" s="45"/>
      <c r="BU2" s="45"/>
      <c r="BV2" s="51"/>
      <c r="BW2" s="51"/>
      <c r="BX2" s="51"/>
      <c r="BY2" s="51"/>
      <c r="BZ2" s="51"/>
      <c r="CA2" s="51"/>
      <c r="CB2" s="52" t="s">
        <v>79</v>
      </c>
      <c r="CC2" s="53" t="s">
        <v>179</v>
      </c>
      <c r="CD2" s="51"/>
      <c r="CE2" s="51"/>
      <c r="CF2" s="51"/>
      <c r="CG2" s="51"/>
      <c r="CH2" s="54"/>
    </row>
    <row r="3" spans="1:89" ht="20.100000000000001" customHeight="1" x14ac:dyDescent="0.3">
      <c r="A3" s="202"/>
      <c r="B3" s="55"/>
      <c r="C3" s="56"/>
      <c r="D3" s="56"/>
      <c r="E3" s="56"/>
      <c r="F3" s="56"/>
      <c r="G3" s="56"/>
      <c r="H3" s="57"/>
      <c r="I3" s="40"/>
      <c r="J3" s="58" t="s">
        <v>165</v>
      </c>
      <c r="K3" s="41"/>
      <c r="L3" s="41"/>
      <c r="M3" s="41"/>
      <c r="N3" s="41"/>
      <c r="O3" s="59"/>
      <c r="P3" s="41"/>
      <c r="Q3" s="41"/>
      <c r="R3" s="41"/>
      <c r="S3" s="41"/>
      <c r="T3" s="42"/>
      <c r="U3" s="40"/>
      <c r="V3" s="43"/>
      <c r="W3" s="43"/>
      <c r="X3" s="60" t="s">
        <v>107</v>
      </c>
      <c r="Y3" s="121">
        <f>EOMONTH(I_SD,-1)</f>
        <v>43830</v>
      </c>
      <c r="Z3" s="122">
        <f t="shared" ref="Z3:AK3" si="0">IFERROR(IF(EOMONTH(Y3,1)&gt;EOMONTH(I_ED,0),"",MIN(I_ED,EOMONTH(Y3,1))),"")</f>
        <v>43861</v>
      </c>
      <c r="AA3" s="122">
        <f t="shared" si="0"/>
        <v>43866</v>
      </c>
      <c r="AB3" s="122" t="str">
        <f t="shared" si="0"/>
        <v/>
      </c>
      <c r="AC3" s="122" t="str">
        <f t="shared" si="0"/>
        <v/>
      </c>
      <c r="AD3" s="122" t="str">
        <f t="shared" si="0"/>
        <v/>
      </c>
      <c r="AE3" s="122" t="str">
        <f t="shared" si="0"/>
        <v/>
      </c>
      <c r="AF3" s="122" t="str">
        <f t="shared" si="0"/>
        <v/>
      </c>
      <c r="AG3" s="122" t="str">
        <f t="shared" si="0"/>
        <v/>
      </c>
      <c r="AH3" s="122" t="str">
        <f t="shared" si="0"/>
        <v/>
      </c>
      <c r="AI3" s="122" t="str">
        <f t="shared" si="0"/>
        <v/>
      </c>
      <c r="AJ3" s="122" t="str">
        <f t="shared" si="0"/>
        <v/>
      </c>
      <c r="AK3" s="122" t="str">
        <f t="shared" si="0"/>
        <v/>
      </c>
      <c r="AL3" s="43"/>
      <c r="AM3" s="39"/>
      <c r="AN3" s="40"/>
      <c r="AO3" s="43"/>
      <c r="AP3" s="196" t="s">
        <v>73</v>
      </c>
      <c r="AQ3" s="196"/>
      <c r="AR3" s="196"/>
      <c r="AS3" s="196"/>
      <c r="AT3" s="41"/>
      <c r="AU3" s="41"/>
      <c r="AV3" s="196" t="s">
        <v>76</v>
      </c>
      <c r="AW3" s="196"/>
      <c r="AX3" s="196"/>
      <c r="AY3" s="196"/>
      <c r="AZ3" s="196"/>
      <c r="BA3" s="41"/>
      <c r="BB3" s="42"/>
      <c r="BC3" s="40"/>
      <c r="BD3" s="43"/>
      <c r="BE3" s="41"/>
      <c r="BF3" s="41"/>
      <c r="BG3" s="41"/>
      <c r="BH3" s="41"/>
      <c r="BI3" s="195" t="str">
        <f>IFERROR(INDEX(T_PR[DESCRIPTION],MATCH(I_RPR,T_PR[ID],0)),"")</f>
        <v/>
      </c>
      <c r="BJ3" s="195"/>
      <c r="BK3" s="195"/>
      <c r="BL3" s="41"/>
      <c r="BM3" s="41"/>
      <c r="BN3" s="41"/>
      <c r="BO3" s="42"/>
      <c r="BP3" s="40"/>
      <c r="BQ3" s="61"/>
      <c r="BR3" s="196" t="s">
        <v>170</v>
      </c>
      <c r="BS3" s="196"/>
      <c r="BT3" s="196"/>
      <c r="BU3" s="196"/>
      <c r="BV3" s="196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2"/>
      <c r="CK3" s="16"/>
    </row>
    <row r="4" spans="1:89" ht="20.100000000000001" customHeight="1" x14ac:dyDescent="0.3">
      <c r="A4" s="202"/>
      <c r="B4" s="56"/>
      <c r="C4" s="62"/>
      <c r="D4" s="56"/>
      <c r="E4" s="62"/>
      <c r="F4" s="56"/>
      <c r="G4" s="62"/>
      <c r="H4" s="57"/>
      <c r="I4" s="40"/>
      <c r="J4" s="199">
        <v>43831</v>
      </c>
      <c r="K4" s="41"/>
      <c r="L4" s="41"/>
      <c r="M4" s="41"/>
      <c r="N4" s="41"/>
      <c r="O4" s="200" t="s">
        <v>36</v>
      </c>
      <c r="P4" s="41"/>
      <c r="Q4" s="201" t="s">
        <v>9</v>
      </c>
      <c r="R4" s="41"/>
      <c r="S4" s="41"/>
      <c r="T4" s="42"/>
      <c r="U4" s="40"/>
      <c r="V4" s="43"/>
      <c r="W4" s="43"/>
      <c r="X4" s="63" t="s">
        <v>101</v>
      </c>
      <c r="Y4" s="64"/>
      <c r="Z4" s="123">
        <f>IFERROR(IF(OR(S_R="OFF",Z3=""),"",SUMIFS(T_OD[AMOUNT BEFORE TAX],T_OD[ORDER TYPE],"SALE",T_OD[ORDER DATE],"&gt;"&amp;Y3,T_OD[ORDER DATE],"&lt;="&amp;Z3)),"")</f>
        <v>0</v>
      </c>
      <c r="AA4" s="123">
        <f>IFERROR(IF(OR(S_R="OFF",AA3=""),"",SUMIFS(T_OD[AMOUNT BEFORE TAX],T_OD[ORDER TYPE],"SALE",T_OD[ORDER DATE],"&gt;"&amp;Z3,T_OD[ORDER DATE],"&lt;="&amp;AA3)),"")</f>
        <v>0</v>
      </c>
      <c r="AB4" s="123" t="str">
        <f>IFERROR(IF(OR(S_R="OFF",AB3=""),"",SUMIFS(T_OD[AMOUNT BEFORE TAX],T_OD[ORDER TYPE],"SALE",T_OD[ORDER DATE],"&gt;"&amp;AA3,T_OD[ORDER DATE],"&lt;="&amp;AB3)),"")</f>
        <v/>
      </c>
      <c r="AC4" s="123" t="str">
        <f>IFERROR(IF(OR(S_R="OFF",AC3=""),"",SUMIFS(T_OD[AMOUNT BEFORE TAX],T_OD[ORDER TYPE],"SALE",T_OD[ORDER DATE],"&gt;"&amp;AB3,T_OD[ORDER DATE],"&lt;="&amp;AC3)),"")</f>
        <v/>
      </c>
      <c r="AD4" s="123" t="str">
        <f>IFERROR(IF(OR(S_R="OFF",AD3=""),"",SUMIFS(T_OD[AMOUNT BEFORE TAX],T_OD[ORDER TYPE],"SALE",T_OD[ORDER DATE],"&gt;"&amp;AC3,T_OD[ORDER DATE],"&lt;="&amp;AD3)),"")</f>
        <v/>
      </c>
      <c r="AE4" s="123" t="str">
        <f>IFERROR(IF(OR(S_R="OFF",AE3=""),"",SUMIFS(T_OD[AMOUNT BEFORE TAX],T_OD[ORDER TYPE],"SALE",T_OD[ORDER DATE],"&gt;"&amp;AD3,T_OD[ORDER DATE],"&lt;="&amp;AE3)),"")</f>
        <v/>
      </c>
      <c r="AF4" s="123" t="str">
        <f>IFERROR(IF(OR(S_R="OFF",AF3=""),"",SUMIFS(T_OD[AMOUNT BEFORE TAX],T_OD[ORDER TYPE],"SALE",T_OD[ORDER DATE],"&gt;"&amp;AE3,T_OD[ORDER DATE],"&lt;="&amp;AF3)),"")</f>
        <v/>
      </c>
      <c r="AG4" s="123" t="str">
        <f>IFERROR(IF(OR(S_R="OFF",AG3=""),"",SUMIFS(T_OD[AMOUNT BEFORE TAX],T_OD[ORDER TYPE],"SALE",T_OD[ORDER DATE],"&gt;"&amp;AF3,T_OD[ORDER DATE],"&lt;="&amp;AG3)),"")</f>
        <v/>
      </c>
      <c r="AH4" s="123" t="str">
        <f>IFERROR(IF(OR(S_R="OFF",AH3=""),"",SUMIFS(T_OD[AMOUNT BEFORE TAX],T_OD[ORDER TYPE],"SALE",T_OD[ORDER DATE],"&gt;"&amp;AG3,T_OD[ORDER DATE],"&lt;="&amp;AH3)),"")</f>
        <v/>
      </c>
      <c r="AI4" s="123" t="str">
        <f>IFERROR(IF(OR(S_R="OFF",AI3=""),"",SUMIFS(T_OD[AMOUNT BEFORE TAX],T_OD[ORDER TYPE],"SALE",T_OD[ORDER DATE],"&gt;"&amp;AH3,T_OD[ORDER DATE],"&lt;="&amp;AI3)),"")</f>
        <v/>
      </c>
      <c r="AJ4" s="123" t="str">
        <f>IFERROR(IF(OR(S_R="OFF",AJ3=""),"",SUMIFS(T_OD[AMOUNT BEFORE TAX],T_OD[ORDER TYPE],"SALE",T_OD[ORDER DATE],"&gt;"&amp;AI3,T_OD[ORDER DATE],"&lt;="&amp;AJ3)),"")</f>
        <v/>
      </c>
      <c r="AK4" s="124" t="str">
        <f>IFERROR(IF(OR(S_R="OFF",AK3=""),"",SUMIFS(T_OD[AMOUNT BEFORE TAX],T_OD[ORDER TYPE],"SALE",T_OD[ORDER DATE],"&gt;"&amp;AJ3,T_OD[ORDER DATE],"&lt;="&amp;AK3)),"")</f>
        <v/>
      </c>
      <c r="AL4" s="43"/>
      <c r="AM4" s="39"/>
      <c r="AN4" s="40"/>
      <c r="AO4" s="61"/>
      <c r="AP4" s="65" t="s">
        <v>47</v>
      </c>
      <c r="AQ4" s="65" t="s">
        <v>71</v>
      </c>
      <c r="AR4" s="133" t="str">
        <f>I_MP</f>
        <v>QUANTITY</v>
      </c>
      <c r="AS4" s="65" t="s">
        <v>59</v>
      </c>
      <c r="AT4" s="41"/>
      <c r="AU4" s="41"/>
      <c r="AV4" s="65" t="s">
        <v>47</v>
      </c>
      <c r="AW4" s="175" t="s">
        <v>182</v>
      </c>
      <c r="AX4" s="65" t="s">
        <v>17</v>
      </c>
      <c r="AY4" s="133" t="str">
        <f>I_MP</f>
        <v>QUANTITY</v>
      </c>
      <c r="AZ4" s="65" t="s">
        <v>59</v>
      </c>
      <c r="BA4" s="41"/>
      <c r="BB4" s="42"/>
      <c r="BC4" s="40"/>
      <c r="BD4" s="43"/>
      <c r="BE4" s="66" t="s">
        <v>36</v>
      </c>
      <c r="BF4" s="41"/>
      <c r="BG4" s="67" t="s">
        <v>9</v>
      </c>
      <c r="BH4" s="41"/>
      <c r="BI4" s="45"/>
      <c r="BJ4" s="41"/>
      <c r="BK4" s="41"/>
      <c r="BL4" s="68" t="s">
        <v>32</v>
      </c>
      <c r="BM4" s="41"/>
      <c r="BN4" s="41"/>
      <c r="BO4" s="42"/>
      <c r="BP4" s="40"/>
      <c r="BQ4" s="43"/>
      <c r="BR4" s="65" t="s">
        <v>47</v>
      </c>
      <c r="BS4" s="175" t="s">
        <v>182</v>
      </c>
      <c r="BT4" s="65" t="s">
        <v>0</v>
      </c>
      <c r="BU4" s="65" t="s">
        <v>48</v>
      </c>
      <c r="BV4" s="65" t="s">
        <v>59</v>
      </c>
      <c r="BW4" s="41"/>
      <c r="BX4" s="41"/>
      <c r="BY4" s="41"/>
      <c r="BZ4" s="41"/>
      <c r="CA4" s="41"/>
      <c r="CB4" s="41"/>
      <c r="CC4" s="66" t="s">
        <v>36</v>
      </c>
      <c r="CD4" s="41"/>
      <c r="CE4" s="67" t="s">
        <v>9</v>
      </c>
      <c r="CF4" s="41"/>
      <c r="CG4" s="41"/>
      <c r="CH4" s="42"/>
    </row>
    <row r="5" spans="1:89" ht="20.100000000000001" customHeight="1" x14ac:dyDescent="0.3">
      <c r="A5" s="69" t="s">
        <v>41</v>
      </c>
      <c r="B5" s="70"/>
      <c r="C5" s="198">
        <f>IFERROR(SUM(T_PR[INVENTORY ON HAND]),"")</f>
        <v>0</v>
      </c>
      <c r="D5" s="56"/>
      <c r="E5" s="198">
        <f>IFERROR(SUM(T_PR[INVENTORY TO COME]),"")</f>
        <v>0</v>
      </c>
      <c r="F5" s="56"/>
      <c r="G5" s="198">
        <f>IFERROR(SUM(T_PR[INVENTORY TO GO]),"")</f>
        <v>0</v>
      </c>
      <c r="H5" s="57"/>
      <c r="I5" s="40"/>
      <c r="J5" s="199"/>
      <c r="K5" s="41"/>
      <c r="L5" s="41"/>
      <c r="M5" s="41"/>
      <c r="N5" s="41"/>
      <c r="O5" s="200"/>
      <c r="P5" s="41"/>
      <c r="Q5" s="201"/>
      <c r="R5" s="41"/>
      <c r="S5" s="41"/>
      <c r="T5" s="42"/>
      <c r="U5" s="40"/>
      <c r="V5" s="43"/>
      <c r="W5" s="43"/>
      <c r="X5" s="71" t="s">
        <v>102</v>
      </c>
      <c r="Y5" s="72"/>
      <c r="Z5" s="125" t="str">
        <f>IFERROR(IF(OR(S_R="OFF",Z3=""),"",SUMPRODUCT(--(T_OD[ORDER TYPE]="SALE"),T_OD[QUANTITY],T_OD[PURCHASE PRICE],--(T_OD[ORDER DATE]&gt;Y3),--(T_OD[ORDER DATE]&lt;=Z3))),"")</f>
        <v/>
      </c>
      <c r="AA5" s="125" t="str">
        <f>IFERROR(IF(OR(S_R="OFF",AA3=""),"",SUMPRODUCT(--(T_OD[ORDER TYPE]="SALE"),T_OD[QUANTITY],T_OD[PURCHASE PRICE],--(T_OD[ORDER DATE]&gt;Z3),--(T_OD[ORDER DATE]&lt;=AA3))),"")</f>
        <v/>
      </c>
      <c r="AB5" s="125" t="str">
        <f>IFERROR(IF(OR(S_R="OFF",AB3=""),"",SUMPRODUCT(--(T_OD[ORDER TYPE]="SALE"),T_OD[QUANTITY],T_OD[PURCHASE PRICE],--(T_OD[ORDER DATE]&gt;AA3),--(T_OD[ORDER DATE]&lt;=AB3))),"")</f>
        <v/>
      </c>
      <c r="AC5" s="125" t="str">
        <f>IFERROR(IF(OR(S_R="OFF",AC3=""),"",SUMPRODUCT(--(T_OD[ORDER TYPE]="SALE"),T_OD[QUANTITY],T_OD[PURCHASE PRICE],--(T_OD[ORDER DATE]&gt;AB3),--(T_OD[ORDER DATE]&lt;=AC3))),"")</f>
        <v/>
      </c>
      <c r="AD5" s="125" t="str">
        <f>IFERROR(IF(OR(S_R="OFF",AD3=""),"",SUMPRODUCT(--(T_OD[ORDER TYPE]="SALE"),T_OD[QUANTITY],T_OD[PURCHASE PRICE],--(T_OD[ORDER DATE]&gt;AC3),--(T_OD[ORDER DATE]&lt;=AD3))),"")</f>
        <v/>
      </c>
      <c r="AE5" s="125" t="str">
        <f>IFERROR(IF(OR(S_R="OFF",AE3=""),"",SUMPRODUCT(--(T_OD[ORDER TYPE]="SALE"),T_OD[QUANTITY],T_OD[PURCHASE PRICE],--(T_OD[ORDER DATE]&gt;AD3),--(T_OD[ORDER DATE]&lt;=AE3))),"")</f>
        <v/>
      </c>
      <c r="AF5" s="125" t="str">
        <f>IFERROR(IF(OR(S_R="OFF",AF3=""),"",SUMPRODUCT(--(T_OD[ORDER TYPE]="SALE"),T_OD[QUANTITY],T_OD[PURCHASE PRICE],--(T_OD[ORDER DATE]&gt;AE3),--(T_OD[ORDER DATE]&lt;=AF3))),"")</f>
        <v/>
      </c>
      <c r="AG5" s="125" t="str">
        <f>IFERROR(IF(OR(S_R="OFF",AG3=""),"",SUMPRODUCT(--(T_OD[ORDER TYPE]="SALE"),T_OD[QUANTITY],T_OD[PURCHASE PRICE],--(T_OD[ORDER DATE]&gt;AF3),--(T_OD[ORDER DATE]&lt;=AG3))),"")</f>
        <v/>
      </c>
      <c r="AH5" s="125" t="str">
        <f>IFERROR(IF(OR(S_R="OFF",AH3=""),"",SUMPRODUCT(--(T_OD[ORDER TYPE]="SALE"),T_OD[QUANTITY],T_OD[PURCHASE PRICE],--(T_OD[ORDER DATE]&gt;AG3),--(T_OD[ORDER DATE]&lt;=AH3))),"")</f>
        <v/>
      </c>
      <c r="AI5" s="125" t="str">
        <f>IFERROR(IF(OR(S_R="OFF",AI3=""),"",SUMPRODUCT(--(T_OD[ORDER TYPE]="SALE"),T_OD[QUANTITY],T_OD[PURCHASE PRICE],--(T_OD[ORDER DATE]&gt;AH3),--(T_OD[ORDER DATE]&lt;=AI3))),"")</f>
        <v/>
      </c>
      <c r="AJ5" s="125" t="str">
        <f>IFERROR(IF(OR(S_R="OFF",AJ3=""),"",SUMPRODUCT(--(T_OD[ORDER TYPE]="SALE"),T_OD[QUANTITY],T_OD[PURCHASE PRICE],--(T_OD[ORDER DATE]&gt;AI3),--(T_OD[ORDER DATE]&lt;=AJ3))),"")</f>
        <v/>
      </c>
      <c r="AK5" s="126" t="str">
        <f>IFERROR(IF(OR(S_R="OFF",AK3=""),"",SUMPRODUCT(--(T_OD[ORDER TYPE]="SALE"),T_OD[QUANTITY],T_OD[PURCHASE PRICE],--(T_OD[ORDER DATE]&gt;AJ3),--(T_OD[ORDER DATE]&lt;=AK3))),"")</f>
        <v/>
      </c>
      <c r="AL5" s="73"/>
      <c r="AM5" s="74"/>
      <c r="AN5" s="75"/>
      <c r="AO5" s="43"/>
      <c r="AP5" s="142">
        <v>1</v>
      </c>
      <c r="AQ5" s="134">
        <f>IFERROR(INDEX(T_PCS[CATEGORY],MATCH(AP5,T_PCS[SALES RNK],0)),"")</f>
        <v>0</v>
      </c>
      <c r="AR5" s="135">
        <f>IFERROR(INDEX(T_PCS[SALES],MATCH(AP5,T_PCS[SALES RNK],0)),"")</f>
        <v>0</v>
      </c>
      <c r="AS5" s="136" t="str">
        <f>IFERROR(AR5/SUM(T_PR[SALES]),"")</f>
        <v/>
      </c>
      <c r="AT5" s="76"/>
      <c r="AU5" s="76"/>
      <c r="AV5" s="142" t="str">
        <f>IFERROR(SMALL(T_PR[SALES RANK],1),"")</f>
        <v/>
      </c>
      <c r="AW5" s="176" t="str">
        <f ca="1">IFERROR(IF(AV4=AV5,MATCH(AV5,OFFSET(INDEX(T_PR[SALES RANK],AW4),1,0,ROWS(T_PR[SALES RANK])-AW4),0)+AW4,MATCH(AV5,T_PR[SALES RANK],0)),"")</f>
        <v/>
      </c>
      <c r="AX5" s="134" t="str">
        <f ca="1">IFERROR(IF(S_R="OFF","",INDEX(T_PR[NAME],AW5)),"")</f>
        <v/>
      </c>
      <c r="AY5" s="135" t="str">
        <f ca="1">IFERROR(IF(S_R="OFF","",INDEX(T_PR[SALES],AW5)),"")</f>
        <v/>
      </c>
      <c r="AZ5" s="136" t="str">
        <f ca="1">IFERROR(IF(S_R="OFF","",(AY5/SUM(T_PR[SALES]))),"")</f>
        <v/>
      </c>
      <c r="BA5" s="76"/>
      <c r="BB5" s="77"/>
      <c r="BC5" s="75"/>
      <c r="BD5" s="43"/>
      <c r="BE5" s="139" t="str">
        <f>I_MP&amp;" RANK "&amp;IFERROR(INDEX(T_PR[SALES RANK],MATCH(I_RPR,T_PR[ID],0)),"")</f>
        <v xml:space="preserve">QUANTITY RANK </v>
      </c>
      <c r="BF5" s="41"/>
      <c r="BG5" s="41"/>
      <c r="BH5" s="76"/>
      <c r="BI5" s="45"/>
      <c r="BJ5" s="76"/>
      <c r="BK5" s="76"/>
      <c r="BL5" s="45"/>
      <c r="BM5" s="76"/>
      <c r="BN5" s="76"/>
      <c r="BO5" s="77"/>
      <c r="BP5" s="75"/>
      <c r="BQ5" s="43"/>
      <c r="BR5" s="142">
        <f>IFERROR(SMALL(T_PA[SALES RANK],1),"")</f>
        <v>1</v>
      </c>
      <c r="BS5" s="176">
        <f ca="1">IFERROR(IF(BR4=BR5,MATCH(BR5,OFFSET(INDEX(T_PA[SALES RANK],BS4),1,0,ROWS(T_PA[SALES RANK])-BS4),0)+BS4,MATCH(BR5,T_PA[SALES RANK],0)),"")</f>
        <v>1</v>
      </c>
      <c r="BT5" s="134">
        <f ca="1">IFERROR(INDEX(T_PA[NAME],BS5),"")</f>
        <v>0</v>
      </c>
      <c r="BU5" s="135">
        <f ca="1">IFERROR(INDEX(T_PA[SALES],BS5),"")</f>
        <v>0</v>
      </c>
      <c r="BV5" s="137" t="str">
        <f ca="1">IFERROR(BU5/SUM(T_PA[SALES]),"")</f>
        <v/>
      </c>
      <c r="BW5" s="78"/>
      <c r="BX5" s="78"/>
      <c r="BY5" s="78"/>
      <c r="BZ5" s="78"/>
      <c r="CA5" s="78"/>
      <c r="CB5" s="79" t="s">
        <v>19</v>
      </c>
      <c r="CC5" s="45"/>
      <c r="CD5" s="45"/>
      <c r="CE5" s="45"/>
      <c r="CF5" s="78"/>
      <c r="CG5" s="78"/>
      <c r="CH5" s="80"/>
    </row>
    <row r="6" spans="1:89" ht="20.100000000000001" customHeight="1" x14ac:dyDescent="0.3">
      <c r="A6" s="81"/>
      <c r="B6" s="82"/>
      <c r="C6" s="198"/>
      <c r="D6" s="56"/>
      <c r="E6" s="198"/>
      <c r="F6" s="56"/>
      <c r="G6" s="198"/>
      <c r="H6" s="57"/>
      <c r="I6" s="40"/>
      <c r="J6" s="41"/>
      <c r="K6" s="41"/>
      <c r="L6" s="41"/>
      <c r="M6" s="41"/>
      <c r="N6" s="41"/>
      <c r="O6" s="83"/>
      <c r="P6" s="41"/>
      <c r="Q6" s="83"/>
      <c r="R6" s="41"/>
      <c r="S6" s="41"/>
      <c r="T6" s="42"/>
      <c r="U6" s="40"/>
      <c r="V6" s="43"/>
      <c r="W6" s="43"/>
      <c r="X6" s="71" t="s">
        <v>100</v>
      </c>
      <c r="Y6" s="72"/>
      <c r="Z6" s="125" t="str">
        <f t="shared" ref="Z6:AK6" si="1">IFERROR(Z4-Z5,"")</f>
        <v/>
      </c>
      <c r="AA6" s="125" t="str">
        <f t="shared" si="1"/>
        <v/>
      </c>
      <c r="AB6" s="125" t="str">
        <f t="shared" si="1"/>
        <v/>
      </c>
      <c r="AC6" s="125" t="str">
        <f t="shared" si="1"/>
        <v/>
      </c>
      <c r="AD6" s="125" t="str">
        <f t="shared" si="1"/>
        <v/>
      </c>
      <c r="AE6" s="125" t="str">
        <f t="shared" si="1"/>
        <v/>
      </c>
      <c r="AF6" s="125" t="str">
        <f t="shared" si="1"/>
        <v/>
      </c>
      <c r="AG6" s="125" t="str">
        <f t="shared" si="1"/>
        <v/>
      </c>
      <c r="AH6" s="125" t="str">
        <f t="shared" si="1"/>
        <v/>
      </c>
      <c r="AI6" s="125" t="str">
        <f t="shared" si="1"/>
        <v/>
      </c>
      <c r="AJ6" s="125" t="str">
        <f t="shared" si="1"/>
        <v/>
      </c>
      <c r="AK6" s="126" t="str">
        <f t="shared" si="1"/>
        <v/>
      </c>
      <c r="AL6" s="43"/>
      <c r="AM6" s="84"/>
      <c r="AN6" s="85"/>
      <c r="AO6" s="43"/>
      <c r="AP6" s="142">
        <v>2</v>
      </c>
      <c r="AQ6" s="134">
        <f>IFERROR(INDEX(T_PCS[CATEGORY],MATCH(AP6,T_PCS[SALES RNK],0)),"")</f>
        <v>0</v>
      </c>
      <c r="AR6" s="135">
        <f>IFERROR(INDEX(T_PCS[SALES],MATCH(AP6,T_PCS[SALES RNK],0)),"")</f>
        <v>0</v>
      </c>
      <c r="AS6" s="137" t="str">
        <f>IFERROR(AR6/SUM(T_PR[SALES]),"")</f>
        <v/>
      </c>
      <c r="AT6" s="86"/>
      <c r="AU6" s="86"/>
      <c r="AV6" s="142" t="str">
        <f>IFERROR(SMALL(T_PR[SALES RANK],2),"")</f>
        <v/>
      </c>
      <c r="AW6" s="176" t="str">
        <f ca="1">IFERROR(IF(AV5=AV6,MATCH(AV6,OFFSET(INDEX(T_PR[SALES RANK],AW5),1,0,ROWS(T_PR[SALES RANK])-AW5),0)+AW5,MATCH(AV6,T_PR[SALES RANK],0)),"")</f>
        <v/>
      </c>
      <c r="AX6" s="134" t="str">
        <f ca="1">IFERROR(IF(S_R="OFF","",INDEX(T_PR[NAME],AW6)),"")</f>
        <v/>
      </c>
      <c r="AY6" s="135" t="str">
        <f ca="1">IFERROR(IF(S_R="OFF","",INDEX(T_PR[SALES],AW6)),"")</f>
        <v/>
      </c>
      <c r="AZ6" s="137" t="str">
        <f ca="1">IFERROR(IF(S_R="OFF","",(AY6/SUM(T_PR[SALES]))),"")</f>
        <v/>
      </c>
      <c r="BA6" s="86"/>
      <c r="BB6" s="80"/>
      <c r="BC6" s="85"/>
      <c r="BD6" s="43"/>
      <c r="BE6" s="193">
        <f>IF(S_R="OFF","",SUMIFS(T_OD[QUANTITY],T_OD[ORDER TYPE],"SALE",T_OD[ORDER DATE],"&gt;="&amp;I_SD,T_OD[ORDER DATE],"&lt;="&amp;I_ED,T_OD[PRODUCT ID],I_RPR))</f>
        <v>0</v>
      </c>
      <c r="BF6" s="41"/>
      <c r="BG6" s="193">
        <f>IF(S_R="OFF","",SUMIFS(T_OD[QUANTITY],T_OD[ORDER TYPE],"PURCHASE",T_OD[ORDER DATE],"&gt;="&amp;I_SD,T_OD[ORDER DATE],"&lt;="&amp;I_ED,T_OD[PRODUCT ID],I_RPR))</f>
        <v>0</v>
      </c>
      <c r="BH6" s="86"/>
      <c r="BI6" s="45"/>
      <c r="BJ6" s="86"/>
      <c r="BK6" s="86"/>
      <c r="BL6" s="193" t="str">
        <f>IFERROR(INDEX(T_PR[INVENTORY ON HAND],MATCH(I_RPR,T_PR[ID],0)),"")</f>
        <v/>
      </c>
      <c r="BM6" s="86"/>
      <c r="BN6" s="193" t="str">
        <f>IFERROR(INDEX(T_PR[RE-ORDER POINT],MATCH(I_RPR,T_PR[ID],0)),"")</f>
        <v/>
      </c>
      <c r="BO6" s="80"/>
      <c r="BP6" s="85"/>
      <c r="BQ6" s="43"/>
      <c r="BR6" s="142" t="str">
        <f>IFERROR(SMALL(T_PA[SALES RANK],2),"")</f>
        <v/>
      </c>
      <c r="BS6" s="176" t="str">
        <f ca="1">IFERROR(IF(BR5=BR6,MATCH(BR6,OFFSET(INDEX(T_PA[SALES RANK],BS5),1,0,ROWS(T_PA[SALES RANK])-BS5),0)+BS5,MATCH(BR6,T_PA[SALES RANK],0)),"")</f>
        <v/>
      </c>
      <c r="BT6" s="134" t="str">
        <f ca="1">IFERROR(INDEX(T_PA[NAME],BS6),"")</f>
        <v/>
      </c>
      <c r="BU6" s="135" t="str">
        <f ca="1">IFERROR(INDEX(T_PA[SALES],BS6),"")</f>
        <v/>
      </c>
      <c r="BV6" s="137" t="str">
        <f ca="1">IFERROR(BU6/SUM(T_PA[SALES]),"")</f>
        <v/>
      </c>
      <c r="BW6" s="78"/>
      <c r="BX6" s="78"/>
      <c r="BY6" s="78"/>
      <c r="BZ6" s="78"/>
      <c r="CA6" s="78"/>
      <c r="CB6" s="78"/>
      <c r="CC6" s="193">
        <f>IFERROR(IF(S_R="OFF","",SUMIFS(T_OD[QUANTITY],T_OD[ORDER TYPE],"SALE",T_OD[ORDER DATE],"&gt;="&amp;I_SD,T_OD[ORDER DATE],"&lt;="&amp;I_ED,T_OD[PARTNER],I_PA)),"")</f>
        <v>0</v>
      </c>
      <c r="CD6" s="78"/>
      <c r="CE6" s="193">
        <f>IFERROR(IF(S_R="OFF","",SUMIFS(T_OD[QUANTITY],T_OD[ORDER TYPE],"PURCHASE",T_OD[ORDER DATE],"&gt;="&amp;I_SD,T_OD[ORDER DATE],"&lt;="&amp;I_ED,T_OD[PARTNER],I_PA)),"")</f>
        <v>0</v>
      </c>
      <c r="CF6" s="78"/>
      <c r="CG6" s="78"/>
      <c r="CH6" s="77"/>
    </row>
    <row r="7" spans="1:89" ht="20.100000000000001" customHeight="1" x14ac:dyDescent="0.3">
      <c r="A7" s="81"/>
      <c r="B7" s="82"/>
      <c r="C7" s="198"/>
      <c r="D7" s="56"/>
      <c r="E7" s="198"/>
      <c r="F7" s="56"/>
      <c r="G7" s="198"/>
      <c r="H7" s="57"/>
      <c r="I7" s="40"/>
      <c r="J7" s="58" t="s">
        <v>166</v>
      </c>
      <c r="K7" s="41"/>
      <c r="L7" s="41"/>
      <c r="M7" s="41"/>
      <c r="N7" s="41"/>
      <c r="O7" s="193">
        <f>IF(S_R="OFF","",SUMIFS(T_OD[QUANTITY],T_OD[ORDER TYPE],"SALE",T_OD[ORDER DATE],"&gt;="&amp;I_SD,T_OD[ORDER DATE],"&lt;="&amp;I_ED))</f>
        <v>0</v>
      </c>
      <c r="P7" s="41"/>
      <c r="Q7" s="193">
        <f>IF(S_R="OFF","",SUMIFS(T_OD[QUANTITY],T_OD[ORDER TYPE],"PURCHASE",T_OD[ORDER DATE],"&gt;="&amp;I_SD,T_OD[ORDER DATE],"&lt;="&amp;I_ED))</f>
        <v>0</v>
      </c>
      <c r="R7" s="41"/>
      <c r="S7" s="41"/>
      <c r="T7" s="42"/>
      <c r="U7" s="40"/>
      <c r="V7" s="43"/>
      <c r="W7" s="43"/>
      <c r="X7" s="71" t="s">
        <v>97</v>
      </c>
      <c r="Y7" s="72"/>
      <c r="Z7" s="127">
        <f>IFERROR(IF(OR(S_R="OFF",Z3=""), "",SUMIFS(T_OD[QUANTITY],T_OD[ORDER TYPE],"SALE",T_OD[ORDER DATE],"&gt;"&amp;Y3,T_OD[ORDER DATE],"&lt;="&amp;Z3)),"")</f>
        <v>0</v>
      </c>
      <c r="AA7" s="127">
        <f>IFERROR(IF(OR(S_R="OFF",AA3=""), "",SUMIFS(T_OD[QUANTITY],T_OD[ORDER TYPE],"SALE",T_OD[ORDER DATE],"&gt;"&amp;Z3,T_OD[ORDER DATE],"&lt;="&amp;AA3)),"")</f>
        <v>0</v>
      </c>
      <c r="AB7" s="127" t="str">
        <f>IFERROR(IF(OR(S_R="OFF",AB3=""), "",SUMIFS(T_OD[QUANTITY],T_OD[ORDER TYPE],"SALE",T_OD[ORDER DATE],"&gt;"&amp;AA3,T_OD[ORDER DATE],"&lt;="&amp;AB3)),"")</f>
        <v/>
      </c>
      <c r="AC7" s="127" t="str">
        <f>IFERROR(IF(OR(S_R="OFF",AC3=""), "",SUMIFS(T_OD[QUANTITY],T_OD[ORDER TYPE],"SALE",T_OD[ORDER DATE],"&gt;"&amp;AB3,T_OD[ORDER DATE],"&lt;="&amp;AC3)),"")</f>
        <v/>
      </c>
      <c r="AD7" s="127" t="str">
        <f>IFERROR(IF(OR(S_R="OFF",AD3=""), "",SUMIFS(T_OD[QUANTITY],T_OD[ORDER TYPE],"SALE",T_OD[ORDER DATE],"&gt;"&amp;AC3,T_OD[ORDER DATE],"&lt;="&amp;AD3)),"")</f>
        <v/>
      </c>
      <c r="AE7" s="127" t="str">
        <f>IFERROR(IF(OR(S_R="OFF",AE3=""), "",SUMIFS(T_OD[QUANTITY],T_OD[ORDER TYPE],"SALE",T_OD[ORDER DATE],"&gt;"&amp;AD3,T_OD[ORDER DATE],"&lt;="&amp;AE3)),"")</f>
        <v/>
      </c>
      <c r="AF7" s="127" t="str">
        <f>IFERROR(IF(OR(S_R="OFF",AF3=""), "",SUMIFS(T_OD[QUANTITY],T_OD[ORDER TYPE],"SALE",T_OD[ORDER DATE],"&gt;"&amp;AE3,T_OD[ORDER DATE],"&lt;="&amp;AF3)),"")</f>
        <v/>
      </c>
      <c r="AG7" s="127" t="str">
        <f>IFERROR(IF(OR(S_R="OFF",AG3=""), "",SUMIFS(T_OD[QUANTITY],T_OD[ORDER TYPE],"SALE",T_OD[ORDER DATE],"&gt;"&amp;AF3,T_OD[ORDER DATE],"&lt;="&amp;AG3)),"")</f>
        <v/>
      </c>
      <c r="AH7" s="127" t="str">
        <f>IFERROR(IF(OR(S_R="OFF",AH3=""), "",SUMIFS(T_OD[QUANTITY],T_OD[ORDER TYPE],"SALE",T_OD[ORDER DATE],"&gt;"&amp;AG3,T_OD[ORDER DATE],"&lt;="&amp;AH3)),"")</f>
        <v/>
      </c>
      <c r="AI7" s="127" t="str">
        <f>IFERROR(IF(OR(S_R="OFF",AI3=""), "",SUMIFS(T_OD[QUANTITY],T_OD[ORDER TYPE],"SALE",T_OD[ORDER DATE],"&gt;"&amp;AH3,T_OD[ORDER DATE],"&lt;="&amp;AI3)),"")</f>
        <v/>
      </c>
      <c r="AJ7" s="127" t="str">
        <f>IFERROR(IF(OR(S_R="OFF",AJ3=""), "",SUMIFS(T_OD[QUANTITY],T_OD[ORDER TYPE],"SALE",T_OD[ORDER DATE],"&gt;"&amp;AI3,T_OD[ORDER DATE],"&lt;="&amp;AJ3)),"")</f>
        <v/>
      </c>
      <c r="AK7" s="128" t="str">
        <f>IFERROR(IF(OR(S_R="OFF",AK3=""), "",SUMIFS(T_OD[QUANTITY],T_OD[ORDER TYPE],"SALE",T_OD[ORDER DATE],"&gt;"&amp;AJ3,T_OD[ORDER DATE],"&lt;="&amp;AK3)),"")</f>
        <v/>
      </c>
      <c r="AL7" s="43"/>
      <c r="AM7" s="39"/>
      <c r="AN7" s="40"/>
      <c r="AO7" s="43"/>
      <c r="AP7" s="142">
        <v>3</v>
      </c>
      <c r="AQ7" s="134" t="str">
        <f>IFERROR(INDEX(T_PCS[CATEGORY],MATCH(AP7,T_PCS[SALES RNK],0)),"")</f>
        <v/>
      </c>
      <c r="AR7" s="135" t="str">
        <f>IFERROR(INDEX(T_PCS[SALES],MATCH(AP7,T_PCS[SALES RNK],0)),"")</f>
        <v/>
      </c>
      <c r="AS7" s="137" t="str">
        <f>IFERROR(AR7/SUM(T_PR[SALES]),"")</f>
        <v/>
      </c>
      <c r="AT7" s="41"/>
      <c r="AU7" s="41"/>
      <c r="AV7" s="142" t="str">
        <f>IFERROR(SMALL(T_PR[SALES RANK],3),"")</f>
        <v/>
      </c>
      <c r="AW7" s="176" t="str">
        <f ca="1">IFERROR(IF(AV6=AV7,MATCH(AV7,OFFSET(INDEX(T_PR[SALES RANK],AW6),1,0,ROWS(T_PR[SALES RANK])-AW6),0)+AW6,MATCH(AV7,T_PR[SALES RANK],0)),"")</f>
        <v/>
      </c>
      <c r="AX7" s="134" t="str">
        <f ca="1">IFERROR(IF(S_R="OFF","",INDEX(T_PR[NAME],AW7)),"")</f>
        <v/>
      </c>
      <c r="AY7" s="135" t="str">
        <f ca="1">IFERROR(IF(S_R="OFF","",INDEX(T_PR[SALES],AW7)),"")</f>
        <v/>
      </c>
      <c r="AZ7" s="137" t="str">
        <f ca="1">IFERROR(IF(S_R="OFF","",(AY7/SUM(T_PR[SALES]))),"")</f>
        <v/>
      </c>
      <c r="BA7" s="41"/>
      <c r="BB7" s="42"/>
      <c r="BC7" s="40"/>
      <c r="BD7" s="43"/>
      <c r="BE7" s="193"/>
      <c r="BF7" s="41"/>
      <c r="BG7" s="193"/>
      <c r="BH7" s="41"/>
      <c r="BI7" s="45"/>
      <c r="BJ7" s="41"/>
      <c r="BK7" s="41"/>
      <c r="BL7" s="193"/>
      <c r="BM7" s="41"/>
      <c r="BN7" s="193"/>
      <c r="BO7" s="42"/>
      <c r="BP7" s="40"/>
      <c r="BQ7" s="43"/>
      <c r="BR7" s="142" t="str">
        <f>IFERROR(SMALL(T_PA[SALES RANK],3),"")</f>
        <v/>
      </c>
      <c r="BS7" s="176" t="str">
        <f ca="1">IFERROR(IF(BR6=BR7,MATCH(BR7,OFFSET(INDEX(T_PA[SALES RANK],BS6),1,0,ROWS(T_PA[SALES RANK])-BS6),0)+BS6,MATCH(BR7,T_PA[SALES RANK],0)),"")</f>
        <v/>
      </c>
      <c r="BT7" s="134" t="str">
        <f ca="1">IFERROR(INDEX(T_PA[NAME],BS7),"")</f>
        <v/>
      </c>
      <c r="BU7" s="135" t="str">
        <f ca="1">IFERROR(INDEX(T_PA[SALES],BS7),"")</f>
        <v/>
      </c>
      <c r="BV7" s="137" t="str">
        <f ca="1">IFERROR(BU7/SUM(T_PA[SALES]),"")</f>
        <v/>
      </c>
      <c r="BW7" s="78"/>
      <c r="BX7" s="78"/>
      <c r="BY7" s="78"/>
      <c r="BZ7" s="78"/>
      <c r="CA7" s="78"/>
      <c r="CB7" s="78"/>
      <c r="CC7" s="193"/>
      <c r="CD7" s="78"/>
      <c r="CE7" s="193"/>
      <c r="CF7" s="78"/>
      <c r="CG7" s="78"/>
      <c r="CH7" s="42"/>
    </row>
    <row r="8" spans="1:89" ht="20.100000000000001" customHeight="1" x14ac:dyDescent="0.3">
      <c r="A8" s="81"/>
      <c r="B8" s="82"/>
      <c r="C8" s="198"/>
      <c r="D8" s="87"/>
      <c r="E8" s="198"/>
      <c r="F8" s="87"/>
      <c r="G8" s="198"/>
      <c r="H8" s="57"/>
      <c r="I8" s="40"/>
      <c r="J8" s="199">
        <v>43866</v>
      </c>
      <c r="K8" s="41"/>
      <c r="L8" s="41"/>
      <c r="M8" s="41"/>
      <c r="N8" s="41"/>
      <c r="O8" s="193"/>
      <c r="P8" s="41"/>
      <c r="Q8" s="193"/>
      <c r="R8" s="41"/>
      <c r="S8" s="41"/>
      <c r="T8" s="42"/>
      <c r="U8" s="40"/>
      <c r="V8" s="43"/>
      <c r="W8" s="43"/>
      <c r="X8" s="71" t="s">
        <v>98</v>
      </c>
      <c r="Y8" s="72"/>
      <c r="Z8" s="127">
        <f>IFERROR(IF(OR(S_R="OFF",Z3=""), "",SUMIFS(T_OD[QUANTITY],T_OD[ORDER TYPE],"PURCHASE",T_OD[ORDER DATE],"&gt;"&amp;Y3,T_OD[ORDER DATE],"&lt;="&amp;Z3)),"")</f>
        <v>0</v>
      </c>
      <c r="AA8" s="127">
        <f>IFERROR(IF(OR(S_R="OFF",AA3=""), "",SUMIFS(T_OD[QUANTITY],T_OD[ORDER TYPE],"PURCHASE",T_OD[ORDER DATE],"&gt;"&amp;Z3,T_OD[ORDER DATE],"&lt;="&amp;AA3)),"")</f>
        <v>0</v>
      </c>
      <c r="AB8" s="127" t="str">
        <f>IFERROR(IF(OR(S_R="OFF",AB3=""), "",SUMIFS(T_OD[QUANTITY],T_OD[ORDER TYPE],"PURCHASE",T_OD[ORDER DATE],"&gt;"&amp;AA3,T_OD[ORDER DATE],"&lt;="&amp;AB3)),"")</f>
        <v/>
      </c>
      <c r="AC8" s="127" t="str">
        <f>IFERROR(IF(OR(S_R="OFF",AC3=""), "",SUMIFS(T_OD[QUANTITY],T_OD[ORDER TYPE],"PURCHASE",T_OD[ORDER DATE],"&gt;"&amp;AB3,T_OD[ORDER DATE],"&lt;="&amp;AC3)),"")</f>
        <v/>
      </c>
      <c r="AD8" s="127" t="str">
        <f>IFERROR(IF(OR(S_R="OFF",AD3=""), "",SUMIFS(T_OD[QUANTITY],T_OD[ORDER TYPE],"PURCHASE",T_OD[ORDER DATE],"&gt;"&amp;AC3,T_OD[ORDER DATE],"&lt;="&amp;AD3)),"")</f>
        <v/>
      </c>
      <c r="AE8" s="127" t="str">
        <f>IFERROR(IF(OR(S_R="OFF",AE3=""), "",SUMIFS(T_OD[QUANTITY],T_OD[ORDER TYPE],"PURCHASE",T_OD[ORDER DATE],"&gt;"&amp;AD3,T_OD[ORDER DATE],"&lt;="&amp;AE3)),"")</f>
        <v/>
      </c>
      <c r="AF8" s="127" t="str">
        <f>IFERROR(IF(OR(S_R="OFF",AF3=""), "",SUMIFS(T_OD[QUANTITY],T_OD[ORDER TYPE],"PURCHASE",T_OD[ORDER DATE],"&gt;"&amp;AE3,T_OD[ORDER DATE],"&lt;="&amp;AF3)),"")</f>
        <v/>
      </c>
      <c r="AG8" s="127" t="str">
        <f>IFERROR(IF(OR(S_R="OFF",AG3=""), "",SUMIFS(T_OD[QUANTITY],T_OD[ORDER TYPE],"PURCHASE",T_OD[ORDER DATE],"&gt;"&amp;AF3,T_OD[ORDER DATE],"&lt;="&amp;AG3)),"")</f>
        <v/>
      </c>
      <c r="AH8" s="127" t="str">
        <f>IFERROR(IF(OR(S_R="OFF",AH3=""), "",SUMIFS(T_OD[QUANTITY],T_OD[ORDER TYPE],"PURCHASE",T_OD[ORDER DATE],"&gt;"&amp;AG3,T_OD[ORDER DATE],"&lt;="&amp;AH3)),"")</f>
        <v/>
      </c>
      <c r="AI8" s="127" t="str">
        <f>IFERROR(IF(OR(S_R="OFF",AI3=""), "",SUMIFS(T_OD[QUANTITY],T_OD[ORDER TYPE],"PURCHASE",T_OD[ORDER DATE],"&gt;"&amp;AH3,T_OD[ORDER DATE],"&lt;="&amp;AI3)),"")</f>
        <v/>
      </c>
      <c r="AJ8" s="127" t="str">
        <f>IFERROR(IF(OR(S_R="OFF",AJ3=""), "",SUMIFS(T_OD[QUANTITY],T_OD[ORDER TYPE],"PURCHASE",T_OD[ORDER DATE],"&gt;"&amp;AI3,T_OD[ORDER DATE],"&lt;="&amp;AJ3)),"")</f>
        <v/>
      </c>
      <c r="AK8" s="128" t="str">
        <f>IFERROR(IF(OR(S_R="OFF",AK3=""), "",SUMIFS(T_OD[QUANTITY],T_OD[ORDER TYPE],"PURCHASE",T_OD[ORDER DATE],"&gt;"&amp;AJ3,T_OD[ORDER DATE],"&lt;="&amp;AK3)),"")</f>
        <v/>
      </c>
      <c r="AL8" s="43"/>
      <c r="AM8" s="39"/>
      <c r="AN8" s="40"/>
      <c r="AO8" s="43"/>
      <c r="AP8" s="142">
        <v>4</v>
      </c>
      <c r="AQ8" s="134" t="str">
        <f>IFERROR(INDEX(T_PCS[CATEGORY],MATCH(AP8,T_PCS[SALES RNK],0)),"")</f>
        <v/>
      </c>
      <c r="AR8" s="135" t="str">
        <f>IFERROR(INDEX(T_PCS[SALES],MATCH(AP8,T_PCS[SALES RNK],0)),"")</f>
        <v/>
      </c>
      <c r="AS8" s="137" t="str">
        <f>IFERROR(AR8/SUM(T_PR[SALES]),"")</f>
        <v/>
      </c>
      <c r="AT8" s="41"/>
      <c r="AU8" s="41"/>
      <c r="AV8" s="142" t="str">
        <f>IFERROR(SMALL(T_PR[SALES RANK],4),"")</f>
        <v/>
      </c>
      <c r="AW8" s="176" t="str">
        <f ca="1">IFERROR(IF(AV7=AV8,MATCH(AV8,OFFSET(INDEX(T_PR[SALES RANK],AW7),1,0,ROWS(T_PR[SALES RANK])-AW7),0)+AW7,MATCH(AV8,T_PR[SALES RANK],0)),"")</f>
        <v/>
      </c>
      <c r="AX8" s="134" t="str">
        <f ca="1">IFERROR(IF(S_R="OFF","",INDEX(T_PR[NAME],AW8)),"")</f>
        <v/>
      </c>
      <c r="AY8" s="135" t="str">
        <f ca="1">IFERROR(IF(S_R="OFF","",INDEX(T_PR[SALES],AW8)),"")</f>
        <v/>
      </c>
      <c r="AZ8" s="137" t="str">
        <f ca="1">IFERROR(IF(S_R="OFF","",(AY8/SUM(T_PR[SALES]))),"")</f>
        <v/>
      </c>
      <c r="BA8" s="41"/>
      <c r="BB8" s="42"/>
      <c r="BC8" s="40"/>
      <c r="BD8" s="43"/>
      <c r="BE8" s="88" t="s">
        <v>63</v>
      </c>
      <c r="BF8" s="89"/>
      <c r="BG8" s="88" t="s">
        <v>64</v>
      </c>
      <c r="BH8" s="89"/>
      <c r="BI8" s="45"/>
      <c r="BJ8" s="41"/>
      <c r="BK8" s="41"/>
      <c r="BL8" s="88" t="s">
        <v>169</v>
      </c>
      <c r="BM8" s="41"/>
      <c r="BN8" s="88" t="s">
        <v>28</v>
      </c>
      <c r="BO8" s="42"/>
      <c r="BP8" s="40"/>
      <c r="BQ8" s="43"/>
      <c r="BR8" s="142" t="str">
        <f>IFERROR(SMALL(T_PA[SALES RANK],4),"")</f>
        <v/>
      </c>
      <c r="BS8" s="176" t="str">
        <f ca="1">IFERROR(IF(BR7=BR8,MATCH(BR8,OFFSET(INDEX(T_PA[SALES RANK],BS7),1,0,ROWS(T_PA[SALES RANK])-BS7),0)+BS7,MATCH(BR8,T_PA[SALES RANK],0)),"")</f>
        <v/>
      </c>
      <c r="BT8" s="134" t="str">
        <f ca="1">IFERROR(INDEX(T_PA[NAME],BS8),"")</f>
        <v/>
      </c>
      <c r="BU8" s="135" t="str">
        <f ca="1">IFERROR(INDEX(T_PA[SALES],BS8),"")</f>
        <v/>
      </c>
      <c r="BV8" s="137" t="str">
        <f ca="1">IFERROR(BU8/SUM(T_PA[SALES]),"")</f>
        <v/>
      </c>
      <c r="BW8" s="78"/>
      <c r="BX8" s="78"/>
      <c r="BY8" s="78"/>
      <c r="BZ8" s="78"/>
      <c r="CA8" s="78"/>
      <c r="CB8" s="78"/>
      <c r="CC8" s="88" t="s">
        <v>63</v>
      </c>
      <c r="CD8" s="78"/>
      <c r="CE8" s="88" t="s">
        <v>60</v>
      </c>
      <c r="CF8" s="78"/>
      <c r="CG8" s="78"/>
      <c r="CH8" s="42"/>
    </row>
    <row r="9" spans="1:89" ht="20.100000000000001" customHeight="1" x14ac:dyDescent="0.3">
      <c r="A9" s="81"/>
      <c r="B9" s="82"/>
      <c r="C9" s="198"/>
      <c r="D9" s="56"/>
      <c r="E9" s="198"/>
      <c r="F9" s="56"/>
      <c r="G9" s="198"/>
      <c r="H9" s="90"/>
      <c r="I9" s="40"/>
      <c r="J9" s="199"/>
      <c r="K9" s="41"/>
      <c r="L9" s="41"/>
      <c r="M9" s="41"/>
      <c r="N9" s="41"/>
      <c r="O9" s="88" t="s">
        <v>63</v>
      </c>
      <c r="P9" s="89"/>
      <c r="Q9" s="88" t="s">
        <v>64</v>
      </c>
      <c r="R9" s="41"/>
      <c r="S9" s="41"/>
      <c r="T9" s="42"/>
      <c r="U9" s="40"/>
      <c r="V9" s="43"/>
      <c r="W9" s="43"/>
      <c r="X9" s="71" t="s">
        <v>94</v>
      </c>
      <c r="Y9" s="72"/>
      <c r="Z9" s="129">
        <f>IFERROR(IF(OR(S_R="OFF",Z3=""),"",SUMIFS(T_OD[AMOUNT BEFORE TAX],T_OD[ORDER TYPE],"PURCHASE",T_OD[ORDER DATE],"&gt;"&amp;Y3,T_OD[ORDER DATE],"&lt;="&amp;Z3)),"")</f>
        <v>0</v>
      </c>
      <c r="AA9" s="129">
        <f>IFERROR(IF(OR(S_R="OFF",AA3=""),"",SUMIFS(T_OD[AMOUNT BEFORE TAX],T_OD[ORDER TYPE],"PURCHASE",T_OD[ORDER DATE],"&gt;"&amp;Z3,T_OD[ORDER DATE],"&lt;="&amp;AA3)),"")</f>
        <v>0</v>
      </c>
      <c r="AB9" s="129" t="str">
        <f>IFERROR(IF(OR(S_R="OFF",AB3=""),"",SUMIFS(T_OD[AMOUNT BEFORE TAX],T_OD[ORDER TYPE],"PURCHASE",T_OD[ORDER DATE],"&gt;"&amp;AA3,T_OD[ORDER DATE],"&lt;="&amp;AB3)),"")</f>
        <v/>
      </c>
      <c r="AC9" s="129" t="str">
        <f>IFERROR(IF(OR(S_R="OFF",AC3=""),"",SUMIFS(T_OD[AMOUNT BEFORE TAX],T_OD[ORDER TYPE],"PURCHASE",T_OD[ORDER DATE],"&gt;"&amp;AB3,T_OD[ORDER DATE],"&lt;="&amp;AC3)),"")</f>
        <v/>
      </c>
      <c r="AD9" s="129" t="str">
        <f>IFERROR(IF(OR(S_R="OFF",AD3=""),"",SUMIFS(T_OD[AMOUNT BEFORE TAX],T_OD[ORDER TYPE],"PURCHASE",T_OD[ORDER DATE],"&gt;"&amp;AC3,T_OD[ORDER DATE],"&lt;="&amp;AD3)),"")</f>
        <v/>
      </c>
      <c r="AE9" s="129" t="str">
        <f>IFERROR(IF(OR(S_R="OFF",AE3=""),"",SUMIFS(T_OD[AMOUNT BEFORE TAX],T_OD[ORDER TYPE],"PURCHASE",T_OD[ORDER DATE],"&gt;"&amp;AD3,T_OD[ORDER DATE],"&lt;="&amp;AE3)),"")</f>
        <v/>
      </c>
      <c r="AF9" s="129" t="str">
        <f>IFERROR(IF(OR(S_R="OFF",AF3=""),"",SUMIFS(T_OD[AMOUNT BEFORE TAX],T_OD[ORDER TYPE],"PURCHASE",T_OD[ORDER DATE],"&gt;"&amp;AE3,T_OD[ORDER DATE],"&lt;="&amp;AF3)),"")</f>
        <v/>
      </c>
      <c r="AG9" s="129" t="str">
        <f>IFERROR(IF(OR(S_R="OFF",AG3=""),"",SUMIFS(T_OD[AMOUNT BEFORE TAX],T_OD[ORDER TYPE],"PURCHASE",T_OD[ORDER DATE],"&gt;"&amp;AF3,T_OD[ORDER DATE],"&lt;="&amp;AG3)),"")</f>
        <v/>
      </c>
      <c r="AH9" s="129" t="str">
        <f>IFERROR(IF(OR(S_R="OFF",AH3=""),"",SUMIFS(T_OD[AMOUNT BEFORE TAX],T_OD[ORDER TYPE],"PURCHASE",T_OD[ORDER DATE],"&gt;"&amp;AG3,T_OD[ORDER DATE],"&lt;="&amp;AH3)),"")</f>
        <v/>
      </c>
      <c r="AI9" s="129" t="str">
        <f>IFERROR(IF(OR(S_R="OFF",AI3=""),"",SUMIFS(T_OD[AMOUNT BEFORE TAX],T_OD[ORDER TYPE],"PURCHASE",T_OD[ORDER DATE],"&gt;"&amp;AH3,T_OD[ORDER DATE],"&lt;="&amp;AI3)),"")</f>
        <v/>
      </c>
      <c r="AJ9" s="129" t="str">
        <f>IFERROR(IF(OR(S_R="OFF",AJ3=""),"",SUMIFS(T_OD[AMOUNT BEFORE TAX],T_OD[ORDER TYPE],"PURCHASE",T_OD[ORDER DATE],"&gt;"&amp;AI3,T_OD[ORDER DATE],"&lt;="&amp;AJ3)),"")</f>
        <v/>
      </c>
      <c r="AK9" s="130" t="str">
        <f>IFERROR(IF(OR(S_R="OFF",AK3=""),"",SUMIFS(T_OD[AMOUNT BEFORE TAX],T_OD[ORDER TYPE],"PURCHASE",T_OD[ORDER DATE],"&gt;"&amp;AJ3,T_OD[ORDER DATE],"&lt;="&amp;AK3)),"")</f>
        <v/>
      </c>
      <c r="AL9" s="43"/>
      <c r="AM9" s="39"/>
      <c r="AN9" s="40"/>
      <c r="AO9" s="43"/>
      <c r="AP9" s="142">
        <v>5</v>
      </c>
      <c r="AQ9" s="134" t="str">
        <f>IFERROR(INDEX(T_PCS[CATEGORY],MATCH(AP9,T_PCS[SALES RNK],0)),"")</f>
        <v/>
      </c>
      <c r="AR9" s="135" t="str">
        <f>IFERROR(INDEX(T_PCS[SALES],MATCH(AP9,T_PCS[SALES RNK],0)),"")</f>
        <v/>
      </c>
      <c r="AS9" s="137" t="str">
        <f>IFERROR(AR9/SUM(T_PR[SALES]),"")</f>
        <v/>
      </c>
      <c r="AT9" s="41"/>
      <c r="AU9" s="41"/>
      <c r="AV9" s="142" t="str">
        <f>IFERROR(SMALL(T_PR[SALES RANK],5),"")</f>
        <v/>
      </c>
      <c r="AW9" s="176" t="str">
        <f ca="1">IFERROR(IF(AV8=AV9,MATCH(AV9,OFFSET(INDEX(T_PR[SALES RANK],AW8),1,0,ROWS(T_PR[SALES RANK])-AW8),0)+AW8,MATCH(AV9,T_PR[SALES RANK],0)),"")</f>
        <v/>
      </c>
      <c r="AX9" s="134" t="str">
        <f ca="1">IFERROR(IF(S_R="OFF","",INDEX(T_PR[NAME],AW9)),"")</f>
        <v/>
      </c>
      <c r="AY9" s="135" t="str">
        <f ca="1">IFERROR(IF(S_R="OFF","",INDEX(T_PR[SALES],AW9)),"")</f>
        <v/>
      </c>
      <c r="AZ9" s="137" t="str">
        <f ca="1">IFERROR(IF(S_R="OFF","",(AY9/SUM(T_PR[SALES]))),"")</f>
        <v/>
      </c>
      <c r="BA9" s="41"/>
      <c r="BB9" s="42"/>
      <c r="BC9" s="40"/>
      <c r="BD9" s="43"/>
      <c r="BE9" s="194">
        <f>IF(S_R="OFF","",SUMIFS(T_OD[AMOUNT BEFORE TAX],T_OD[ORDER TYPE],"SALE",T_OD[ORDER DATE],"&gt;="&amp;I_SD,T_OD[ORDER DATE],"&lt;="&amp;I_ED,T_OD[PRODUCT ID],I_RPR))</f>
        <v>0</v>
      </c>
      <c r="BF9" s="41"/>
      <c r="BG9" s="194">
        <f>IF(S_R="OFF","",SUMIFS(T_OD[AMOUNT BEFORE TAX],T_OD[ORDER TYPE],"PURCHASE",T_OD[ORDER DATE],"&gt;="&amp;I_SD,T_OD[ORDER DATE],"&lt;="&amp;I_ED,T_OD[PRODUCT ID],I_RPR))</f>
        <v>0</v>
      </c>
      <c r="BH9" s="41"/>
      <c r="BI9" s="45"/>
      <c r="BJ9" s="41"/>
      <c r="BK9" s="41"/>
      <c r="BL9" s="193" t="str">
        <f>IFERROR(INDEX(T_PR[INVENTORY TO COME],MATCH(I_RPR,T_PR[ID],0)),"")</f>
        <v/>
      </c>
      <c r="BM9" s="41"/>
      <c r="BN9" s="193" t="str">
        <f>IFERROR(INDEX(T_PR[TO ORDER],MATCH(I_RPR,T_PR[ID],0)),"")</f>
        <v/>
      </c>
      <c r="BO9" s="42"/>
      <c r="BP9" s="40"/>
      <c r="BQ9" s="43"/>
      <c r="BR9" s="142" t="str">
        <f>IFERROR(SMALL(T_PA[SALES RANK],5),"")</f>
        <v/>
      </c>
      <c r="BS9" s="176" t="str">
        <f ca="1">IFERROR(IF(BR8=BR9,MATCH(BR9,OFFSET(INDEX(T_PA[SALES RANK],BS8),1,0,ROWS(T_PA[SALES RANK])-BS8),0)+BS8,MATCH(BR9,T_PA[SALES RANK],0)),"")</f>
        <v/>
      </c>
      <c r="BT9" s="134" t="str">
        <f ca="1">IFERROR(INDEX(T_PA[NAME],BS9),"")</f>
        <v/>
      </c>
      <c r="BU9" s="135" t="str">
        <f ca="1">IFERROR(INDEX(T_PA[SALES],BS9),"")</f>
        <v/>
      </c>
      <c r="BV9" s="137" t="str">
        <f ca="1">IFERROR(BU9/SUM(T_PA[SALES]),"")</f>
        <v/>
      </c>
      <c r="BW9" s="78"/>
      <c r="BX9" s="78"/>
      <c r="BY9" s="78"/>
      <c r="BZ9" s="78"/>
      <c r="CA9" s="78"/>
      <c r="CB9" s="78"/>
      <c r="CC9" s="194">
        <f>IFERROR(IF(S_R="OFF","",SUMIFS(T_OD[AMOUNT BEFORE TAX],T_OD[ORDER TYPE],"SALE",T_OD[ORDER DATE],"&gt;="&amp;I_SD,T_OD[ORDER DATE],"&lt;="&amp;I_ED,T_OD[PARTNER],I_PA)),"")</f>
        <v>0</v>
      </c>
      <c r="CD9" s="78"/>
      <c r="CE9" s="194">
        <f>IFERROR(IF(S_R="OFF","",SUMIFS(T_OD[AMOUNT BEFORE TAX],T_OD[ORDER TYPE],"PURCHASE",T_OD[ORDER DATE],"&gt;="&amp;I_SD,T_OD[ORDER DATE],"&lt;="&amp;I_ED,T_OD[PARTNER],I_PA)),"")</f>
        <v>0</v>
      </c>
      <c r="CF9" s="78"/>
      <c r="CG9" s="78"/>
      <c r="CH9" s="42"/>
    </row>
    <row r="10" spans="1:89" ht="20.100000000000001" customHeight="1" x14ac:dyDescent="0.3">
      <c r="A10" s="81"/>
      <c r="B10" s="82"/>
      <c r="C10" s="198"/>
      <c r="E10" s="198"/>
      <c r="G10" s="198"/>
      <c r="H10" s="90"/>
      <c r="I10" s="40"/>
      <c r="J10" s="59"/>
      <c r="K10" s="41"/>
      <c r="L10" s="41"/>
      <c r="M10" s="41"/>
      <c r="N10" s="41"/>
      <c r="O10" s="194">
        <f>IF(S_R="OFF","",SUMIFS(T_OD[AMOUNT BEFORE TAX],T_OD[ORDER TYPE],"SALE",T_OD[ORDER DATE],"&gt;="&amp;I_SD,T_OD[ORDER DATE],"&lt;="&amp;I_ED))</f>
        <v>0</v>
      </c>
      <c r="P10" s="41"/>
      <c r="Q10" s="194">
        <f>IF(S_R="OFF","",SUMIFS(T_OD[AMOUNT BEFORE TAX],T_OD[ORDER TYPE],"PURCHASE",T_OD[ORDER DATE],"&gt;="&amp;I_SD,T_OD[ORDER DATE],"&lt;="&amp;I_ED))</f>
        <v>0</v>
      </c>
      <c r="R10" s="41"/>
      <c r="S10" s="41"/>
      <c r="T10" s="42"/>
      <c r="U10" s="40"/>
      <c r="V10" s="43"/>
      <c r="W10" s="43"/>
      <c r="X10" s="71" t="s">
        <v>99</v>
      </c>
      <c r="Y10" s="72"/>
      <c r="Z10" s="127">
        <f>IFERROR(IF(OR(S_R="OFF",Z3=""),"",ABS(SUMIFS(T_OD[QUANTITY],T_OD[ORDER TYPE],"SALE",T_OD[QUANTITY],"&lt;0",T_OD[ORDER DATE],"&gt;"&amp;Y3,T_OD[ORDER DATE],"&lt;="&amp;Z3))),"")</f>
        <v>0</v>
      </c>
      <c r="AA10" s="127">
        <f>IFERROR(IF(OR(S_R="OFF",AA3=""),"",ABS(SUMIFS(T_OD[QUANTITY],T_OD[ORDER TYPE],"SALE",T_OD[QUANTITY],"&lt;0",T_OD[ORDER DATE],"&gt;"&amp;Z3,T_OD[ORDER DATE],"&lt;="&amp;AA3))),"")</f>
        <v>0</v>
      </c>
      <c r="AB10" s="127" t="str">
        <f>IFERROR(IF(OR(S_R="OFF",AB3=""),"",ABS(SUMIFS(T_OD[QUANTITY],T_OD[ORDER TYPE],"SALE",T_OD[QUANTITY],"&lt;0",T_OD[ORDER DATE],"&gt;"&amp;AA3,T_OD[ORDER DATE],"&lt;="&amp;AB3))),"")</f>
        <v/>
      </c>
      <c r="AC10" s="127" t="str">
        <f>IFERROR(IF(OR(S_R="OFF",AC3=""),"",ABS(SUMIFS(T_OD[QUANTITY],T_OD[ORDER TYPE],"SALE",T_OD[QUANTITY],"&lt;0",T_OD[ORDER DATE],"&gt;"&amp;AB3,T_OD[ORDER DATE],"&lt;="&amp;AC3))),"")</f>
        <v/>
      </c>
      <c r="AD10" s="127" t="str">
        <f>IFERROR(IF(OR(S_R="OFF",AD3=""),"",ABS(SUMIFS(T_OD[QUANTITY],T_OD[ORDER TYPE],"SALE",T_OD[QUANTITY],"&lt;0",T_OD[ORDER DATE],"&gt;"&amp;AC3,T_OD[ORDER DATE],"&lt;="&amp;AD3))),"")</f>
        <v/>
      </c>
      <c r="AE10" s="127" t="str">
        <f>IFERROR(IF(OR(S_R="OFF",AE3=""),"",ABS(SUMIFS(T_OD[QUANTITY],T_OD[ORDER TYPE],"SALE",T_OD[QUANTITY],"&lt;0",T_OD[ORDER DATE],"&gt;"&amp;AD3,T_OD[ORDER DATE],"&lt;="&amp;AE3))),"")</f>
        <v/>
      </c>
      <c r="AF10" s="127" t="str">
        <f>IFERROR(IF(OR(S_R="OFF",AF3=""),"",ABS(SUMIFS(T_OD[QUANTITY],T_OD[ORDER TYPE],"SALE",T_OD[QUANTITY],"&lt;0",T_OD[ORDER DATE],"&gt;"&amp;AE3,T_OD[ORDER DATE],"&lt;="&amp;AF3))),"")</f>
        <v/>
      </c>
      <c r="AG10" s="127" t="str">
        <f>IFERROR(IF(OR(S_R="OFF",AG3=""),"",ABS(SUMIFS(T_OD[QUANTITY],T_OD[ORDER TYPE],"SALE",T_OD[QUANTITY],"&lt;0",T_OD[ORDER DATE],"&gt;"&amp;AF3,T_OD[ORDER DATE],"&lt;="&amp;AG3))),"")</f>
        <v/>
      </c>
      <c r="AH10" s="127" t="str">
        <f>IFERROR(IF(OR(S_R="OFF",AH3=""),"",ABS(SUMIFS(T_OD[QUANTITY],T_OD[ORDER TYPE],"SALE",T_OD[QUANTITY],"&lt;0",T_OD[ORDER DATE],"&gt;"&amp;AG3,T_OD[ORDER DATE],"&lt;="&amp;AH3))),"")</f>
        <v/>
      </c>
      <c r="AI10" s="127" t="str">
        <f>IFERROR(IF(OR(S_R="OFF",AI3=""),"",ABS(SUMIFS(T_OD[QUANTITY],T_OD[ORDER TYPE],"SALE",T_OD[QUANTITY],"&lt;0",T_OD[ORDER DATE],"&gt;"&amp;AH3,T_OD[ORDER DATE],"&lt;="&amp;AI3))),"")</f>
        <v/>
      </c>
      <c r="AJ10" s="127" t="str">
        <f>IFERROR(IF(OR(S_R="OFF",AJ3=""),"",ABS(SUMIFS(T_OD[QUANTITY],T_OD[ORDER TYPE],"SALE",T_OD[QUANTITY],"&lt;0",T_OD[ORDER DATE],"&gt;"&amp;AI3,T_OD[ORDER DATE],"&lt;="&amp;AJ3))),"")</f>
        <v/>
      </c>
      <c r="AK10" s="128" t="str">
        <f>IFERROR(IF(OR(S_R="OFF",AK3=""),"",ABS(SUMIFS(T_OD[QUANTITY],T_OD[ORDER TYPE],"SALE",T_OD[QUANTITY],"&lt;0",T_OD[ORDER DATE],"&gt;"&amp;AJ3,T_OD[ORDER DATE],"&lt;="&amp;AK3))),"")</f>
        <v/>
      </c>
      <c r="AL10" s="43"/>
      <c r="AM10" s="39"/>
      <c r="AN10" s="40"/>
      <c r="AO10" s="43"/>
      <c r="AP10" s="142">
        <v>6</v>
      </c>
      <c r="AQ10" s="134" t="str">
        <f>IFERROR(INDEX(T_PCS[CATEGORY],MATCH(AP10,T_PCS[SALES RNK],0)),"")</f>
        <v/>
      </c>
      <c r="AR10" s="135" t="str">
        <f>IFERROR(INDEX(T_PCS[SALES],MATCH(AP10,T_PCS[SALES RNK],0)),"")</f>
        <v/>
      </c>
      <c r="AS10" s="137" t="str">
        <f>IFERROR(AR10/SUM(T_PR[SALES]),"")</f>
        <v/>
      </c>
      <c r="AT10" s="41"/>
      <c r="AU10" s="41"/>
      <c r="AV10" s="142" t="str">
        <f>IFERROR(SMALL(T_PR[SALES RANK],6),"")</f>
        <v/>
      </c>
      <c r="AW10" s="176" t="str">
        <f ca="1">IFERROR(IF(AV9=AV10,MATCH(AV10,OFFSET(INDEX(T_PR[SALES RANK],AW9),1,0,ROWS(T_PR[SALES RANK])-AW9),0)+AW9,MATCH(AV10,T_PR[SALES RANK],0)),"")</f>
        <v/>
      </c>
      <c r="AX10" s="134" t="str">
        <f ca="1">IFERROR(IF(S_R="OFF","",INDEX(T_PR[NAME],AW10)),"")</f>
        <v/>
      </c>
      <c r="AY10" s="135" t="str">
        <f ca="1">IFERROR(IF(S_R="OFF","",INDEX(T_PR[SALES],AW10)),"")</f>
        <v/>
      </c>
      <c r="AZ10" s="137" t="str">
        <f ca="1">IFERROR(IF(S_R="OFF","",(AY10/SUM(T_PR[SALES]))),"")</f>
        <v/>
      </c>
      <c r="BA10" s="41"/>
      <c r="BB10" s="42"/>
      <c r="BC10" s="40"/>
      <c r="BD10" s="43"/>
      <c r="BE10" s="193"/>
      <c r="BF10" s="41"/>
      <c r="BG10" s="193"/>
      <c r="BH10" s="41"/>
      <c r="BI10" s="45"/>
      <c r="BJ10" s="41"/>
      <c r="BK10" s="41"/>
      <c r="BL10" s="193"/>
      <c r="BM10" s="41"/>
      <c r="BN10" s="193"/>
      <c r="BO10" s="42"/>
      <c r="BP10" s="40"/>
      <c r="BQ10" s="43"/>
      <c r="BR10" s="142" t="str">
        <f>IFERROR(SMALL(T_PA[SALES RANK],6),"")</f>
        <v/>
      </c>
      <c r="BS10" s="176" t="str">
        <f ca="1">IFERROR(IF(BR9=BR10,MATCH(BR10,OFFSET(INDEX(T_PA[SALES RANK],BS9),1,0,ROWS(T_PA[SALES RANK])-BS9),0)+BS9,MATCH(BR10,T_PA[SALES RANK],0)),"")</f>
        <v/>
      </c>
      <c r="BT10" s="134" t="str">
        <f ca="1">IFERROR(INDEX(T_PA[NAME],BS10),"")</f>
        <v/>
      </c>
      <c r="BU10" s="138" t="str">
        <f ca="1">IFERROR(INDEX(T_PA[SALES],BS10),"")</f>
        <v/>
      </c>
      <c r="BV10" s="137" t="str">
        <f ca="1">IFERROR(BU10/SUM(T_PA[SALES]),"")</f>
        <v/>
      </c>
      <c r="BW10" s="78"/>
      <c r="BX10" s="78"/>
      <c r="BY10" s="78"/>
      <c r="BZ10" s="78"/>
      <c r="CA10" s="78"/>
      <c r="CB10" s="78"/>
      <c r="CC10" s="193"/>
      <c r="CD10" s="78"/>
      <c r="CE10" s="193"/>
      <c r="CF10" s="78"/>
      <c r="CG10" s="78"/>
      <c r="CH10" s="42"/>
    </row>
    <row r="11" spans="1:89" ht="20.100000000000001" customHeight="1" x14ac:dyDescent="0.3">
      <c r="A11" s="81"/>
      <c r="B11" s="82"/>
      <c r="C11" s="88" t="s">
        <v>175</v>
      </c>
      <c r="E11" s="88" t="s">
        <v>155</v>
      </c>
      <c r="G11" s="88" t="s">
        <v>156</v>
      </c>
      <c r="H11" s="90"/>
      <c r="I11" s="40"/>
      <c r="J11" s="59" t="s">
        <v>40</v>
      </c>
      <c r="K11" s="41"/>
      <c r="L11" s="41"/>
      <c r="M11" s="41"/>
      <c r="N11" s="41"/>
      <c r="O11" s="193"/>
      <c r="P11" s="41"/>
      <c r="Q11" s="193"/>
      <c r="R11" s="41"/>
      <c r="S11" s="41"/>
      <c r="T11" s="42"/>
      <c r="U11" s="40"/>
      <c r="V11" s="43"/>
      <c r="W11" s="43"/>
      <c r="X11" s="92" t="s">
        <v>105</v>
      </c>
      <c r="Y11" s="93"/>
      <c r="Z11" s="131">
        <f>IFERROR(IF(OR(S_R="OFF",Z3=""),"",ABS(SUMIFS(T_OD[QUANTITY],T_OD[ORDER TYPE],"PURCHASE",T_OD[QUANTITY],"&lt;0",T_OD[ORDER DATE],"&gt;"&amp;Y3,T_OD[ORDER DATE],"&lt;="&amp;Z3))),"")</f>
        <v>0</v>
      </c>
      <c r="AA11" s="131">
        <f>IFERROR(IF(OR(S_R="OFF",AA3=""),"",ABS(SUMIFS(T_OD[QUANTITY],T_OD[ORDER TYPE],"PURCHASE",T_OD[QUANTITY],"&lt;0",T_OD[ORDER DATE],"&gt;"&amp;Z3,T_OD[ORDER DATE],"&lt;="&amp;AA3))),"")</f>
        <v>0</v>
      </c>
      <c r="AB11" s="131" t="str">
        <f>IFERROR(IF(OR(S_R="OFF",AB3=""),"",ABS(SUMIFS(T_OD[QUANTITY],T_OD[ORDER TYPE],"PURCHASE",T_OD[QUANTITY],"&lt;0",T_OD[ORDER DATE],"&gt;"&amp;AA3,T_OD[ORDER DATE],"&lt;="&amp;AB3))),"")</f>
        <v/>
      </c>
      <c r="AC11" s="131" t="str">
        <f>IFERROR(IF(OR(S_R="OFF",AC3=""),"",ABS(SUMIFS(T_OD[QUANTITY],T_OD[ORDER TYPE],"PURCHASE",T_OD[QUANTITY],"&lt;0",T_OD[ORDER DATE],"&gt;"&amp;AB3,T_OD[ORDER DATE],"&lt;="&amp;AC3))),"")</f>
        <v/>
      </c>
      <c r="AD11" s="131" t="str">
        <f>IFERROR(IF(OR(S_R="OFF",AD3=""),"",ABS(SUMIFS(T_OD[QUANTITY],T_OD[ORDER TYPE],"PURCHASE",T_OD[QUANTITY],"&lt;0",T_OD[ORDER DATE],"&gt;"&amp;AC3,T_OD[ORDER DATE],"&lt;="&amp;AD3))),"")</f>
        <v/>
      </c>
      <c r="AE11" s="131" t="str">
        <f>IFERROR(IF(OR(S_R="OFF",AE3=""),"",ABS(SUMIFS(T_OD[QUANTITY],T_OD[ORDER TYPE],"PURCHASE",T_OD[QUANTITY],"&lt;0",T_OD[ORDER DATE],"&gt;"&amp;AD3,T_OD[ORDER DATE],"&lt;="&amp;AE3))),"")</f>
        <v/>
      </c>
      <c r="AF11" s="131" t="str">
        <f>IFERROR(IF(OR(S_R="OFF",AF3=""),"",ABS(SUMIFS(T_OD[QUANTITY],T_OD[ORDER TYPE],"PURCHASE",T_OD[QUANTITY],"&lt;0",T_OD[ORDER DATE],"&gt;"&amp;AE3,T_OD[ORDER DATE],"&lt;="&amp;AF3))),"")</f>
        <v/>
      </c>
      <c r="AG11" s="131" t="str">
        <f>IFERROR(IF(OR(S_R="OFF",AG3=""),"",ABS(SUMIFS(T_OD[QUANTITY],T_OD[ORDER TYPE],"PURCHASE",T_OD[QUANTITY],"&lt;0",T_OD[ORDER DATE],"&gt;"&amp;AF3,T_OD[ORDER DATE],"&lt;="&amp;AG3))),"")</f>
        <v/>
      </c>
      <c r="AH11" s="131" t="str">
        <f>IFERROR(IF(OR(S_R="OFF",AH3=""),"",ABS(SUMIFS(T_OD[QUANTITY],T_OD[ORDER TYPE],"PURCHASE",T_OD[QUANTITY],"&lt;0",T_OD[ORDER DATE],"&gt;"&amp;AG3,T_OD[ORDER DATE],"&lt;="&amp;AH3))),"")</f>
        <v/>
      </c>
      <c r="AI11" s="131" t="str">
        <f>IFERROR(IF(OR(S_R="OFF",AI3=""),"",ABS(SUMIFS(T_OD[QUANTITY],T_OD[ORDER TYPE],"PURCHASE",T_OD[QUANTITY],"&lt;0",T_OD[ORDER DATE],"&gt;"&amp;AH3,T_OD[ORDER DATE],"&lt;="&amp;AI3))),"")</f>
        <v/>
      </c>
      <c r="AJ11" s="131" t="str">
        <f>IFERROR(IF(OR(S_R="OFF",AJ3=""),"",ABS(SUMIFS(T_OD[QUANTITY],T_OD[ORDER TYPE],"PURCHASE",T_OD[QUANTITY],"&lt;0",T_OD[ORDER DATE],"&gt;"&amp;AI3,T_OD[ORDER DATE],"&lt;="&amp;AJ3))),"")</f>
        <v/>
      </c>
      <c r="AK11" s="132" t="str">
        <f>IFERROR(IF(OR(S_R="OFF",AK3=""),"",ABS(SUMIFS(T_OD[QUANTITY],T_OD[ORDER TYPE],"PURCHASE",T_OD[QUANTITY],"&lt;0",T_OD[ORDER DATE],"&gt;"&amp;AJ3,T_OD[ORDER DATE],"&lt;="&amp;AK3))),"")</f>
        <v/>
      </c>
      <c r="AL11" s="43"/>
      <c r="AM11" s="39"/>
      <c r="AN11" s="40"/>
      <c r="AO11" s="43"/>
      <c r="AP11" s="142">
        <v>7</v>
      </c>
      <c r="AQ11" s="134" t="str">
        <f>IFERROR(INDEX(T_PCS[CATEGORY],MATCH(AP11,T_PCS[SALES RNK],0)),"")</f>
        <v/>
      </c>
      <c r="AR11" s="135" t="str">
        <f>IFERROR(INDEX(T_PCS[SALES],MATCH(AP11,T_PCS[SALES RNK],0)),"")</f>
        <v/>
      </c>
      <c r="AS11" s="137" t="str">
        <f>IFERROR(AR11/SUM(T_PR[SALES]),"")</f>
        <v/>
      </c>
      <c r="AT11" s="41"/>
      <c r="AU11" s="41"/>
      <c r="AV11" s="142" t="str">
        <f>IFERROR(SMALL(T_PR[SALES RANK],7),"")</f>
        <v/>
      </c>
      <c r="AW11" s="176" t="str">
        <f ca="1">IFERROR(IF(AV10=AV11,MATCH(AV11,OFFSET(INDEX(T_PR[SALES RANK],AW10),1,0,ROWS(T_PR[SALES RANK])-AW10),0)+AW10,MATCH(AV11,T_PR[SALES RANK],0)),"")</f>
        <v/>
      </c>
      <c r="AX11" s="134" t="str">
        <f ca="1">IFERROR(IF(S_R="OFF","",INDEX(T_PR[NAME],AW11)),"")</f>
        <v/>
      </c>
      <c r="AY11" s="135" t="str">
        <f ca="1">IFERROR(IF(S_R="OFF","",INDEX(T_PR[SALES],AW11)),"")</f>
        <v/>
      </c>
      <c r="AZ11" s="137" t="str">
        <f ca="1">IFERROR(IF(S_R="OFF","",(AY11/SUM(T_PR[SALES]))),"")</f>
        <v/>
      </c>
      <c r="BA11" s="41"/>
      <c r="BB11" s="42"/>
      <c r="BC11" s="40"/>
      <c r="BD11" s="43"/>
      <c r="BE11" s="88" t="s">
        <v>62</v>
      </c>
      <c r="BF11" s="89"/>
      <c r="BG11" s="88" t="s">
        <v>61</v>
      </c>
      <c r="BH11" s="89"/>
      <c r="BI11" s="45"/>
      <c r="BJ11" s="41"/>
      <c r="BK11" s="41"/>
      <c r="BL11" s="88" t="s">
        <v>155</v>
      </c>
      <c r="BM11" s="41"/>
      <c r="BN11" s="88" t="s">
        <v>78</v>
      </c>
      <c r="BO11" s="42"/>
      <c r="BP11" s="40"/>
      <c r="BQ11" s="61"/>
      <c r="BR11" s="142" t="str">
        <f>IFERROR(SMALL(T_PA[SALES RANK],7),"")</f>
        <v/>
      </c>
      <c r="BS11" s="176" t="str">
        <f ca="1">IFERROR(IF(BR10=BR11,MATCH(BR11,OFFSET(INDEX(T_PA[SALES RANK],BS10),1,0,ROWS(T_PA[SALES RANK])-BS10),0)+BS10,MATCH(BR11,T_PA[SALES RANK],0)),"")</f>
        <v/>
      </c>
      <c r="BT11" s="134" t="str">
        <f ca="1">IFERROR(INDEX(T_PA[NAME],BS11),"")</f>
        <v/>
      </c>
      <c r="BU11" s="138" t="str">
        <f ca="1">IFERROR(INDEX(T_PA[SALES],BS11),"")</f>
        <v/>
      </c>
      <c r="BV11" s="137" t="str">
        <f ca="1">IFERROR(BU11/SUM(T_PA[SALES]),"")</f>
        <v/>
      </c>
      <c r="BW11" s="78"/>
      <c r="BX11" s="78"/>
      <c r="BY11" s="78"/>
      <c r="BZ11" s="78"/>
      <c r="CA11" s="78"/>
      <c r="CB11" s="78"/>
      <c r="CC11" s="88" t="s">
        <v>62</v>
      </c>
      <c r="CD11" s="78"/>
      <c r="CE11" s="88" t="s">
        <v>61</v>
      </c>
      <c r="CF11" s="78"/>
      <c r="CG11" s="78"/>
      <c r="CH11" s="42"/>
    </row>
    <row r="12" spans="1:89" ht="20.100000000000001" customHeight="1" x14ac:dyDescent="0.3">
      <c r="A12" s="81"/>
      <c r="B12" s="82"/>
      <c r="H12" s="90"/>
      <c r="I12" s="40"/>
      <c r="J12" s="41"/>
      <c r="K12" s="41"/>
      <c r="L12" s="41"/>
      <c r="M12" s="41"/>
      <c r="N12" s="41"/>
      <c r="O12" s="88" t="s">
        <v>62</v>
      </c>
      <c r="P12" s="89"/>
      <c r="Q12" s="88" t="s">
        <v>61</v>
      </c>
      <c r="R12" s="41"/>
      <c r="S12" s="41"/>
      <c r="T12" s="42"/>
      <c r="U12" s="40"/>
      <c r="V12" s="43"/>
      <c r="W12" s="43"/>
      <c r="X12" s="177"/>
      <c r="Y12" s="72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43"/>
      <c r="AM12" s="39"/>
      <c r="AN12" s="40"/>
      <c r="AO12" s="43"/>
      <c r="AP12" s="142">
        <v>8</v>
      </c>
      <c r="AQ12" s="134" t="str">
        <f>IFERROR(INDEX(T_PCS[CATEGORY],MATCH(AP12,T_PCS[SALES RNK],0)),"")</f>
        <v/>
      </c>
      <c r="AR12" s="135" t="str">
        <f>IFERROR(INDEX(T_PCS[SALES],MATCH(AP12,T_PCS[SALES RNK],0)),"")</f>
        <v/>
      </c>
      <c r="AS12" s="137" t="str">
        <f>IFERROR(AR12/SUM(T_PR[SALES]),"")</f>
        <v/>
      </c>
      <c r="AT12" s="41"/>
      <c r="AU12" s="41"/>
      <c r="AV12" s="142" t="str">
        <f>IFERROR(SMALL(T_PR[SALES RANK],8),"")</f>
        <v/>
      </c>
      <c r="AW12" s="176" t="str">
        <f ca="1">IFERROR(IF(AV11=AV12,MATCH(AV12,OFFSET(INDEX(T_PR[SALES RANK],AW11),1,0,ROWS(T_PR[SALES RANK])-AW11),0)+AW11,MATCH(AV12,T_PR[SALES RANK],0)),"")</f>
        <v/>
      </c>
      <c r="AX12" s="134" t="str">
        <f ca="1">IFERROR(IF(S_R="OFF","",INDEX(T_PR[NAME],AW12)),"")</f>
        <v/>
      </c>
      <c r="AY12" s="135" t="str">
        <f ca="1">IFERROR(IF(S_R="OFF","",INDEX(T_PR[SALES],AW12)),"")</f>
        <v/>
      </c>
      <c r="AZ12" s="137" t="str">
        <f ca="1">IFERROR(IF(S_R="OFF","",(AY12/SUM(T_PR[SALES]))),"")</f>
        <v/>
      </c>
      <c r="BA12" s="41"/>
      <c r="BB12" s="42"/>
      <c r="BC12" s="40"/>
      <c r="BD12" s="43"/>
      <c r="BE12" s="193">
        <f>IF(S_R="OFF","",ABS(SUMIFS(T_OD[QUANTITY],T_OD[ORDER TYPE],"SALE",T_OD[QUANTITY],"&lt;0",T_OD[ORDER DATE],"&gt;="&amp;I_SD,T_OD[ORDER DATE],"&lt;="&amp;I_ED,T_OD[PRODUCT ID],I_RPR)))</f>
        <v>0</v>
      </c>
      <c r="BF12" s="41"/>
      <c r="BG12" s="193">
        <f>IF(S_R="OFF","",ABS(SUMIFS(T_OD[QUANTITY],T_OD[ORDER TYPE],"PURCHASE",T_OD[QUANTITY],"&lt;0",T_OD[ORDER DATE],"&gt;="&amp;I_SD,T_OD[ORDER DATE],"&lt;="&amp;I_ED,T_OD[PRODUCT ID],I_RPR)))</f>
        <v>0</v>
      </c>
      <c r="BH12" s="41"/>
      <c r="BI12" s="45"/>
      <c r="BJ12" s="41"/>
      <c r="BK12" s="41"/>
      <c r="BL12" s="193" t="str">
        <f>IFERROR(INDEX(T_PR[INVENTORY TO GO],MATCH(I_RPR,T_PR[ID],0)),"")</f>
        <v/>
      </c>
      <c r="BM12" s="41"/>
      <c r="BN12" s="41"/>
      <c r="BO12" s="42"/>
      <c r="BP12" s="40"/>
      <c r="BQ12" s="43"/>
      <c r="BR12" s="142" t="str">
        <f>IFERROR(SMALL(T_PA[SALES RANK],8),"")</f>
        <v/>
      </c>
      <c r="BS12" s="176" t="str">
        <f ca="1">IFERROR(IF(BR11=BR12,MATCH(BR12,OFFSET(INDEX(T_PA[SALES RANK],BS11),1,0,ROWS(T_PA[SALES RANK])-BS11),0)+BS11,MATCH(BR12,T_PA[SALES RANK],0)),"")</f>
        <v/>
      </c>
      <c r="BT12" s="134" t="str">
        <f ca="1">IFERROR(INDEX(T_PA[NAME],BS12),"")</f>
        <v/>
      </c>
      <c r="BU12" s="138" t="str">
        <f ca="1">IFERROR(INDEX(T_PA[SALES],BS12),"")</f>
        <v/>
      </c>
      <c r="BV12" s="137" t="str">
        <f ca="1">IFERROR(BU12/SUM(T_PA[SALES]),"")</f>
        <v/>
      </c>
      <c r="BW12" s="78"/>
      <c r="BX12" s="78"/>
      <c r="BY12" s="78"/>
      <c r="BZ12" s="78"/>
      <c r="CA12" s="78"/>
      <c r="CB12" s="78"/>
      <c r="CC12" s="193">
        <f>IFERROR(IF(S_R="OFF","",ABS(SUMIFS(T_OD[QUANTITY],T_OD[ORDER TYPE],"SALE",T_OD[QUANTITY],"&lt;0",T_OD[ORDER DATE],"&gt;="&amp;I_SD,T_OD[ORDER DATE],"&lt;="&amp;I_ED,T_OD[PARTNER],I_PA))),"")</f>
        <v>0</v>
      </c>
      <c r="CD12" s="78"/>
      <c r="CE12" s="193">
        <f>IFERROR(IF(S_R="OFF","",ABS(SUMIFS(T_OD[QUANTITY],T_OD[ORDER TYPE],"PURCHASE",T_OD[QUANTITY],"&lt;0",T_OD[ORDER DATE],"&gt;="&amp;I_SD,T_OD[ORDER DATE],"&lt;="&amp;I_ED,T_OD[PARTNER],I_PA))),"")</f>
        <v>0</v>
      </c>
      <c r="CF12" s="78"/>
      <c r="CG12" s="78"/>
      <c r="CH12" s="42"/>
    </row>
    <row r="13" spans="1:89" ht="20.100000000000001" customHeight="1" x14ac:dyDescent="0.3">
      <c r="A13" s="81"/>
      <c r="B13" s="82"/>
      <c r="H13" s="57"/>
      <c r="I13" s="40"/>
      <c r="J13" s="91" t="s">
        <v>96</v>
      </c>
      <c r="K13" s="41"/>
      <c r="L13" s="41"/>
      <c r="M13" s="41"/>
      <c r="N13" s="41"/>
      <c r="O13" s="194">
        <f>IF(S_R="OFF","",SUMIFS(T_OD[TAX],T_OD[ORDER TYPE],"SALE",T_OD[ORDER DATE],"&gt;="&amp;I_SD,T_OD[ORDER DATE],"&lt;="&amp;I_ED))</f>
        <v>0</v>
      </c>
      <c r="P13" s="41"/>
      <c r="Q13" s="194">
        <f>IF(S_R="OFF","",SUMIFS(T_OD[TAX],T_OD[ORDER TYPE],"PURCHASE",T_OD[ORDER DATE],"&gt;="&amp;I_SD,T_OD[ORDER DATE],"&lt;="&amp;I_ED))</f>
        <v>0</v>
      </c>
      <c r="R13" s="41"/>
      <c r="S13" s="41"/>
      <c r="T13" s="42"/>
      <c r="U13" s="40"/>
      <c r="V13" s="43"/>
      <c r="W13" s="43"/>
      <c r="X13" s="177"/>
      <c r="Y13" s="72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43"/>
      <c r="AM13" s="39"/>
      <c r="AN13" s="40"/>
      <c r="AO13" s="43"/>
      <c r="AP13" s="142">
        <v>9</v>
      </c>
      <c r="AQ13" s="134" t="str">
        <f>IFERROR(INDEX(T_PCS[CATEGORY],MATCH(AP13,T_PCS[SALES RNK],0)),"")</f>
        <v/>
      </c>
      <c r="AR13" s="135" t="str">
        <f>IFERROR(INDEX(T_PCS[SALES],MATCH(AP13,T_PCS[SALES RNK],0)),"")</f>
        <v/>
      </c>
      <c r="AS13" s="137" t="str">
        <f>IFERROR(AR13/SUM(T_PR[SALES]),"")</f>
        <v/>
      </c>
      <c r="AT13" s="41"/>
      <c r="AU13" s="41"/>
      <c r="AV13" s="142" t="str">
        <f>IFERROR(SMALL(T_PR[SALES RANK],9),"")</f>
        <v/>
      </c>
      <c r="AW13" s="176" t="str">
        <f ca="1">IFERROR(IF(AV12=AV13,MATCH(AV13,OFFSET(INDEX(T_PR[SALES RANK],AW12),1,0,ROWS(T_PR[SALES RANK])-AW12),0)+AW12,MATCH(AV13,T_PR[SALES RANK],0)),"")</f>
        <v/>
      </c>
      <c r="AX13" s="134" t="str">
        <f ca="1">IFERROR(IF(S_R="OFF","",INDEX(T_PR[NAME],AW13)),"")</f>
        <v/>
      </c>
      <c r="AY13" s="135" t="str">
        <f ca="1">IFERROR(IF(S_R="OFF","",INDEX(T_PR[SALES],AW13)),"")</f>
        <v/>
      </c>
      <c r="AZ13" s="137" t="str">
        <f ca="1">IFERROR(IF(S_R="OFF","",(AY13/SUM(T_PR[SALES]))),"")</f>
        <v/>
      </c>
      <c r="BA13" s="41"/>
      <c r="BB13" s="42"/>
      <c r="BC13" s="40"/>
      <c r="BD13" s="43"/>
      <c r="BE13" s="193"/>
      <c r="BF13" s="41"/>
      <c r="BG13" s="193"/>
      <c r="BH13" s="41"/>
      <c r="BI13" s="45"/>
      <c r="BJ13" s="41"/>
      <c r="BK13" s="41"/>
      <c r="BL13" s="193"/>
      <c r="BM13" s="41"/>
      <c r="BN13" s="41"/>
      <c r="BO13" s="42"/>
      <c r="BP13" s="40"/>
      <c r="BQ13" s="43"/>
      <c r="BR13" s="142" t="str">
        <f>IFERROR(SMALL(T_PA[SALES RANK],9),"")</f>
        <v/>
      </c>
      <c r="BS13" s="176" t="str">
        <f ca="1">IFERROR(IF(BR12=BR13,MATCH(BR13,OFFSET(INDEX(T_PA[SALES RANK],BS12),1,0,ROWS(T_PA[SALES RANK])-BS12),0)+BS12,MATCH(BR13,T_PA[SALES RANK],0)),"")</f>
        <v/>
      </c>
      <c r="BT13" s="134" t="str">
        <f ca="1">IFERROR(INDEX(T_PA[NAME],BS13),"")</f>
        <v/>
      </c>
      <c r="BU13" s="138" t="str">
        <f ca="1">IFERROR(INDEX(T_PA[SALES],BS13),"")</f>
        <v/>
      </c>
      <c r="BV13" s="137" t="str">
        <f ca="1">IFERROR(BU13/SUM(T_PA[SALES]),"")</f>
        <v/>
      </c>
      <c r="BW13" s="78"/>
      <c r="BX13" s="78"/>
      <c r="BY13" s="78"/>
      <c r="BZ13" s="78"/>
      <c r="CA13" s="78"/>
      <c r="CB13" s="78"/>
      <c r="CC13" s="193"/>
      <c r="CD13" s="78"/>
      <c r="CE13" s="193"/>
      <c r="CF13" s="78"/>
      <c r="CG13" s="78"/>
      <c r="CH13" s="42"/>
    </row>
    <row r="14" spans="1:89" ht="20.100000000000001" customHeight="1" x14ac:dyDescent="0.3">
      <c r="A14" s="94"/>
      <c r="B14" s="56"/>
      <c r="C14" s="56"/>
      <c r="D14" s="56"/>
      <c r="E14" s="56"/>
      <c r="F14" s="56"/>
      <c r="G14" s="56"/>
      <c r="H14" s="57"/>
      <c r="I14" s="40"/>
      <c r="J14" s="95" t="s">
        <v>152</v>
      </c>
      <c r="K14" s="41"/>
      <c r="L14" s="41"/>
      <c r="M14" s="41"/>
      <c r="N14" s="41"/>
      <c r="O14" s="193"/>
      <c r="P14" s="41"/>
      <c r="Q14" s="193"/>
      <c r="R14" s="41"/>
      <c r="S14" s="41"/>
      <c r="T14" s="42"/>
      <c r="U14" s="40"/>
      <c r="V14" s="43"/>
      <c r="W14" s="43"/>
      <c r="X14" s="60" t="s">
        <v>106</v>
      </c>
      <c r="AG14" s="99" t="s">
        <v>42</v>
      </c>
      <c r="AH14" s="204" t="s">
        <v>101</v>
      </c>
      <c r="AI14" s="204"/>
      <c r="AJ14" s="204"/>
      <c r="AK14" s="204"/>
      <c r="AL14" s="43"/>
      <c r="AM14" s="39"/>
      <c r="AN14" s="40"/>
      <c r="AO14" s="43"/>
      <c r="AP14" s="142">
        <v>10</v>
      </c>
      <c r="AQ14" s="134" t="str">
        <f>IFERROR(INDEX(T_PCS[CATEGORY],MATCH(AP14,T_PCS[SALES RNK],0)),"")</f>
        <v/>
      </c>
      <c r="AR14" s="135" t="str">
        <f>IFERROR(INDEX(T_PCS[SALES],MATCH(AP14,T_PCS[SALES RNK],0)),"")</f>
        <v/>
      </c>
      <c r="AS14" s="137" t="str">
        <f>IFERROR(AR14/SUM(T_PR[SALES]),"")</f>
        <v/>
      </c>
      <c r="AT14" s="41"/>
      <c r="AU14" s="41"/>
      <c r="AV14" s="142" t="str">
        <f>IFERROR(SMALL(T_PR[SALES RANK],10),"")</f>
        <v/>
      </c>
      <c r="AW14" s="176" t="str">
        <f ca="1">IFERROR(IF(AV13=AV14,MATCH(AV14,OFFSET(INDEX(T_PR[SALES RANK],AW13),1,0,ROWS(T_PR[SALES RANK])-AW13),0)+AW13,MATCH(AV14,T_PR[SALES RANK],0)),"")</f>
        <v/>
      </c>
      <c r="AX14" s="134" t="str">
        <f ca="1">IFERROR(IF(S_R="OFF","",INDEX(T_PR[NAME],AW14)),"")</f>
        <v/>
      </c>
      <c r="AY14" s="135" t="str">
        <f ca="1">IFERROR(IF(S_R="OFF","",INDEX(T_PR[SALES],AW14)),"")</f>
        <v/>
      </c>
      <c r="AZ14" s="137" t="str">
        <f ca="1">IFERROR(IF(S_R="OFF","",(AY14/SUM(T_PR[SALES]))),"")</f>
        <v/>
      </c>
      <c r="BA14" s="41"/>
      <c r="BB14" s="42"/>
      <c r="BC14" s="40"/>
      <c r="BD14" s="43"/>
      <c r="BE14" s="88" t="s">
        <v>39</v>
      </c>
      <c r="BF14" s="89"/>
      <c r="BG14" s="88" t="s">
        <v>58</v>
      </c>
      <c r="BH14" s="89"/>
      <c r="BI14" s="45"/>
      <c r="BJ14" s="41"/>
      <c r="BK14" s="41"/>
      <c r="BL14" s="88" t="s">
        <v>156</v>
      </c>
      <c r="BM14" s="41"/>
      <c r="BN14" s="41"/>
      <c r="BO14" s="42"/>
      <c r="BP14" s="40"/>
      <c r="BQ14" s="43"/>
      <c r="BR14" s="142" t="str">
        <f>IFERROR(SMALL(T_PA[SALES RANK],10),"")</f>
        <v/>
      </c>
      <c r="BS14" s="176" t="str">
        <f ca="1">IFERROR(IF(BR13=BR14,MATCH(BR14,OFFSET(INDEX(T_PA[SALES RANK],BS13),1,0,ROWS(T_PA[SALES RANK])-BS13),0)+BS13,MATCH(BR14,T_PA[SALES RANK],0)),"")</f>
        <v/>
      </c>
      <c r="BT14" s="134" t="str">
        <f ca="1">IFERROR(INDEX(T_PA[NAME],BS14),"")</f>
        <v/>
      </c>
      <c r="BU14" s="138" t="str">
        <f ca="1">IFERROR(INDEX(T_PA[SALES],BS14),"")</f>
        <v/>
      </c>
      <c r="BV14" s="137" t="str">
        <f ca="1">IFERROR(BU14/SUM(T_PA[SALES]),"")</f>
        <v/>
      </c>
      <c r="BW14" s="78"/>
      <c r="BX14" s="78"/>
      <c r="BY14" s="78"/>
      <c r="BZ14" s="78"/>
      <c r="CA14" s="78"/>
      <c r="CB14" s="78"/>
      <c r="CC14" s="88" t="s">
        <v>39</v>
      </c>
      <c r="CD14" s="78"/>
      <c r="CE14" s="88" t="s">
        <v>58</v>
      </c>
      <c r="CF14" s="78"/>
      <c r="CG14" s="78"/>
      <c r="CH14" s="42"/>
    </row>
    <row r="15" spans="1:89" ht="20.100000000000001" customHeight="1" x14ac:dyDescent="0.3">
      <c r="A15" s="203"/>
      <c r="B15" s="96"/>
      <c r="C15" s="56"/>
      <c r="D15" s="56"/>
      <c r="E15" s="56"/>
      <c r="F15" s="56"/>
      <c r="G15" s="56"/>
      <c r="H15" s="57"/>
      <c r="I15" s="40"/>
      <c r="J15" s="41"/>
      <c r="K15" s="41"/>
      <c r="L15" s="41"/>
      <c r="M15" s="41"/>
      <c r="N15" s="41"/>
      <c r="O15" s="88" t="s">
        <v>38</v>
      </c>
      <c r="P15" s="89"/>
      <c r="Q15" s="88" t="s">
        <v>35</v>
      </c>
      <c r="R15" s="41"/>
      <c r="S15" s="41"/>
      <c r="T15" s="42"/>
      <c r="U15" s="40"/>
      <c r="V15" s="43"/>
      <c r="W15" s="43"/>
      <c r="X15" s="43"/>
      <c r="AL15" s="43"/>
      <c r="AM15" s="39"/>
      <c r="AN15" s="40"/>
      <c r="AO15" s="43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0"/>
      <c r="BD15" s="43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2"/>
      <c r="BP15" s="40"/>
      <c r="BQ15" s="43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/>
      <c r="CC15"/>
      <c r="CD15"/>
      <c r="CE15"/>
      <c r="CF15" s="41"/>
      <c r="CG15" s="41"/>
      <c r="CH15" s="42"/>
    </row>
    <row r="16" spans="1:89" ht="20.100000000000001" customHeight="1" x14ac:dyDescent="0.3">
      <c r="A16" s="203"/>
      <c r="B16" s="97"/>
      <c r="C16" s="198">
        <f>IFERROR(COUNTIF(T_PR[TO ORDER],"YES"),"")</f>
        <v>0</v>
      </c>
      <c r="D16" s="56"/>
      <c r="E16" s="198">
        <f>IFERROR(COUNTIF(T_PR[INVENTORY ON HAND],"&gt;0"),"")</f>
        <v>0</v>
      </c>
      <c r="F16" s="98"/>
      <c r="G16" s="197">
        <f>IFERROR(SUM(T_PR[INVENTORY VALUE]),"")</f>
        <v>0</v>
      </c>
      <c r="H16" s="57"/>
      <c r="I16" s="40"/>
      <c r="J16" s="41"/>
      <c r="K16" s="41"/>
      <c r="L16" s="41"/>
      <c r="M16" s="41"/>
      <c r="N16" s="41"/>
      <c r="O16" s="193">
        <f>IF(S_R="OFF","",ABS(SUMIFS(T_OD[QUANTITY],T_OD[ORDER TYPE],"SALE",T_OD[QUANTITY],"&lt;0",T_OD[ORDER DATE],"&gt;="&amp;I_SD,T_OD[ORDER DATE],"&lt;="&amp;I_ED)))</f>
        <v>0</v>
      </c>
      <c r="P16" s="41"/>
      <c r="Q16" s="193">
        <f>IF(S_R="OFF","",ABS(SUMIFS(T_OD[QUANTITY],T_OD[ORDER TYPE],"PURCHASE",T_OD[QUANTITY],"&lt;0",T_OD[ORDER DATE],"&gt;="&amp;I_SD,T_OD[ORDER DATE],"&lt;="&amp;I_ED)))</f>
        <v>0</v>
      </c>
      <c r="R16" s="41"/>
      <c r="S16" s="41"/>
      <c r="T16" s="42"/>
      <c r="U16" s="40"/>
      <c r="V16" s="43"/>
      <c r="W16" s="43"/>
      <c r="Y16" s="140" t="str">
        <f>I_M</f>
        <v>Sales Amount</v>
      </c>
      <c r="Z16" s="141">
        <f t="shared" ref="Z16:AK16" si="2">IFERROR(CHOOSE(MATCH(I_M,$X$4:$X$11,0),Z4,Z5,Z6,Z7,Z8,Z9,Z10,Z11),"")</f>
        <v>0</v>
      </c>
      <c r="AA16" s="141">
        <f t="shared" si="2"/>
        <v>0</v>
      </c>
      <c r="AB16" s="141" t="str">
        <f t="shared" si="2"/>
        <v/>
      </c>
      <c r="AC16" s="141" t="str">
        <f t="shared" si="2"/>
        <v/>
      </c>
      <c r="AD16" s="141" t="str">
        <f t="shared" si="2"/>
        <v/>
      </c>
      <c r="AE16" s="141" t="str">
        <f t="shared" si="2"/>
        <v/>
      </c>
      <c r="AF16" s="141" t="str">
        <f t="shared" si="2"/>
        <v/>
      </c>
      <c r="AG16" s="141" t="str">
        <f t="shared" si="2"/>
        <v/>
      </c>
      <c r="AH16" s="141" t="str">
        <f t="shared" si="2"/>
        <v/>
      </c>
      <c r="AI16" s="141" t="str">
        <f t="shared" si="2"/>
        <v/>
      </c>
      <c r="AJ16" s="141" t="str">
        <f t="shared" si="2"/>
        <v/>
      </c>
      <c r="AK16" s="141" t="str">
        <f t="shared" si="2"/>
        <v/>
      </c>
      <c r="AL16" s="45"/>
      <c r="AM16" s="39"/>
      <c r="AN16" s="40"/>
      <c r="AO16" s="43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0"/>
      <c r="BD16" s="43"/>
      <c r="BE16" s="196" t="s">
        <v>68</v>
      </c>
      <c r="BF16" s="196"/>
      <c r="BG16" s="196"/>
      <c r="BH16" s="41"/>
      <c r="BI16" s="41"/>
      <c r="BJ16" s="41"/>
      <c r="BK16" s="41"/>
      <c r="BL16" s="41"/>
      <c r="BM16" s="41"/>
      <c r="BN16" s="41"/>
      <c r="BO16" s="42"/>
      <c r="BP16" s="40"/>
      <c r="BQ16" s="43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/>
      <c r="CC16"/>
      <c r="CD16"/>
      <c r="CE16"/>
      <c r="CF16" s="41"/>
      <c r="CG16" s="41"/>
      <c r="CH16" s="42"/>
    </row>
    <row r="17" spans="1:86" ht="20.100000000000001" customHeight="1" x14ac:dyDescent="0.3">
      <c r="A17" s="100"/>
      <c r="B17" s="97"/>
      <c r="C17" s="198"/>
      <c r="D17"/>
      <c r="E17" s="198"/>
      <c r="F17"/>
      <c r="G17" s="197"/>
      <c r="H17" s="57"/>
      <c r="I17" s="40"/>
      <c r="J17" s="41"/>
      <c r="K17" s="41"/>
      <c r="L17" s="41"/>
      <c r="M17" s="41"/>
      <c r="N17" s="41"/>
      <c r="O17" s="193"/>
      <c r="P17" s="41"/>
      <c r="Q17" s="193"/>
      <c r="R17" s="41"/>
      <c r="S17" s="41"/>
      <c r="T17" s="42"/>
      <c r="U17" s="40"/>
      <c r="V17" s="43"/>
      <c r="W17" s="43"/>
      <c r="X17" s="41"/>
      <c r="AL17" s="45"/>
      <c r="AM17" s="39"/>
      <c r="AN17" s="40"/>
      <c r="AO17" s="43"/>
      <c r="AP17" s="46"/>
      <c r="AQ17" s="45"/>
      <c r="AR17" s="45"/>
      <c r="AS17" s="46"/>
      <c r="AT17" s="41"/>
      <c r="AU17" s="41"/>
      <c r="AV17" s="41"/>
      <c r="AW17" s="41"/>
      <c r="AX17" s="41"/>
      <c r="AY17" s="41"/>
      <c r="AZ17" s="41"/>
      <c r="BA17" s="41"/>
      <c r="BB17" s="42"/>
      <c r="BC17" s="40"/>
      <c r="BD17" s="43"/>
      <c r="BE17" s="101" t="s">
        <v>65</v>
      </c>
      <c r="BF17" s="102"/>
      <c r="BG17" s="101" t="s">
        <v>66</v>
      </c>
      <c r="BH17" s="41"/>
      <c r="BI17" s="41"/>
      <c r="BJ17" s="41"/>
      <c r="BK17" s="41"/>
      <c r="BL17" s="41"/>
      <c r="BM17" s="41"/>
      <c r="BN17" s="41"/>
      <c r="BO17" s="42"/>
      <c r="BP17" s="40"/>
      <c r="BQ17" s="103"/>
      <c r="BR17" s="51"/>
      <c r="BS17" s="51"/>
      <c r="BT17" s="45"/>
      <c r="BU17" s="45"/>
      <c r="BV17" s="51"/>
      <c r="BW17" s="51"/>
      <c r="BX17" s="51"/>
      <c r="BY17" s="51"/>
      <c r="BZ17" s="51"/>
      <c r="CA17" s="51"/>
      <c r="CB17"/>
      <c r="CC17"/>
      <c r="CD17"/>
      <c r="CE17"/>
      <c r="CF17" s="51"/>
      <c r="CG17" s="51"/>
      <c r="CH17" s="54"/>
    </row>
    <row r="18" spans="1:86" ht="20.100000000000001" customHeight="1" x14ac:dyDescent="0.3">
      <c r="A18" s="104"/>
      <c r="B18" s="105"/>
      <c r="C18" s="198"/>
      <c r="D18"/>
      <c r="E18" s="198"/>
      <c r="F18"/>
      <c r="G18" s="197"/>
      <c r="H18" s="57"/>
      <c r="I18" s="40"/>
      <c r="J18" s="41"/>
      <c r="K18" s="41"/>
      <c r="L18" s="41"/>
      <c r="M18" s="41"/>
      <c r="N18" s="41"/>
      <c r="O18" s="88" t="s">
        <v>39</v>
      </c>
      <c r="P18" s="89"/>
      <c r="Q18" s="88" t="s">
        <v>58</v>
      </c>
      <c r="R18" s="41"/>
      <c r="S18" s="41"/>
      <c r="T18" s="42"/>
      <c r="U18" s="40"/>
      <c r="V18" s="43"/>
      <c r="W18" s="43"/>
      <c r="X18" s="43"/>
      <c r="AL18" s="43"/>
      <c r="AM18" s="39"/>
      <c r="AN18" s="40"/>
      <c r="AO18" s="43"/>
      <c r="AP18" s="196" t="s">
        <v>74</v>
      </c>
      <c r="AQ18" s="196"/>
      <c r="AR18" s="196"/>
      <c r="AS18" s="196"/>
      <c r="AT18" s="41"/>
      <c r="AU18" s="41"/>
      <c r="AV18" s="196" t="s">
        <v>75</v>
      </c>
      <c r="AW18" s="196"/>
      <c r="AX18" s="196"/>
      <c r="AY18" s="196"/>
      <c r="AZ18" s="196"/>
      <c r="BA18" s="41"/>
      <c r="BB18" s="42"/>
      <c r="BC18" s="40"/>
      <c r="BD18" s="43"/>
      <c r="BE18" s="146">
        <f>Y3</f>
        <v>43830</v>
      </c>
      <c r="BF18" s="30"/>
      <c r="BG18" s="106"/>
      <c r="BH18" s="41"/>
      <c r="BI18" s="41"/>
      <c r="BJ18" s="41"/>
      <c r="BK18" s="41"/>
      <c r="BL18" s="41"/>
      <c r="BM18" s="41"/>
      <c r="BN18" s="41"/>
      <c r="BO18" s="42"/>
      <c r="BP18" s="40"/>
      <c r="BQ18" s="43"/>
      <c r="BR18" s="196" t="s">
        <v>171</v>
      </c>
      <c r="BS18" s="196"/>
      <c r="BT18" s="196"/>
      <c r="BU18" s="196"/>
      <c r="BV18" s="196"/>
      <c r="BW18" s="41"/>
      <c r="BX18" s="41"/>
      <c r="BY18" s="41"/>
      <c r="BZ18" s="41"/>
      <c r="CA18" s="41"/>
      <c r="CB18"/>
      <c r="CC18"/>
      <c r="CD18"/>
      <c r="CE18"/>
      <c r="CF18" s="41"/>
      <c r="CG18" s="41"/>
      <c r="CH18" s="42"/>
    </row>
    <row r="19" spans="1:86" ht="20.100000000000001" customHeight="1" x14ac:dyDescent="0.3">
      <c r="A19" s="107"/>
      <c r="B19" s="56"/>
      <c r="C19" s="198"/>
      <c r="D19" s="56"/>
      <c r="E19" s="198"/>
      <c r="F19" s="56"/>
      <c r="G19" s="197"/>
      <c r="H19" s="57"/>
      <c r="I19" s="40"/>
      <c r="J19" s="41"/>
      <c r="K19" s="41"/>
      <c r="L19" s="41"/>
      <c r="M19" s="41"/>
      <c r="N19" s="41"/>
      <c r="O19" s="194">
        <f>IF(S_R="OFF","",SUMPRODUCT(T_OD[UNIT DISCOUNT]*T_OD[QUANTITY]*--(T_OD[ORDER TYPE]="SALE")*--(T_OD[ORDER DATE]&gt;=I_SD)*--(T_OD[ORDER DATE]&lt;=I_ED))+SUMIFS(T_O[ORDER DISCOUNT],T_O[ORDER TYPE],"SALE",T_O[ORDER DATE],"&gt;="&amp;I_SD,T_O[ORDER DATE],"&lt;="&amp;I_ED))</f>
        <v>0</v>
      </c>
      <c r="P19" s="41"/>
      <c r="Q19"/>
      <c r="R19" s="41"/>
      <c r="S19" s="41"/>
      <c r="T19" s="42"/>
      <c r="U19" s="40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39"/>
      <c r="AN19" s="40"/>
      <c r="AO19" s="43"/>
      <c r="AP19" s="65" t="s">
        <v>47</v>
      </c>
      <c r="AQ19" s="65" t="s">
        <v>71</v>
      </c>
      <c r="AR19" s="133" t="str">
        <f>I_MP</f>
        <v>QUANTITY</v>
      </c>
      <c r="AS19" s="65" t="s">
        <v>59</v>
      </c>
      <c r="AT19" s="41"/>
      <c r="AU19" s="41"/>
      <c r="AV19" s="65" t="s">
        <v>47</v>
      </c>
      <c r="AW19" s="65"/>
      <c r="AX19" s="65" t="s">
        <v>17</v>
      </c>
      <c r="AY19" s="133" t="str">
        <f>I_MP</f>
        <v>QUANTITY</v>
      </c>
      <c r="AZ19" s="65" t="s">
        <v>59</v>
      </c>
      <c r="BA19" s="41"/>
      <c r="BB19" s="42"/>
      <c r="BC19" s="40"/>
      <c r="BD19" s="43"/>
      <c r="BE19" s="147">
        <f>Z3</f>
        <v>43861</v>
      </c>
      <c r="BF19" s="41"/>
      <c r="BG19" s="149">
        <f>IFERROR(IF(OR(BE19="",S_R="OFF"),"",SUMIFS(T_OD[QUANTITY],T_OD[ORDER TYPE],"SALE",T_OD[PRODUCT ID],I_RPR,T_OD[ORDER DATE],"&gt;"&amp;BE18,T_OD[ORDER DATE],"&lt;="&amp;BE19)),"")</f>
        <v>0</v>
      </c>
      <c r="BH19" s="41"/>
      <c r="BI19" s="41"/>
      <c r="BJ19" s="41"/>
      <c r="BK19" s="41"/>
      <c r="BL19" s="41"/>
      <c r="BM19" s="41"/>
      <c r="BN19" s="41"/>
      <c r="BO19" s="42"/>
      <c r="BP19" s="40"/>
      <c r="BQ19" s="43"/>
      <c r="BR19" s="65" t="s">
        <v>47</v>
      </c>
      <c r="BS19" s="175" t="s">
        <v>182</v>
      </c>
      <c r="BT19" s="65" t="s">
        <v>0</v>
      </c>
      <c r="BU19" s="65" t="s">
        <v>49</v>
      </c>
      <c r="BV19" s="65" t="s">
        <v>59</v>
      </c>
      <c r="BW19" s="41"/>
      <c r="BX19" s="41"/>
      <c r="BY19" s="41"/>
      <c r="BZ19" s="41"/>
      <c r="CA19" s="41"/>
      <c r="CB19"/>
      <c r="CC19"/>
      <c r="CD19"/>
      <c r="CE19"/>
      <c r="CF19" s="41"/>
      <c r="CG19" s="41"/>
      <c r="CH19" s="42"/>
    </row>
    <row r="20" spans="1:86" ht="20.100000000000001" customHeight="1" x14ac:dyDescent="0.3">
      <c r="A20" s="94"/>
      <c r="B20" s="56"/>
      <c r="C20" s="198"/>
      <c r="D20" s="56"/>
      <c r="E20" s="198"/>
      <c r="F20" s="56"/>
      <c r="G20" s="197"/>
      <c r="H20" s="57"/>
      <c r="I20" s="40"/>
      <c r="J20" s="41"/>
      <c r="K20" s="41"/>
      <c r="L20" s="41"/>
      <c r="M20" s="41"/>
      <c r="N20" s="41"/>
      <c r="O20" s="193"/>
      <c r="P20" s="41"/>
      <c r="Q20"/>
      <c r="R20" s="41"/>
      <c r="S20" s="41"/>
      <c r="T20" s="42"/>
      <c r="U20" s="40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40"/>
      <c r="AO20" s="43"/>
      <c r="AP20" s="142">
        <f>IFERROR(MAX(T_PCS[SALES RNK]),"")</f>
        <v>2</v>
      </c>
      <c r="AQ20" s="134">
        <f>IFERROR(INDEX(T_PCS[CATEGORY],MATCH(AP20,T_PCS[SALES RNK],0)),"")</f>
        <v>0</v>
      </c>
      <c r="AR20" s="135">
        <f>IFERROR(INDEX(T_PCS[SALES],MATCH(AP20,T_PCS[SALES RNK],0)),"")</f>
        <v>0</v>
      </c>
      <c r="AS20" s="143" t="str">
        <f>IFERROR(AR20/SUM(T_PR[SALES]),"")</f>
        <v/>
      </c>
      <c r="AT20" s="41"/>
      <c r="AU20" s="41"/>
      <c r="AV20" s="142" t="str">
        <f>IFERROR(LARGE(T_PR[SALES RANK],1),"")</f>
        <v/>
      </c>
      <c r="AW20" s="176" t="str">
        <f ca="1">IFERROR(IF(AV19=AV20,MATCH(AV20,OFFSET(INDEX(T_PR[SALES RANK],AW19),1,0,ROWS(T_PR[SALES RANK])-AW19),0)+AW19,MATCH(AV20,T_PR[SALES RANK],0)),"")</f>
        <v/>
      </c>
      <c r="AX20" s="134" t="str">
        <f ca="1">IFERROR(IF(S_R="OFF","",INDEX(T_PR[NAME],AW20)),"")</f>
        <v/>
      </c>
      <c r="AY20" s="135" t="str">
        <f ca="1">IFERROR(IF(S_R="OFF","",INDEX(T_PR[SALES],AW20)),"")</f>
        <v/>
      </c>
      <c r="AZ20" s="143" t="str">
        <f ca="1">IFERROR(IF(S_R="OFF","",(AY20/SUM(T_PR[SALES]))),"")</f>
        <v/>
      </c>
      <c r="BA20" s="41"/>
      <c r="BB20" s="42"/>
      <c r="BC20" s="40"/>
      <c r="BD20" s="43"/>
      <c r="BE20" s="147">
        <f>AA3</f>
        <v>43866</v>
      </c>
      <c r="BF20" s="41"/>
      <c r="BG20" s="149">
        <f>IFERROR(IF(OR(BE20="",S_R="OFF"),"",SUMIFS(T_OD[QUANTITY],T_OD[ORDER TYPE],"SALE",T_OD[PRODUCT ID],I_RPR,T_OD[ORDER DATE],"&gt;"&amp;BE19,T_OD[ORDER DATE],"&lt;="&amp;BE20)),"")</f>
        <v>0</v>
      </c>
      <c r="BH20" s="41"/>
      <c r="BI20" s="41"/>
      <c r="BJ20" s="41"/>
      <c r="BK20" s="41"/>
      <c r="BL20" s="41"/>
      <c r="BM20" s="41"/>
      <c r="BN20" s="41"/>
      <c r="BO20" s="42"/>
      <c r="BP20" s="40"/>
      <c r="BQ20" s="43"/>
      <c r="BR20" s="142">
        <f>IFERROR(SMALL(T_PA[PURCHASE RANK],1),"")</f>
        <v>1</v>
      </c>
      <c r="BS20" s="176">
        <f ca="1">IFERROR(IF(BR19=BR20,MATCH(BR20,OFFSET(INDEX(T_PA[PURCHASE RANK],BS19),1,0,ROWS(T_PA[PURCHASE RANK])-BS19),0)+BS19,MATCH(BR20,T_PA[PURCHASE RANK],0)),"")</f>
        <v>1</v>
      </c>
      <c r="BT20" s="134">
        <f ca="1">IFERROR(INDEX(T_PA[NAME],BS20),"")</f>
        <v>0</v>
      </c>
      <c r="BU20" s="138">
        <f ca="1">IFERROR(INDEX(T_PA[PURCHASES],BS20),"")</f>
        <v>0</v>
      </c>
      <c r="BV20" s="145" t="str">
        <f ca="1">IFERROR(BU20/SUM(T_PA[PURCHASES]),"")</f>
        <v/>
      </c>
      <c r="BW20" s="41"/>
      <c r="BX20" s="41"/>
      <c r="BY20" s="41"/>
      <c r="BZ20" s="41"/>
      <c r="CA20" s="41"/>
      <c r="CB20"/>
      <c r="CC20"/>
      <c r="CD20"/>
      <c r="CE20"/>
      <c r="CF20" s="41"/>
      <c r="CG20" s="41"/>
      <c r="CH20" s="42"/>
    </row>
    <row r="21" spans="1:86" ht="20.100000000000001" customHeight="1" x14ac:dyDescent="0.3">
      <c r="A21" s="94"/>
      <c r="B21" s="56"/>
      <c r="C21" s="198"/>
      <c r="D21" s="56"/>
      <c r="E21" s="198"/>
      <c r="F21" s="56"/>
      <c r="G21" s="197"/>
      <c r="H21" s="57"/>
      <c r="I21" s="40"/>
      <c r="J21" s="41"/>
      <c r="K21" s="41"/>
      <c r="L21" s="41"/>
      <c r="M21" s="41"/>
      <c r="N21" s="41"/>
      <c r="O21" s="88" t="s">
        <v>37</v>
      </c>
      <c r="P21" s="41"/>
      <c r="Q21"/>
      <c r="R21" s="41"/>
      <c r="S21" s="41"/>
      <c r="T21" s="42"/>
      <c r="U21" s="40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39"/>
      <c r="AN21" s="40"/>
      <c r="AO21" s="43"/>
      <c r="AP21" s="142">
        <f t="shared" ref="AP21:AP29" si="3">IFERROR(IF(AP20-1&lt;=0," ",AP20-1)," ")</f>
        <v>1</v>
      </c>
      <c r="AQ21" s="134">
        <f>IFERROR(INDEX(T_PCS[CATEGORY],MATCH(AP21,T_PCS[SALES RNK],0)),"")</f>
        <v>0</v>
      </c>
      <c r="AR21" s="135">
        <f>IFERROR(INDEX(T_PCS[SALES],MATCH(AP21,T_PCS[SALES RNK],0)),"")</f>
        <v>0</v>
      </c>
      <c r="AS21" s="144" t="str">
        <f>IFERROR(AR21/SUM(T_PR[SALES]),"")</f>
        <v/>
      </c>
      <c r="AT21" s="41"/>
      <c r="AU21" s="41"/>
      <c r="AV21" s="142" t="str">
        <f>IFERROR(LARGE(T_PR[SALES RANK],2),"")</f>
        <v/>
      </c>
      <c r="AW21" s="142" t="str">
        <f ca="1">IFERROR(IF(AV20=AV21,MATCH(AV21,OFFSET(INDEX(T_PR[SALES RANK],AW20),1,0,ROWS(T_PR[SALES RANK])-AW20),0)+AW20,MATCH(AV21,T_PR[SALES RANK],0)),"")</f>
        <v/>
      </c>
      <c r="AX21" s="134" t="str">
        <f ca="1">IFERROR(IF(S_R="OFF","",INDEX(T_PR[NAME],AW21)),"")</f>
        <v/>
      </c>
      <c r="AY21" s="135" t="str">
        <f ca="1">IFERROR(IF(S_R="OFF","",INDEX(T_PR[SALES],AW21)),"")</f>
        <v/>
      </c>
      <c r="AZ21" s="144" t="str">
        <f ca="1">IFERROR(IF(S_R="OFF","",(AY21/SUM(T_PR[SALES]))),"")</f>
        <v/>
      </c>
      <c r="BA21" s="41"/>
      <c r="BB21" s="42"/>
      <c r="BC21" s="40"/>
      <c r="BD21" s="43"/>
      <c r="BE21" s="147" t="str">
        <f>AB3</f>
        <v/>
      </c>
      <c r="BF21" s="41"/>
      <c r="BG21" s="149" t="str">
        <f>IFERROR(IF(OR(BE21="",S_R="OFF"),"",SUMIFS(T_OD[QUANTITY],T_OD[ORDER TYPE],"SALE",T_OD[PRODUCT ID],I_RPR,T_OD[ORDER DATE],"&gt;"&amp;BE20,T_OD[ORDER DATE],"&lt;="&amp;BE21)),"")</f>
        <v/>
      </c>
      <c r="BH21" s="41"/>
      <c r="BI21" s="41"/>
      <c r="BJ21" s="41"/>
      <c r="BK21" s="41"/>
      <c r="BL21" s="41"/>
      <c r="BM21" s="41"/>
      <c r="BN21" s="41"/>
      <c r="BO21" s="42"/>
      <c r="BP21" s="40"/>
      <c r="BQ21" s="43"/>
      <c r="BR21" s="142" t="str">
        <f>IFERROR(SMALL(T_PA[PURCHASE RANK],2),"")</f>
        <v/>
      </c>
      <c r="BS21" s="176" t="str">
        <f ca="1">IFERROR(IF(BR20=BR21,MATCH(BR21,OFFSET(INDEX(T_PA[PURCHASE RANK],BS20),1,0,ROWS(T_PA[PURCHASE RANK])-BS20),0)+BS20,MATCH(BR21,T_PA[PURCHASE RANK],0)),"")</f>
        <v/>
      </c>
      <c r="BT21" s="134" t="str">
        <f ca="1">IFERROR(INDEX(T_PA[NAME],BS21),"")</f>
        <v/>
      </c>
      <c r="BU21" s="138" t="str">
        <f ca="1">IFERROR(INDEX(T_PA[PURCHASES],BS21),"")</f>
        <v/>
      </c>
      <c r="BV21" s="145" t="str">
        <f ca="1">IFERROR(BU21/SUM(T_PA[PURCHASES]),"")</f>
        <v/>
      </c>
      <c r="BW21" s="41"/>
      <c r="BX21" s="41"/>
      <c r="BY21" s="41"/>
      <c r="BZ21" s="41"/>
      <c r="CA21" s="41"/>
      <c r="CB21"/>
      <c r="CC21"/>
      <c r="CD21"/>
      <c r="CE21"/>
      <c r="CF21" s="41"/>
      <c r="CG21" s="41"/>
      <c r="CH21" s="42"/>
    </row>
    <row r="22" spans="1:86" ht="20.100000000000001" customHeight="1" x14ac:dyDescent="0.3">
      <c r="A22" s="94"/>
      <c r="B22" s="56"/>
      <c r="C22" s="88" t="s">
        <v>50</v>
      </c>
      <c r="D22" s="87"/>
      <c r="E22" s="88" t="s">
        <v>87</v>
      </c>
      <c r="F22" s="87"/>
      <c r="G22" s="88" t="s">
        <v>52</v>
      </c>
      <c r="H22" s="57"/>
      <c r="I22" s="40"/>
      <c r="J22" s="41"/>
      <c r="K22" s="41"/>
      <c r="L22" s="41"/>
      <c r="M22" s="41"/>
      <c r="N22" s="41"/>
      <c r="O22" s="194">
        <f>IF(S_R="OFF","",SUMIFS(T_O[OTHER CHARGES],T_O[ORDER TYPE],"SALE",T_O[ORDER DATE],"&gt;="&amp;I_SD,T_O[ORDER DATE],"&lt;="&amp;I_ED))</f>
        <v>0</v>
      </c>
      <c r="Q22" s="194">
        <f>IF(S_R="OFF","",SUMIFS(T_O[OTHER CHARGES],T_O[ORDER TYPE],"PURCHASE",T_O[ORDER DATE],"&gt;="&amp;I_SD,T_O[ORDER DATE],"&lt;="&amp;I_ED))</f>
        <v>0</v>
      </c>
      <c r="R22" s="41"/>
      <c r="S22" s="41"/>
      <c r="T22" s="42"/>
      <c r="U22" s="40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L22" s="43"/>
      <c r="AM22" s="39"/>
      <c r="AN22" s="40"/>
      <c r="AO22" s="43"/>
      <c r="AP22" s="142" t="str">
        <f t="shared" si="3"/>
        <v xml:space="preserve"> </v>
      </c>
      <c r="AQ22" s="134" t="str">
        <f>IFERROR(INDEX(T_PCS[CATEGORY],MATCH(AP22,T_PCS[SALES RNK],0)),"")</f>
        <v/>
      </c>
      <c r="AR22" s="135" t="str">
        <f>IFERROR(INDEX(T_PCS[SALES],MATCH(AP22,T_PCS[SALES RNK],0)),"")</f>
        <v/>
      </c>
      <c r="AS22" s="144" t="str">
        <f>IFERROR(AR22/SUM(T_PR[SALES]),"")</f>
        <v/>
      </c>
      <c r="AT22" s="41"/>
      <c r="AU22" s="41"/>
      <c r="AV22" s="142" t="str">
        <f>IFERROR(LARGE(T_PR[SALES RANK],3),"")</f>
        <v/>
      </c>
      <c r="AW22" s="142" t="str">
        <f ca="1">IFERROR(IF(AV21=AV22,MATCH(AV22,OFFSET(INDEX(T_PR[SALES RANK],AW21),1,0,ROWS(T_PR[SALES RANK])-AW21),0)+AW21,MATCH(AV22,T_PR[SALES RANK],0)),"")</f>
        <v/>
      </c>
      <c r="AX22" s="134" t="str">
        <f ca="1">IFERROR(IF(S_R="OFF","",INDEX(T_PR[NAME],AW22)),"")</f>
        <v/>
      </c>
      <c r="AY22" s="135" t="str">
        <f ca="1">IFERROR(IF(S_R="OFF","",INDEX(T_PR[SALES],AW22)),"")</f>
        <v/>
      </c>
      <c r="AZ22" s="144" t="str">
        <f ca="1">IFERROR(IF(S_R="OFF","",(AY22/SUM(T_PR[SALES]))),"")</f>
        <v/>
      </c>
      <c r="BA22" s="41"/>
      <c r="BB22" s="42"/>
      <c r="BC22" s="40"/>
      <c r="BD22" s="43"/>
      <c r="BE22" s="147" t="str">
        <f>AC3</f>
        <v/>
      </c>
      <c r="BF22" s="41"/>
      <c r="BG22" s="149" t="str">
        <f>IFERROR(IF(OR(BE22="",S_R="OFF"),"",SUMIFS(T_OD[QUANTITY],T_OD[ORDER TYPE],"SALE",T_OD[PRODUCT ID],I_RPR,T_OD[ORDER DATE],"&gt;"&amp;BE21,T_OD[ORDER DATE],"&lt;="&amp;BE22)),"")</f>
        <v/>
      </c>
      <c r="BH22" s="41"/>
      <c r="BI22" s="41"/>
      <c r="BJ22" s="41"/>
      <c r="BK22" s="41"/>
      <c r="BL22" s="41"/>
      <c r="BM22" s="41"/>
      <c r="BN22" s="41"/>
      <c r="BO22" s="42"/>
      <c r="BP22" s="40"/>
      <c r="BQ22" s="43"/>
      <c r="BR22" s="142" t="str">
        <f>IFERROR(SMALL(T_PA[PURCHASE RANK],3),"")</f>
        <v/>
      </c>
      <c r="BS22" s="176" t="str">
        <f ca="1">IFERROR(IF(BR21=BR22,MATCH(BR22,OFFSET(INDEX(T_PA[PURCHASE RANK],BS21),1,0,ROWS(T_PA[PURCHASE RANK])-BS21),0)+BS21,MATCH(BR22,T_PA[PURCHASE RANK],0)),"")</f>
        <v/>
      </c>
      <c r="BT22" s="134" t="str">
        <f ca="1">IFERROR(INDEX(T_PA[NAME],BS22),"")</f>
        <v/>
      </c>
      <c r="BU22" s="138" t="str">
        <f ca="1">IFERROR(INDEX(T_PA[PURCHASES],BS22),"")</f>
        <v/>
      </c>
      <c r="BV22" s="145" t="str">
        <f ca="1">IFERROR(BU22/SUM(T_PA[PURCHASES]),"")</f>
        <v/>
      </c>
      <c r="BW22" s="41"/>
      <c r="BX22" s="41"/>
      <c r="BY22" s="41"/>
      <c r="BZ22" s="41"/>
      <c r="CA22" s="41"/>
      <c r="CB22"/>
      <c r="CC22"/>
      <c r="CD22"/>
      <c r="CE22"/>
      <c r="CF22" s="41"/>
      <c r="CG22" s="41"/>
      <c r="CH22" s="42"/>
    </row>
    <row r="23" spans="1:86" ht="20.100000000000001" customHeight="1" x14ac:dyDescent="0.3">
      <c r="A23" s="108"/>
      <c r="B23" s="109"/>
      <c r="C23"/>
      <c r="D23"/>
      <c r="E23"/>
      <c r="F23"/>
      <c r="G23"/>
      <c r="H23" s="57"/>
      <c r="I23" s="40"/>
      <c r="J23" s="41"/>
      <c r="K23" s="41"/>
      <c r="L23" s="41"/>
      <c r="M23" s="41"/>
      <c r="N23" s="41"/>
      <c r="O23" s="193"/>
      <c r="Q23" s="193"/>
      <c r="R23" s="41"/>
      <c r="S23" s="41"/>
      <c r="T23" s="42"/>
      <c r="U23" s="40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9"/>
      <c r="AN23" s="40"/>
      <c r="AO23" s="43"/>
      <c r="AP23" s="142" t="str">
        <f t="shared" si="3"/>
        <v xml:space="preserve"> </v>
      </c>
      <c r="AQ23" s="134" t="str">
        <f>IFERROR(INDEX(T_PCS[CATEGORY],MATCH(AP23,T_PCS[SALES RNK],0)),"")</f>
        <v/>
      </c>
      <c r="AR23" s="135" t="str">
        <f>IFERROR(INDEX(T_PCS[SALES],MATCH(AP23,T_PCS[SALES RNK],0)),"")</f>
        <v/>
      </c>
      <c r="AS23" s="144" t="str">
        <f>IFERROR(AR23/SUM(T_PR[SALES]),"")</f>
        <v/>
      </c>
      <c r="AT23" s="41"/>
      <c r="AU23" s="41"/>
      <c r="AV23" s="142" t="str">
        <f>IFERROR(LARGE(T_PR[SALES RANK],4),"")</f>
        <v/>
      </c>
      <c r="AW23" s="142" t="str">
        <f ca="1">IFERROR(IF(AV22=AV23,MATCH(AV23,OFFSET(INDEX(T_PR[SALES RANK],AW22),1,0,ROWS(T_PR[SALES RANK])-AW22),0)+AW22,MATCH(AV23,T_PR[SALES RANK],0)),"")</f>
        <v/>
      </c>
      <c r="AX23" s="134" t="str">
        <f ca="1">IFERROR(IF(S_R="OFF","",INDEX(T_PR[NAME],AW23)),"")</f>
        <v/>
      </c>
      <c r="AY23" s="135" t="str">
        <f ca="1">IFERROR(IF(S_R="OFF","",INDEX(T_PR[SALES],AW23)),"")</f>
        <v/>
      </c>
      <c r="AZ23" s="144" t="str">
        <f ca="1">IFERROR(IF(S_R="OFF","",(AY23/SUM(T_PR[SALES]))),"")</f>
        <v/>
      </c>
      <c r="BA23" s="41"/>
      <c r="BB23" s="42"/>
      <c r="BC23" s="40"/>
      <c r="BD23" s="43"/>
      <c r="BE23" s="147" t="str">
        <f>AD3</f>
        <v/>
      </c>
      <c r="BF23" s="41"/>
      <c r="BG23" s="149" t="str">
        <f>IFERROR(IF(OR(BE23="",S_R="OFF"),"",SUMIFS(T_OD[QUANTITY],T_OD[ORDER TYPE],"SALE",T_OD[PRODUCT ID],I_RPR,T_OD[ORDER DATE],"&gt;"&amp;BE22,T_OD[ORDER DATE],"&lt;="&amp;BE23)),"")</f>
        <v/>
      </c>
      <c r="BH23" s="41"/>
      <c r="BI23" s="41"/>
      <c r="BJ23" s="41"/>
      <c r="BK23" s="41"/>
      <c r="BL23" s="41"/>
      <c r="BM23" s="41"/>
      <c r="BN23" s="41"/>
      <c r="BO23" s="42"/>
      <c r="BP23" s="40"/>
      <c r="BQ23" s="43"/>
      <c r="BR23" s="142" t="str">
        <f>IFERROR(SMALL(T_PA[PURCHASE RANK],4),"")</f>
        <v/>
      </c>
      <c r="BS23" s="176" t="str">
        <f ca="1">IFERROR(IF(BR22=BR23,MATCH(BR23,OFFSET(INDEX(T_PA[PURCHASE RANK],BS22),1,0,ROWS(T_PA[PURCHASE RANK])-BS22),0)+BS22,MATCH(BR23,T_PA[PURCHASE RANK],0)),"")</f>
        <v/>
      </c>
      <c r="BT23" s="134" t="str">
        <f ca="1">IFERROR(INDEX(T_PA[NAME],BS23),"")</f>
        <v/>
      </c>
      <c r="BU23" s="138" t="str">
        <f ca="1">IFERROR(INDEX(T_PA[PURCHASES],BS23),"")</f>
        <v/>
      </c>
      <c r="BV23" s="145" t="str">
        <f ca="1">IFERROR(BU23/SUM(T_PA[PURCHASES]),"")</f>
        <v/>
      </c>
      <c r="BW23" s="41"/>
      <c r="BX23" s="41"/>
      <c r="BY23" s="41"/>
      <c r="BZ23" s="41"/>
      <c r="CA23" s="41"/>
      <c r="CB23"/>
      <c r="CC23"/>
      <c r="CD23"/>
      <c r="CE23"/>
      <c r="CF23" s="41"/>
      <c r="CG23" s="41"/>
      <c r="CH23" s="42"/>
    </row>
    <row r="24" spans="1:86" ht="20.100000000000001" customHeight="1" x14ac:dyDescent="0.3">
      <c r="A24" s="107"/>
      <c r="B24" s="56"/>
      <c r="C24"/>
      <c r="D24"/>
      <c r="E24"/>
      <c r="F24"/>
      <c r="G24"/>
      <c r="H24" s="57"/>
      <c r="I24" s="40"/>
      <c r="J24" s="41"/>
      <c r="K24" s="41"/>
      <c r="L24" s="41"/>
      <c r="M24" s="41"/>
      <c r="N24" s="41"/>
      <c r="O24" s="88" t="s">
        <v>180</v>
      </c>
      <c r="Q24" s="88" t="s">
        <v>180</v>
      </c>
      <c r="R24" s="41"/>
      <c r="S24" s="41"/>
      <c r="T24" s="42"/>
      <c r="U24" s="40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9"/>
      <c r="AN24" s="40"/>
      <c r="AO24" s="43"/>
      <c r="AP24" s="142" t="str">
        <f t="shared" si="3"/>
        <v xml:space="preserve"> </v>
      </c>
      <c r="AQ24" s="134" t="str">
        <f>IFERROR(INDEX(T_PCS[CATEGORY],MATCH(AP24,T_PCS[SALES RNK],0)),"")</f>
        <v/>
      </c>
      <c r="AR24" s="135" t="str">
        <f>IFERROR(INDEX(T_PCS[SALES],MATCH(AP24,T_PCS[SALES RNK],0)),"")</f>
        <v/>
      </c>
      <c r="AS24" s="144" t="str">
        <f>IFERROR(AR24/SUM(T_PR[SALES]),"")</f>
        <v/>
      </c>
      <c r="AT24" s="41"/>
      <c r="AU24" s="41"/>
      <c r="AV24" s="142" t="str">
        <f>IFERROR(LARGE(T_PR[SALES RANK],5),"")</f>
        <v/>
      </c>
      <c r="AW24" s="142" t="str">
        <f ca="1">IFERROR(IF(AV23=AV24,MATCH(AV24,OFFSET(INDEX(T_PR[SALES RANK],AW23),1,0,ROWS(T_PR[SALES RANK])-AW23),0)+AW23,MATCH(AV24,T_PR[SALES RANK],0)),"")</f>
        <v/>
      </c>
      <c r="AX24" s="134" t="str">
        <f ca="1">IFERROR(IF(S_R="OFF","",INDEX(T_PR[NAME],AW24)),"")</f>
        <v/>
      </c>
      <c r="AY24" s="135" t="str">
        <f ca="1">IFERROR(IF(S_R="OFF","",INDEX(T_PR[SALES],AW24)),"")</f>
        <v/>
      </c>
      <c r="AZ24" s="144" t="str">
        <f ca="1">IFERROR(IF(S_R="OFF","",(AY24/SUM(T_PR[SALES]))),"")</f>
        <v/>
      </c>
      <c r="BA24" s="41"/>
      <c r="BB24" s="42"/>
      <c r="BC24" s="40"/>
      <c r="BD24" s="43"/>
      <c r="BE24" s="147" t="str">
        <f>AE3</f>
        <v/>
      </c>
      <c r="BF24" s="41"/>
      <c r="BG24" s="149" t="str">
        <f>IFERROR(IF(OR(BE24="",S_R="OFF"),"",SUMIFS(T_OD[QUANTITY],T_OD[ORDER TYPE],"SALE",T_OD[PRODUCT ID],I_RPR,T_OD[ORDER DATE],"&gt;"&amp;BE23,T_OD[ORDER DATE],"&lt;="&amp;BE24)),"")</f>
        <v/>
      </c>
      <c r="BH24" s="41"/>
      <c r="BI24" s="41"/>
      <c r="BJ24" s="41"/>
      <c r="BK24" s="41"/>
      <c r="BL24" s="41"/>
      <c r="BM24" s="41"/>
      <c r="BN24" s="41"/>
      <c r="BO24" s="42"/>
      <c r="BP24" s="40"/>
      <c r="BQ24" s="43"/>
      <c r="BR24" s="142" t="str">
        <f>IFERROR(SMALL(T_PA[PURCHASE RANK],5),"")</f>
        <v/>
      </c>
      <c r="BS24" s="176" t="str">
        <f ca="1">IFERROR(IF(BR23=BR24,MATCH(BR24,OFFSET(INDEX(T_PA[PURCHASE RANK],BS23),1,0,ROWS(T_PA[PURCHASE RANK])-BS23),0)+BS23,MATCH(BR24,T_PA[PURCHASE RANK],0)),"")</f>
        <v/>
      </c>
      <c r="BT24" s="134" t="str">
        <f ca="1">IFERROR(INDEX(T_PA[NAME],BS24),"")</f>
        <v/>
      </c>
      <c r="BU24" s="138" t="str">
        <f ca="1">IFERROR(INDEX(T_PA[PURCHASES],BS24),"")</f>
        <v/>
      </c>
      <c r="BV24" s="145" t="str">
        <f ca="1">IFERROR(BU24/SUM(T_PA[PURCHASES]),"")</f>
        <v/>
      </c>
      <c r="BW24" s="41"/>
      <c r="BX24" s="41"/>
      <c r="BY24" s="41"/>
      <c r="BZ24" s="41"/>
      <c r="CA24" s="41"/>
      <c r="CB24"/>
      <c r="CC24"/>
      <c r="CD24"/>
      <c r="CE24"/>
      <c r="CF24" s="41"/>
      <c r="CG24" s="41"/>
      <c r="CH24" s="42"/>
    </row>
    <row r="25" spans="1:86" ht="20.100000000000001" customHeight="1" x14ac:dyDescent="0.3">
      <c r="A25" s="94"/>
      <c r="B25" s="56"/>
      <c r="C25"/>
      <c r="D25"/>
      <c r="E25"/>
      <c r="F25"/>
      <c r="G25"/>
      <c r="H25" s="57"/>
      <c r="I25" s="40"/>
      <c r="J25" s="41"/>
      <c r="K25" s="41"/>
      <c r="L25" s="41"/>
      <c r="M25" s="41"/>
      <c r="N25" s="41"/>
      <c r="R25" s="41"/>
      <c r="S25" s="41"/>
      <c r="T25" s="42"/>
      <c r="U25" s="40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39"/>
      <c r="AN25" s="40"/>
      <c r="AO25" s="43"/>
      <c r="AP25" s="142" t="str">
        <f t="shared" si="3"/>
        <v xml:space="preserve"> </v>
      </c>
      <c r="AQ25" s="134" t="str">
        <f>IFERROR(INDEX(T_PCS[CATEGORY],MATCH(AP25,T_PCS[SALES RNK],0)),"")</f>
        <v/>
      </c>
      <c r="AR25" s="135" t="str">
        <f>IFERROR(INDEX(T_PCS[SALES],MATCH(AP25,T_PCS[SALES RNK],0)),"")</f>
        <v/>
      </c>
      <c r="AS25" s="144" t="str">
        <f>IFERROR(AR25/SUM(T_PR[SALES]),"")</f>
        <v/>
      </c>
      <c r="AT25" s="41"/>
      <c r="AU25" s="41"/>
      <c r="AV25" s="142" t="str">
        <f>IFERROR(LARGE(T_PR[SALES RANK],6),"")</f>
        <v/>
      </c>
      <c r="AW25" s="142" t="str">
        <f ca="1">IFERROR(IF(AV24=AV25,MATCH(AV25,OFFSET(INDEX(T_PR[SALES RANK],AW24),1,0,ROWS(T_PR[SALES RANK])-AW24),0)+AW24,MATCH(AV25,T_PR[SALES RANK],0)),"")</f>
        <v/>
      </c>
      <c r="AX25" s="134" t="str">
        <f ca="1">IFERROR(IF(S_R="OFF","",INDEX(T_PR[NAME],AW25)),"")</f>
        <v/>
      </c>
      <c r="AY25" s="135" t="str">
        <f ca="1">IFERROR(IF(S_R="OFF","",INDEX(T_PR[SALES],AW25)),"")</f>
        <v/>
      </c>
      <c r="AZ25" s="144" t="str">
        <f ca="1">IFERROR(IF(S_R="OFF","",(AY25/SUM(T_PR[SALES]))),"")</f>
        <v/>
      </c>
      <c r="BA25" s="41"/>
      <c r="BB25" s="42"/>
      <c r="BC25" s="40"/>
      <c r="BD25" s="43"/>
      <c r="BE25" s="147" t="str">
        <f>AF3</f>
        <v/>
      </c>
      <c r="BF25" s="41"/>
      <c r="BG25" s="149" t="str">
        <f>IFERROR(IF(OR(BE25="",S_R="OFF"),"",SUMIFS(T_OD[QUANTITY],T_OD[ORDER TYPE],"SALE",T_OD[PRODUCT ID],I_RPR,T_OD[ORDER DATE],"&gt;"&amp;BE24,T_OD[ORDER DATE],"&lt;="&amp;BE25)),"")</f>
        <v/>
      </c>
      <c r="BH25" s="41"/>
      <c r="BI25" s="41"/>
      <c r="BJ25" s="41"/>
      <c r="BK25" s="41"/>
      <c r="BL25" s="41"/>
      <c r="BM25" s="41"/>
      <c r="BN25" s="41"/>
      <c r="BO25" s="42"/>
      <c r="BP25" s="40"/>
      <c r="BQ25" s="43"/>
      <c r="BR25" s="142" t="str">
        <f>IFERROR(SMALL(T_PA[PURCHASE RANK],6),"")</f>
        <v/>
      </c>
      <c r="BS25" s="176" t="str">
        <f ca="1">IFERROR(IF(BR24=BR25,MATCH(BR25,OFFSET(INDEX(T_PA[PURCHASE RANK],BS24),1,0,ROWS(T_PA[PURCHASE RANK])-BS24),0)+BS24,MATCH(BR25,T_PA[PURCHASE RANK],0)),"")</f>
        <v/>
      </c>
      <c r="BT25" s="134" t="str">
        <f ca="1">IFERROR(INDEX(T_PA[NAME],BS25),"")</f>
        <v/>
      </c>
      <c r="BU25" s="138" t="str">
        <f ca="1">IFERROR(INDEX(T_PA[PURCHASES],BS25),"")</f>
        <v/>
      </c>
      <c r="BV25" s="145" t="str">
        <f ca="1">IFERROR(BU25/SUM(T_PA[PURCHASES]),"")</f>
        <v/>
      </c>
      <c r="BW25" s="41"/>
      <c r="BX25" s="41"/>
      <c r="BY25" s="41"/>
      <c r="BZ25" s="41"/>
      <c r="CA25" s="41"/>
      <c r="CB25"/>
      <c r="CC25"/>
      <c r="CD25"/>
      <c r="CE25"/>
      <c r="CF25" s="41"/>
      <c r="CG25" s="41"/>
      <c r="CH25" s="42"/>
    </row>
    <row r="26" spans="1:86" ht="20.100000000000001" customHeight="1" x14ac:dyDescent="0.3">
      <c r="A26" s="94"/>
      <c r="B26" s="56"/>
      <c r="C26"/>
      <c r="D26"/>
      <c r="E26"/>
      <c r="F26"/>
      <c r="G26"/>
      <c r="H26" s="57"/>
      <c r="I26" s="40"/>
      <c r="J26" s="41"/>
      <c r="K26" s="41"/>
      <c r="L26" s="41"/>
      <c r="M26" s="41"/>
      <c r="N26" s="41"/>
      <c r="O26" s="205" t="s">
        <v>104</v>
      </c>
      <c r="P26" s="206"/>
      <c r="Q26" s="207"/>
      <c r="R26" s="41"/>
      <c r="S26" s="41"/>
      <c r="T26" s="42"/>
      <c r="U26" s="40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9"/>
      <c r="AN26" s="40"/>
      <c r="AO26" s="43"/>
      <c r="AP26" s="142" t="str">
        <f t="shared" si="3"/>
        <v xml:space="preserve"> </v>
      </c>
      <c r="AQ26" s="134" t="str">
        <f>IFERROR(INDEX(T_PCS[CATEGORY],MATCH(AP26,T_PCS[SALES RNK],0)),"")</f>
        <v/>
      </c>
      <c r="AR26" s="135" t="str">
        <f>IFERROR(INDEX(T_PCS[SALES],MATCH(AP26,T_PCS[SALES RNK],0)),"")</f>
        <v/>
      </c>
      <c r="AS26" s="144" t="str">
        <f>IFERROR(AR26/SUM(T_PR[SALES]),"")</f>
        <v/>
      </c>
      <c r="AT26" s="41"/>
      <c r="AU26" s="41"/>
      <c r="AV26" s="142" t="str">
        <f>IFERROR(LARGE(T_PR[SALES RANK],7),"")</f>
        <v/>
      </c>
      <c r="AW26" s="142" t="str">
        <f ca="1">IFERROR(IF(AV25=AV26,MATCH(AV26,OFFSET(INDEX(T_PR[SALES RANK],AW25),1,0,ROWS(T_PR[SALES RANK])-AW25),0)+AW25,MATCH(AV26,T_PR[SALES RANK],0)),"")</f>
        <v/>
      </c>
      <c r="AX26" s="134" t="str">
        <f ca="1">IFERROR(IF(S_R="OFF","",INDEX(T_PR[NAME],AW26)),"")</f>
        <v/>
      </c>
      <c r="AY26" s="135" t="str">
        <f ca="1">IFERROR(IF(S_R="OFF","",INDEX(T_PR[SALES],AW26)),"")</f>
        <v/>
      </c>
      <c r="AZ26" s="144" t="str">
        <f ca="1">IFERROR(IF(S_R="OFF","",(AY26/SUM(T_PR[SALES]))),"")</f>
        <v/>
      </c>
      <c r="BA26" s="41"/>
      <c r="BB26" s="42"/>
      <c r="BC26" s="40"/>
      <c r="BD26" s="43"/>
      <c r="BE26" s="147" t="str">
        <f>AG3</f>
        <v/>
      </c>
      <c r="BF26" s="41"/>
      <c r="BG26" s="149" t="str">
        <f>IFERROR(IF(OR(BE26="",S_R="OFF"),"",SUMIFS(T_OD[QUANTITY],T_OD[ORDER TYPE],"SALE",T_OD[PRODUCT ID],I_RPR,T_OD[ORDER DATE],"&gt;"&amp;BE25,T_OD[ORDER DATE],"&lt;="&amp;BE26)),"")</f>
        <v/>
      </c>
      <c r="BH26" s="41"/>
      <c r="BI26" s="41"/>
      <c r="BJ26" s="41"/>
      <c r="BK26" s="41"/>
      <c r="BL26" s="41"/>
      <c r="BM26" s="41"/>
      <c r="BN26" s="41"/>
      <c r="BO26" s="42"/>
      <c r="BP26" s="40"/>
      <c r="BQ26" s="43"/>
      <c r="BR26" s="142" t="str">
        <f>IFERROR(SMALL(T_PA[PURCHASE RANK],7),"")</f>
        <v/>
      </c>
      <c r="BS26" s="176" t="str">
        <f ca="1">IFERROR(IF(BR25=BR26,MATCH(BR26,OFFSET(INDEX(T_PA[PURCHASE RANK],BS25),1,0,ROWS(T_PA[PURCHASE RANK])-BS25),0)+BS25,MATCH(BR26,T_PA[PURCHASE RANK],0)),"")</f>
        <v/>
      </c>
      <c r="BT26" s="134" t="str">
        <f ca="1">IFERROR(INDEX(T_PA[NAME],BS26),"")</f>
        <v/>
      </c>
      <c r="BU26" s="138" t="str">
        <f ca="1">IFERROR(INDEX(T_PA[PURCHASES],BS26),"")</f>
        <v/>
      </c>
      <c r="BV26" s="145" t="str">
        <f ca="1">IFERROR(BU26/SUM(T_PA[PURCHASES]),"")</f>
        <v/>
      </c>
      <c r="BW26" s="41"/>
      <c r="BX26" s="41"/>
      <c r="BY26" s="41"/>
      <c r="BZ26" s="41"/>
      <c r="CA26" s="41"/>
      <c r="CB26"/>
      <c r="CC26"/>
      <c r="CD26"/>
      <c r="CE26"/>
      <c r="CF26" s="41"/>
      <c r="CG26" s="41"/>
      <c r="CH26" s="42"/>
    </row>
    <row r="27" spans="1:86" ht="20.100000000000001" customHeight="1" x14ac:dyDescent="0.3">
      <c r="A27" s="94"/>
      <c r="B27" s="56"/>
      <c r="C27"/>
      <c r="D27"/>
      <c r="E27"/>
      <c r="F27"/>
      <c r="G27"/>
      <c r="H27" s="57"/>
      <c r="I27" s="40"/>
      <c r="J27" s="41"/>
      <c r="K27" s="41"/>
      <c r="L27" s="41"/>
      <c r="M27" s="41"/>
      <c r="N27" s="41"/>
      <c r="O27" s="208"/>
      <c r="P27" s="209"/>
      <c r="Q27" s="210"/>
      <c r="R27" s="41"/>
      <c r="S27" s="41"/>
      <c r="T27" s="42"/>
      <c r="U27" s="40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39"/>
      <c r="AN27" s="40"/>
      <c r="AO27" s="43"/>
      <c r="AP27" s="142" t="str">
        <f t="shared" si="3"/>
        <v xml:space="preserve"> </v>
      </c>
      <c r="AQ27" s="134" t="str">
        <f>IFERROR(INDEX(T_PCS[CATEGORY],MATCH(AP27,T_PCS[SALES RNK],0)),"")</f>
        <v/>
      </c>
      <c r="AR27" s="135" t="str">
        <f>IFERROR(INDEX(T_PCS[SALES],MATCH(AP27,T_PCS[SALES RNK],0)),"")</f>
        <v/>
      </c>
      <c r="AS27" s="144" t="str">
        <f>IFERROR(AR27/SUM(T_PR[SALES]),"")</f>
        <v/>
      </c>
      <c r="AT27" s="41"/>
      <c r="AU27" s="41"/>
      <c r="AV27" s="142" t="str">
        <f>IFERROR(LARGE(T_PR[SALES RANK],8),"")</f>
        <v/>
      </c>
      <c r="AW27" s="142" t="str">
        <f ca="1">IFERROR(IF(AV26=AV27,MATCH(AV27,OFFSET(INDEX(T_PR[SALES RANK],AW26),1,0,ROWS(T_PR[SALES RANK])-AW26),0)+AW26,MATCH(AV27,T_PR[SALES RANK],0)),"")</f>
        <v/>
      </c>
      <c r="AX27" s="134" t="str">
        <f ca="1">IFERROR(IF(S_R="OFF","",INDEX(T_PR[NAME],AW27)),"")</f>
        <v/>
      </c>
      <c r="AY27" s="135" t="str">
        <f ca="1">IFERROR(IF(S_R="OFF","",INDEX(T_PR[SALES],AW27)),"")</f>
        <v/>
      </c>
      <c r="AZ27" s="144" t="str">
        <f ca="1">IFERROR(IF(S_R="OFF","",(AY27/SUM(T_PR[SALES]))),"")</f>
        <v/>
      </c>
      <c r="BA27" s="41"/>
      <c r="BB27" s="42"/>
      <c r="BC27" s="40"/>
      <c r="BD27" s="43"/>
      <c r="BE27" s="147" t="str">
        <f>AH3</f>
        <v/>
      </c>
      <c r="BF27" s="41"/>
      <c r="BG27" s="149" t="str">
        <f>IFERROR(IF(OR(BE27="",S_R="OFF"),"",SUMIFS(T_OD[QUANTITY],T_OD[ORDER TYPE],"SALE",T_OD[PRODUCT ID],I_RPR,T_OD[ORDER DATE],"&gt;"&amp;BE26,T_OD[ORDER DATE],"&lt;="&amp;BE27)),"")</f>
        <v/>
      </c>
      <c r="BH27" s="41"/>
      <c r="BI27" s="41"/>
      <c r="BJ27" s="41"/>
      <c r="BK27" s="41"/>
      <c r="BL27" s="41"/>
      <c r="BM27" s="41"/>
      <c r="BN27" s="41"/>
      <c r="BO27" s="42"/>
      <c r="BP27" s="40"/>
      <c r="BQ27" s="43"/>
      <c r="BR27" s="142" t="str">
        <f>IFERROR(SMALL(T_PA[PURCHASE RANK],8),"")</f>
        <v/>
      </c>
      <c r="BS27" s="176" t="str">
        <f ca="1">IFERROR(IF(BR26=BR27,MATCH(BR27,OFFSET(INDEX(T_PA[PURCHASE RANK],BS26),1,0,ROWS(T_PA[PURCHASE RANK])-BS26),0)+BS26,MATCH(BR27,T_PA[PURCHASE RANK],0)),"")</f>
        <v/>
      </c>
      <c r="BT27" s="134" t="str">
        <f ca="1">IFERROR(INDEX(T_PA[NAME],BS27),"")</f>
        <v/>
      </c>
      <c r="BU27" s="138" t="str">
        <f ca="1">IFERROR(INDEX(T_PA[PURCHASES],BS27),"")</f>
        <v/>
      </c>
      <c r="BV27" s="145" t="str">
        <f ca="1">IFERROR(BU27/SUM(T_PA[PURCHASES]),"")</f>
        <v/>
      </c>
      <c r="BW27" s="41"/>
      <c r="BX27" s="41"/>
      <c r="BY27" s="41"/>
      <c r="BZ27" s="41"/>
      <c r="CA27" s="41"/>
      <c r="CB27"/>
      <c r="CC27"/>
      <c r="CD27"/>
      <c r="CE27"/>
      <c r="CF27" s="41"/>
      <c r="CG27" s="41"/>
      <c r="CH27" s="42"/>
    </row>
    <row r="28" spans="1:86" ht="20.100000000000001" customHeight="1" x14ac:dyDescent="0.3">
      <c r="A28" s="110"/>
      <c r="B28" s="38"/>
      <c r="C28" s="38"/>
      <c r="D28" s="38"/>
      <c r="E28" s="38"/>
      <c r="F28" s="38"/>
      <c r="G28" s="38"/>
      <c r="H28" s="57"/>
      <c r="I28" s="40"/>
      <c r="J28" s="41"/>
      <c r="K28" s="41"/>
      <c r="L28" s="41"/>
      <c r="M28" s="41"/>
      <c r="N28" s="41"/>
      <c r="O28" s="211" t="str">
        <f>IFERROR(IF(S_R="OFF","",O10-SUMPRODUCT(--(T_OD[ORDER TYPE]="SALE"),T_OD[QUANTITY],T_OD[PURCHASE PRICE],--(T_OD[ORDER DATE]&gt;=I_SD),--(T_OD[ORDER DATE]&lt;=I_ED))),"")</f>
        <v/>
      </c>
      <c r="P28" s="211"/>
      <c r="Q28" s="211"/>
      <c r="R28" s="41"/>
      <c r="S28" s="41"/>
      <c r="T28" s="42"/>
      <c r="U28" s="40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9"/>
      <c r="AN28" s="40"/>
      <c r="AO28" s="43"/>
      <c r="AP28" s="142" t="str">
        <f t="shared" si="3"/>
        <v xml:space="preserve"> </v>
      </c>
      <c r="AQ28" s="134" t="str">
        <f>IFERROR(INDEX(T_PCS[CATEGORY],MATCH(AP28,T_PCS[SALES RNK],0)),"")</f>
        <v/>
      </c>
      <c r="AR28" s="135" t="str">
        <f>IFERROR(INDEX(T_PCS[SALES],MATCH(AP28,T_PCS[SALES RNK],0)),"")</f>
        <v/>
      </c>
      <c r="AS28" s="144" t="str">
        <f>IFERROR(AR28/SUM(T_PR[SALES]),"")</f>
        <v/>
      </c>
      <c r="AT28" s="41"/>
      <c r="AU28" s="41"/>
      <c r="AV28" s="142" t="str">
        <f>IFERROR(LARGE(T_PR[SALES RANK],9),"")</f>
        <v/>
      </c>
      <c r="AW28" s="142" t="str">
        <f ca="1">IFERROR(IF(AV27=AV28,MATCH(AV28,OFFSET(INDEX(T_PR[SALES RANK],AW27),1,0,ROWS(T_PR[SALES RANK])-AW27),0)+AW27,MATCH(AV28,T_PR[SALES RANK],0)),"")</f>
        <v/>
      </c>
      <c r="AX28" s="134" t="str">
        <f ca="1">IFERROR(IF(S_R="OFF","",INDEX(T_PR[NAME],AW28)),"")</f>
        <v/>
      </c>
      <c r="AY28" s="135" t="str">
        <f ca="1">IFERROR(IF(S_R="OFF","",INDEX(T_PR[SALES],AW28)),"")</f>
        <v/>
      </c>
      <c r="AZ28" s="144" t="str">
        <f ca="1">IFERROR(IF(S_R="OFF","",(AY28/SUM(T_PR[SALES]))),"")</f>
        <v/>
      </c>
      <c r="BA28" s="41"/>
      <c r="BB28" s="42"/>
      <c r="BC28" s="40"/>
      <c r="BD28" s="43"/>
      <c r="BE28" s="147" t="str">
        <f>AI3</f>
        <v/>
      </c>
      <c r="BF28" s="41"/>
      <c r="BG28" s="149" t="str">
        <f>IFERROR(IF(OR(BE28="",S_R="OFF"),"",SUMIFS(T_OD[QUANTITY],T_OD[ORDER TYPE],"SALE",T_OD[PRODUCT ID],I_RPR,T_OD[ORDER DATE],"&gt;"&amp;BE27,T_OD[ORDER DATE],"&lt;="&amp;BE28)),"")</f>
        <v/>
      </c>
      <c r="BH28" s="41"/>
      <c r="BI28" s="41"/>
      <c r="BJ28" s="41"/>
      <c r="BK28" s="41"/>
      <c r="BL28" s="41"/>
      <c r="BM28" s="41"/>
      <c r="BN28" s="41"/>
      <c r="BO28" s="42"/>
      <c r="BP28" s="40"/>
      <c r="BQ28" s="43"/>
      <c r="BR28" s="142" t="str">
        <f>IFERROR(SMALL(T_PA[PURCHASE RANK],9),"")</f>
        <v/>
      </c>
      <c r="BS28" s="176" t="str">
        <f ca="1">IFERROR(IF(BR27=BR28,MATCH(BR28,OFFSET(INDEX(T_PA[PURCHASE RANK],BS27),1,0,ROWS(T_PA[PURCHASE RANK])-BS27),0)+BS27,MATCH(BR28,T_PA[PURCHASE RANK],0)),"")</f>
        <v/>
      </c>
      <c r="BT28" s="134" t="str">
        <f ca="1">IFERROR(INDEX(T_PA[NAME],BS28),"")</f>
        <v/>
      </c>
      <c r="BU28" s="138" t="str">
        <f ca="1">IFERROR(INDEX(T_PA[PURCHASES],BS28),"")</f>
        <v/>
      </c>
      <c r="BV28" s="145" t="str">
        <f ca="1">IFERROR(BU28/SUM(T_PA[PURCHASES]),"")</f>
        <v/>
      </c>
      <c r="BW28" s="41"/>
      <c r="BX28" s="41"/>
      <c r="BY28" s="41"/>
      <c r="BZ28" s="41"/>
      <c r="CA28" s="41"/>
      <c r="CB28"/>
      <c r="CC28"/>
      <c r="CD28"/>
      <c r="CE28"/>
      <c r="CF28" s="41"/>
      <c r="CG28" s="41"/>
      <c r="CH28" s="42"/>
    </row>
    <row r="29" spans="1:86" ht="20.100000000000001" customHeight="1" x14ac:dyDescent="0.3">
      <c r="A29" s="111"/>
      <c r="B29" s="112"/>
      <c r="C29" s="112"/>
      <c r="D29" s="112"/>
      <c r="E29" s="112"/>
      <c r="F29" s="112"/>
      <c r="G29" s="112"/>
      <c r="H29" s="39"/>
      <c r="I29" s="40"/>
      <c r="J29" s="41"/>
      <c r="K29" s="41"/>
      <c r="L29" s="41"/>
      <c r="M29" s="41"/>
      <c r="N29" s="41"/>
      <c r="O29" s="194"/>
      <c r="P29" s="194"/>
      <c r="Q29" s="194"/>
      <c r="R29" s="41"/>
      <c r="S29" s="41"/>
      <c r="T29" s="42"/>
      <c r="U29" s="40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9"/>
      <c r="AN29" s="40"/>
      <c r="AO29" s="43"/>
      <c r="AP29" s="138" t="str">
        <f t="shared" si="3"/>
        <v xml:space="preserve"> </v>
      </c>
      <c r="AQ29" s="134" t="str">
        <f>IFERROR(INDEX(T_PCS[CATEGORY],MATCH(AP29,T_PCS[SALES RNK],0)),"")</f>
        <v/>
      </c>
      <c r="AR29" s="135" t="str">
        <f>IFERROR(INDEX(T_PCS[SALES],MATCH(AP29,T_PCS[SALES RNK],0)),"")</f>
        <v/>
      </c>
      <c r="AS29" s="144" t="str">
        <f>IFERROR(AR29/SUM(T_PR[SALES]),"")</f>
        <v/>
      </c>
      <c r="AT29" s="41"/>
      <c r="AU29" s="41"/>
      <c r="AV29" s="138" t="str">
        <f>IFERROR(LARGE(T_PR[SALES RANK],10),"")</f>
        <v/>
      </c>
      <c r="AW29" s="138" t="str">
        <f ca="1">IFERROR(IF(AV28=AV29,MATCH(AV29,OFFSET(INDEX(T_PR[SALES RANK],AW28),1,0,ROWS(T_PR[SALES RANK])-AW28),0)+AW28,MATCH(AV29,T_PR[SALES RANK],0)),"")</f>
        <v/>
      </c>
      <c r="AX29" s="134" t="str">
        <f ca="1">IFERROR(IF(S_R="OFF","",INDEX(T_PR[NAME],AW29)),"")</f>
        <v/>
      </c>
      <c r="AY29" s="135" t="str">
        <f ca="1">IFERROR(IF(S_R="OFF","",INDEX(T_PR[SALES],AW29)),"")</f>
        <v/>
      </c>
      <c r="AZ29" s="144" t="str">
        <f ca="1">IFERROR(IF(S_R="OFF","",(AY29/SUM(T_PR[SALES]))),"")</f>
        <v/>
      </c>
      <c r="BA29" s="41"/>
      <c r="BB29" s="42"/>
      <c r="BC29" s="40"/>
      <c r="BD29" s="43"/>
      <c r="BE29" s="147" t="str">
        <f>AJ3</f>
        <v/>
      </c>
      <c r="BF29" s="41"/>
      <c r="BG29" s="149" t="str">
        <f>IFERROR(IF(OR(BE29="",S_R="OFF"),"",SUMIFS(T_OD[QUANTITY],T_OD[ORDER TYPE],"SALE",T_OD[PRODUCT ID],I_RPR,T_OD[ORDER DATE],"&gt;"&amp;BE28,T_OD[ORDER DATE],"&lt;="&amp;BE29)),"")</f>
        <v/>
      </c>
      <c r="BH29" s="41"/>
      <c r="BI29" s="41"/>
      <c r="BJ29" s="41"/>
      <c r="BK29" s="41"/>
      <c r="BL29" s="41"/>
      <c r="BM29" s="41"/>
      <c r="BN29" s="41"/>
      <c r="BO29" s="42"/>
      <c r="BP29" s="40"/>
      <c r="BQ29" s="43"/>
      <c r="BR29" s="142" t="str">
        <f>IFERROR(SMALL(T_PA[PURCHASE RANK],10),"")</f>
        <v/>
      </c>
      <c r="BS29" s="176" t="str">
        <f ca="1">IFERROR(IF(BR28=BR29,MATCH(BR29,OFFSET(INDEX(T_PA[PURCHASE RANK],BS28),1,0,ROWS(T_PA[PURCHASE RANK])-BS28),0)+BS28,MATCH(BR29,T_PA[PURCHASE RANK],0)),"")</f>
        <v/>
      </c>
      <c r="BT29" s="134" t="str">
        <f ca="1">IFERROR(INDEX(T_PA[NAME],BS29),"")</f>
        <v/>
      </c>
      <c r="BU29" s="138" t="str">
        <f ca="1">IFERROR(INDEX(T_PA[PURCHASES],BS29),"")</f>
        <v/>
      </c>
      <c r="BV29" s="145" t="str">
        <f ca="1">IFERROR(BU29/SUM(T_PA[PURCHASES]),"")</f>
        <v/>
      </c>
      <c r="BW29" s="41"/>
      <c r="BX29" s="41"/>
      <c r="BY29" s="41"/>
      <c r="BZ29" s="41"/>
      <c r="CA29" s="41"/>
      <c r="CB29"/>
      <c r="CC29"/>
      <c r="CD29"/>
      <c r="CE29"/>
      <c r="CF29" s="41"/>
      <c r="CG29" s="41"/>
      <c r="CH29" s="42"/>
    </row>
    <row r="30" spans="1:86" ht="15" customHeight="1" x14ac:dyDescent="0.3">
      <c r="A30" s="111"/>
      <c r="B30" s="112"/>
      <c r="C30" s="112"/>
      <c r="D30" s="112"/>
      <c r="E30" s="112"/>
      <c r="F30" s="112"/>
      <c r="G30" s="112"/>
      <c r="H30" s="39"/>
      <c r="I30" s="40"/>
      <c r="J30" s="41"/>
      <c r="K30" s="41"/>
      <c r="L30" s="41"/>
      <c r="M30" s="41"/>
      <c r="N30" s="41"/>
      <c r="P30" s="88" t="s">
        <v>100</v>
      </c>
      <c r="Q30" s="88"/>
      <c r="R30" s="41"/>
      <c r="S30" s="41"/>
      <c r="T30" s="42"/>
      <c r="U30" s="40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9"/>
      <c r="AN30" s="40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39"/>
      <c r="BC30" s="40"/>
      <c r="BD30" s="43"/>
      <c r="BE30" s="148" t="str">
        <f>AK3</f>
        <v/>
      </c>
      <c r="BF30" s="113"/>
      <c r="BG30" s="150" t="str">
        <f>IFERROR(IF(OR(BE30="",S_R="OFF"),"",SUMIFS(T_OD[QUANTITY],T_OD[ORDER TYPE],"SALE",T_OD[PRODUCT ID],I_RPR,T_OD[ORDER DATE],"&gt;"&amp;BE29,T_OD[ORDER DATE],"&lt;="&amp;BE30)),"")</f>
        <v/>
      </c>
      <c r="BH30" s="41"/>
      <c r="BI30" s="41"/>
      <c r="BJ30" s="41"/>
      <c r="BK30" s="41"/>
      <c r="BL30" s="41"/>
      <c r="BM30" s="41"/>
      <c r="BN30" s="41"/>
      <c r="BO30" s="42"/>
      <c r="BP30" s="40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39"/>
    </row>
    <row r="31" spans="1:86" ht="16.5" x14ac:dyDescent="0.3">
      <c r="A31" s="114"/>
      <c r="B31" s="115"/>
      <c r="C31" s="115"/>
      <c r="D31" s="115"/>
      <c r="E31" s="115"/>
      <c r="F31" s="115"/>
      <c r="G31" s="115"/>
      <c r="H31" s="116"/>
      <c r="I31" s="117"/>
      <c r="J31" s="118"/>
      <c r="K31" s="118"/>
      <c r="L31" s="118"/>
      <c r="M31" s="118"/>
      <c r="N31" s="118"/>
      <c r="O31" s="118"/>
      <c r="P31" s="113"/>
      <c r="Q31" s="118"/>
      <c r="R31" s="118"/>
      <c r="S31" s="118"/>
      <c r="T31" s="116"/>
      <c r="U31" s="117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6"/>
      <c r="AN31" s="117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6"/>
      <c r="BC31" s="117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6"/>
      <c r="BP31" s="117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6"/>
    </row>
    <row r="32" spans="1:86" x14ac:dyDescent="0.25">
      <c r="A32" s="119"/>
      <c r="B32" s="119"/>
      <c r="C32" s="119"/>
      <c r="D32" s="119"/>
      <c r="E32" s="119"/>
      <c r="F32" s="119"/>
      <c r="G32" s="119"/>
    </row>
    <row r="33" spans="1:8" x14ac:dyDescent="0.25">
      <c r="A33" s="119"/>
      <c r="B33" s="119"/>
      <c r="C33" s="119"/>
      <c r="D33" s="119"/>
      <c r="E33" s="119"/>
      <c r="F33" s="119"/>
      <c r="G33" s="119"/>
    </row>
    <row r="34" spans="1:8" x14ac:dyDescent="0.25">
      <c r="A34" s="119"/>
      <c r="B34" s="119"/>
      <c r="C34" s="119"/>
      <c r="D34" s="119"/>
      <c r="E34" s="119"/>
      <c r="F34" s="119"/>
      <c r="G34" s="119"/>
      <c r="H34" s="119"/>
    </row>
    <row r="35" spans="1:8" x14ac:dyDescent="0.25">
      <c r="A35" s="120"/>
      <c r="B35" s="120"/>
      <c r="C35" s="120"/>
      <c r="D35" s="120"/>
      <c r="E35" s="120"/>
      <c r="F35" s="120"/>
      <c r="G35" s="120"/>
      <c r="H35" s="120"/>
    </row>
  </sheetData>
  <sheetProtection formatCells="0" formatColumns="0" formatRows="0"/>
  <mergeCells count="52">
    <mergeCell ref="O26:Q27"/>
    <mergeCell ref="AV18:AZ18"/>
    <mergeCell ref="BI3:BK3"/>
    <mergeCell ref="O22:O23"/>
    <mergeCell ref="O28:Q29"/>
    <mergeCell ref="Q22:Q23"/>
    <mergeCell ref="BR3:BV3"/>
    <mergeCell ref="BR18:BV18"/>
    <mergeCell ref="O16:O17"/>
    <mergeCell ref="Q16:Q17"/>
    <mergeCell ref="O19:O20"/>
    <mergeCell ref="AH14:AK14"/>
    <mergeCell ref="AP18:AS18"/>
    <mergeCell ref="AP3:AS3"/>
    <mergeCell ref="AV3:AZ3"/>
    <mergeCell ref="Q13:Q14"/>
    <mergeCell ref="O13:O14"/>
    <mergeCell ref="E5:E10"/>
    <mergeCell ref="C5:C10"/>
    <mergeCell ref="E16:E21"/>
    <mergeCell ref="C16:C21"/>
    <mergeCell ref="A3:A4"/>
    <mergeCell ref="A15:A16"/>
    <mergeCell ref="G16:G21"/>
    <mergeCell ref="G5:G10"/>
    <mergeCell ref="J4:J5"/>
    <mergeCell ref="J8:J9"/>
    <mergeCell ref="Q7:Q8"/>
    <mergeCell ref="O7:O8"/>
    <mergeCell ref="O10:O11"/>
    <mergeCell ref="Q10:Q11"/>
    <mergeCell ref="O4:O5"/>
    <mergeCell ref="Q4:Q5"/>
    <mergeCell ref="BI2:BK2"/>
    <mergeCell ref="BN6:BN7"/>
    <mergeCell ref="BN9:BN10"/>
    <mergeCell ref="BE16:BG16"/>
    <mergeCell ref="BL6:BL7"/>
    <mergeCell ref="BL9:BL10"/>
    <mergeCell ref="BL12:BL13"/>
    <mergeCell ref="BG9:BG10"/>
    <mergeCell ref="BE12:BE13"/>
    <mergeCell ref="BG12:BG13"/>
    <mergeCell ref="BE6:BE7"/>
    <mergeCell ref="BG6:BG7"/>
    <mergeCell ref="BE9:BE10"/>
    <mergeCell ref="CC6:CC7"/>
    <mergeCell ref="CC9:CC10"/>
    <mergeCell ref="CC12:CC13"/>
    <mergeCell ref="CE6:CE7"/>
    <mergeCell ref="CE9:CE10"/>
    <mergeCell ref="CE12:CE13"/>
  </mergeCells>
  <conditionalFormatting sqref="AR5:AR1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{888A98B9-C852-4DB5-B28A-C48F40FD3EC5}</x14:id>
        </ext>
      </extLst>
    </cfRule>
  </conditionalFormatting>
  <conditionalFormatting sqref="BU5:BU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{4F70FA2E-7CC7-4375-A2D3-6DDFBAB885EB}</x14:id>
        </ext>
      </extLst>
    </cfRule>
  </conditionalFormatting>
  <conditionalFormatting sqref="BU20:BU2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{52AF5227-FB71-41FB-9823-7AA83820E164}</x14:id>
        </ext>
      </extLst>
    </cfRule>
  </conditionalFormatting>
  <conditionalFormatting sqref="AR20:AR2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{9F490FCE-F469-45AB-95DE-16CF038A21EB}</x14:id>
        </ext>
      </extLst>
    </cfRule>
  </conditionalFormatting>
  <conditionalFormatting sqref="AY5:AY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{433329B7-70B9-49E5-AA1E-53EBAD0410DA}</x14:id>
        </ext>
      </extLst>
    </cfRule>
  </conditionalFormatting>
  <conditionalFormatting sqref="AY20:AY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{E25AFC0E-6A05-4DE3-BF3A-3B7F334980B8}</x14:id>
        </ext>
      </extLst>
    </cfRule>
  </conditionalFormatting>
  <conditionalFormatting sqref="BN9:BN10">
    <cfRule type="cellIs" dxfId="0" priority="3" operator="equal">
      <formula>"YES"</formula>
    </cfRule>
  </conditionalFormatting>
  <dataValidations count="5">
    <dataValidation type="list" allowBlank="1" showInputMessage="1" showErrorMessage="1" sqref="BA2">
      <formula1>"QUANTITY, AMOUNT, MARGIN"</formula1>
    </dataValidation>
    <dataValidation type="list" allowBlank="1" showInputMessage="1" showErrorMessage="1" sqref="BG2">
      <formula1>L_PR</formula1>
    </dataValidation>
    <dataValidation type="list" allowBlank="1" showInputMessage="1" showErrorMessage="1" sqref="CC2">
      <formula1>L_PA</formula1>
    </dataValidation>
    <dataValidation type="list" allowBlank="1" showInputMessage="1" showErrorMessage="1" sqref="AH14:AK14">
      <formula1>$X$4:$X$11</formula1>
    </dataValidation>
    <dataValidation type="list" allowBlank="1" showInputMessage="1" showErrorMessage="1" sqref="J14">
      <formula1>"ON, OFF"</formula1>
    </dataValidation>
  </dataValidations>
  <printOptions horizontalCentered="1" verticalCentered="1"/>
  <pageMargins left="0.25" right="0.25" top="0.75" bottom="0.75" header="0.3" footer="0.3"/>
  <pageSetup scale="81" fitToWidth="0" orientation="landscape" horizontalDpi="4294967293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A98B9-C852-4DB5-B28A-C48F40FD3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AR5:AR14</xm:sqref>
        </x14:conditionalFormatting>
        <x14:conditionalFormatting xmlns:xm="http://schemas.microsoft.com/office/excel/2006/main">
          <x14:cfRule type="dataBar" id="{4F70FA2E-7CC7-4375-A2D3-6DDFBAB88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BU5:BU14</xm:sqref>
        </x14:conditionalFormatting>
        <x14:conditionalFormatting xmlns:xm="http://schemas.microsoft.com/office/excel/2006/main">
          <x14:cfRule type="dataBar" id="{52AF5227-FB71-41FB-9823-7AA83820E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BU20:BU29</xm:sqref>
        </x14:conditionalFormatting>
        <x14:conditionalFormatting xmlns:xm="http://schemas.microsoft.com/office/excel/2006/main">
          <x14:cfRule type="dataBar" id="{9F490FCE-F469-45AB-95DE-16CF038A2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AR20:AR29</xm:sqref>
        </x14:conditionalFormatting>
        <x14:conditionalFormatting xmlns:xm="http://schemas.microsoft.com/office/excel/2006/main">
          <x14:cfRule type="dataBar" id="{433329B7-70B9-49E5-AA1E-53EBAD041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AY5:AY14</xm:sqref>
        </x14:conditionalFormatting>
        <x14:conditionalFormatting xmlns:xm="http://schemas.microsoft.com/office/excel/2006/main">
          <x14:cfRule type="dataBar" id="{E25AFC0E-6A05-4DE3-BF3A-3B7F33498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AY20:AY29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21</vt:i4>
      </vt:variant>
    </vt:vector>
  </HeadingPairs>
  <TitlesOfParts>
    <vt:vector size="29" baseType="lpstr">
      <vt:lpstr>SETTINGS</vt:lpstr>
      <vt:lpstr>PRODUCTS</vt:lpstr>
      <vt:lpstr>PRICES</vt:lpstr>
      <vt:lpstr>PARTNERS</vt:lpstr>
      <vt:lpstr>ORDER_HEADERS</vt:lpstr>
      <vt:lpstr>ORDER_DETAILS</vt:lpstr>
      <vt:lpstr>H_C</vt:lpstr>
      <vt:lpstr>REPORT</vt:lpstr>
      <vt:lpstr>C_PRH</vt:lpstr>
      <vt:lpstr>I_ADB</vt:lpstr>
      <vt:lpstr>I_ADS</vt:lpstr>
      <vt:lpstr>I_BN</vt:lpstr>
      <vt:lpstr>I_ED</vt:lpstr>
      <vt:lpstr>I_EM</vt:lpstr>
      <vt:lpstr>I_M</vt:lpstr>
      <vt:lpstr>I_MP</vt:lpstr>
      <vt:lpstr>I_PA</vt:lpstr>
      <vt:lpstr>I_PH</vt:lpstr>
      <vt:lpstr>I_RPR</vt:lpstr>
      <vt:lpstr>I_SD</vt:lpstr>
      <vt:lpstr>I_TAG</vt:lpstr>
      <vt:lpstr>I_WB</vt:lpstr>
      <vt:lpstr>L_O</vt:lpstr>
      <vt:lpstr>L_PA</vt:lpstr>
      <vt:lpstr>L_PC</vt:lpstr>
      <vt:lpstr>L_PR</vt:lpstr>
      <vt:lpstr>REPORT!Print_Area</vt:lpstr>
      <vt:lpstr>S_R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indzara</dc:creator>
  <cp:lastModifiedBy>Windows User</cp:lastModifiedBy>
  <cp:lastPrinted>2017-02-01T18:38:05Z</cp:lastPrinted>
  <dcterms:created xsi:type="dcterms:W3CDTF">2016-03-30T11:50:53Z</dcterms:created>
  <dcterms:modified xsi:type="dcterms:W3CDTF">2020-01-07T12:24:38Z</dcterms:modified>
  <cp:contentStatus/>
</cp:coreProperties>
</file>