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I" sheetId="1" r:id="rId4"/>
    <sheet state="visible" name="Advertisement Revenue" sheetId="2" r:id="rId5"/>
    <sheet state="visible" name="Subscription Revenue" sheetId="3" r:id="rId6"/>
    <sheet state="visible" name="Cost Structure " sheetId="4" r:id="rId7"/>
    <sheet state="visible" name="Preparing for Growth" sheetId="5" r:id="rId8"/>
    <sheet state="visible" name="Future Costs " sheetId="6" r:id="rId9"/>
  </sheets>
  <definedNames/>
  <calcPr/>
  <extLst>
    <ext uri="GoogleSheetsCustomDataVersion2">
      <go:sheetsCustomData xmlns:go="http://customooxmlschemas.google.com/" r:id="rId10" roundtripDataChecksum="pM0HMAIb5cqjzIVX2jD3VdahFVNQQ7YX0gHPusbH0Qo="/>
    </ext>
  </extLst>
</workbook>
</file>

<file path=xl/sharedStrings.xml><?xml version="1.0" encoding="utf-8"?>
<sst xmlns="http://schemas.openxmlformats.org/spreadsheetml/2006/main" count="251" uniqueCount="152">
  <si>
    <t>Year</t>
  </si>
  <si>
    <t>Incr. Ad Revenue</t>
  </si>
  <si>
    <t>Incr. Subscription Revenue</t>
  </si>
  <si>
    <t>Total Incr. Revenue</t>
  </si>
  <si>
    <t>Investment</t>
  </si>
  <si>
    <t>ROI</t>
  </si>
  <si>
    <t>Growth Projections</t>
  </si>
  <si>
    <t>Year 2 growth rate</t>
  </si>
  <si>
    <t>Year 3 growth rate</t>
  </si>
  <si>
    <t>Incr. = Incremental</t>
  </si>
  <si>
    <t>Variables</t>
  </si>
  <si>
    <t>Values</t>
  </si>
  <si>
    <t>Impressions</t>
  </si>
  <si>
    <t>Total impressions in dataset (Nov 9-22, 2019)</t>
  </si>
  <si>
    <t>CTR Delta</t>
  </si>
  <si>
    <t>% of year recorded in dataset</t>
  </si>
  <si>
    <t>Ads Per Page</t>
  </si>
  <si>
    <t>Total impressions / year</t>
  </si>
  <si>
    <t>eCPM (per 1000)</t>
  </si>
  <si>
    <t>Ad CTR Delta</t>
  </si>
  <si>
    <t>% increase in impressions from recommender</t>
  </si>
  <si>
    <t>Ad Revenue</t>
  </si>
  <si>
    <t>CPC (€)</t>
  </si>
  <si>
    <t>New impressions</t>
  </si>
  <si>
    <t>Total impressions</t>
  </si>
  <si>
    <t>Old CTR</t>
  </si>
  <si>
    <t>New CTR</t>
  </si>
  <si>
    <t>New Subscribers</t>
  </si>
  <si>
    <t>Monthly Subscription Cost (€)</t>
  </si>
  <si>
    <t>Total users in dataset (Nov 9-22, 2019)</t>
  </si>
  <si>
    <t>Annual Revenue per Subscriber</t>
  </si>
  <si>
    <t>Months/Year</t>
  </si>
  <si>
    <t>Days / dataset</t>
  </si>
  <si>
    <t>Subscription Revenue (€)</t>
  </si>
  <si>
    <t>Days / year</t>
  </si>
  <si>
    <t>Percentage of users that return per 13-day cycle</t>
  </si>
  <si>
    <t>Total Users</t>
  </si>
  <si>
    <t>Cycles / year</t>
  </si>
  <si>
    <t>New Conversion Rate</t>
  </si>
  <si>
    <t>Returning users</t>
  </si>
  <si>
    <t>Old Conversion Rate</t>
  </si>
  <si>
    <t>New users per cycle</t>
  </si>
  <si>
    <t>Total users / year</t>
  </si>
  <si>
    <t>Churn rate before</t>
  </si>
  <si>
    <t>Churn rate after</t>
  </si>
  <si>
    <t>Churn reduction (subscriptions)</t>
  </si>
  <si>
    <t>Churn reduction (€)</t>
  </si>
  <si>
    <t>Cloud Infrastructure</t>
  </si>
  <si>
    <t xml:space="preserve">Azure VM </t>
  </si>
  <si>
    <t xml:space="preserve">Name </t>
  </si>
  <si>
    <t>Cost  (€)</t>
  </si>
  <si>
    <t>Total Cost (€)/ year</t>
  </si>
  <si>
    <t xml:space="preserve">Standard Azure AI model / 1M inferences </t>
  </si>
  <si>
    <t>Serverless</t>
  </si>
  <si>
    <t>Dedicated VMs</t>
  </si>
  <si>
    <t>Standard NVidia A100 GPU VM (per hour)</t>
  </si>
  <si>
    <t>Storage (1M)</t>
  </si>
  <si>
    <t>Assumption: Each impression = 100KB</t>
  </si>
  <si>
    <t>Networking costs (Data Transfers and API Calls (GB)</t>
  </si>
  <si>
    <t>For 139M -&gt; 13.9 TB</t>
  </si>
  <si>
    <t xml:space="preserve">Total </t>
  </si>
  <si>
    <t xml:space="preserve">Model Training </t>
  </si>
  <si>
    <t>Name</t>
  </si>
  <si>
    <t>Cost</t>
  </si>
  <si>
    <t xml:space="preserve">Total Cost </t>
  </si>
  <si>
    <t>ND96amsr A100 v4 (on demand/ hour)</t>
  </si>
  <si>
    <t>15 hours /week</t>
  </si>
  <si>
    <t>Prototype (6M)</t>
  </si>
  <si>
    <t>MVP (1Y)</t>
  </si>
  <si>
    <t>Full Scale Deployment</t>
  </si>
  <si>
    <t>Continuous Model Retraining</t>
  </si>
  <si>
    <t>Total</t>
  </si>
  <si>
    <t xml:space="preserve">Salaries </t>
  </si>
  <si>
    <t>Average Salary</t>
  </si>
  <si>
    <t xml:space="preserve">Team Size </t>
  </si>
  <si>
    <t xml:space="preserve">Total Cost/ year </t>
  </si>
  <si>
    <t>(European Estimates)</t>
  </si>
  <si>
    <t xml:space="preserve">Data Scientist </t>
  </si>
  <si>
    <t xml:space="preserve">ML Engineer </t>
  </si>
  <si>
    <t xml:space="preserve">Data Engineer </t>
  </si>
  <si>
    <t xml:space="preserve">Cloud/ DevOps Engineer </t>
  </si>
  <si>
    <t xml:space="preserve">Compliance and Security </t>
  </si>
  <si>
    <t xml:space="preserve">Cost </t>
  </si>
  <si>
    <t>(GDPR, CCPA)</t>
  </si>
  <si>
    <t>GDPR Initial Compliance</t>
  </si>
  <si>
    <t>GDPR Annual Maintenance</t>
  </si>
  <si>
    <t>AI Act Compliance per Model</t>
  </si>
  <si>
    <t>Cybersecurity Implementation</t>
  </si>
  <si>
    <t>Total cost</t>
  </si>
  <si>
    <t>For 209M -&gt; 19.46 TB</t>
  </si>
  <si>
    <t xml:space="preserve">AI Model Training </t>
  </si>
  <si>
    <t>Data Ingestion Costs</t>
  </si>
  <si>
    <t>Comment</t>
  </si>
  <si>
    <t>azure event hubs cost</t>
  </si>
  <si>
    <t>High-throughput event ingestion</t>
  </si>
  <si>
    <t>azure iot hub cost</t>
  </si>
  <si>
    <t>Real-time IoT and user interaction scaling</t>
  </si>
  <si>
    <t>azure api management cost</t>
  </si>
  <si>
    <t>Secure API handling with high request loads</t>
  </si>
  <si>
    <t>azure data factory cost</t>
  </si>
  <si>
    <t>Increased data pipeline complexity and batch processing</t>
  </si>
  <si>
    <t>Storage Costs</t>
  </si>
  <si>
    <t>(Handling large-scale real-time and batch data)</t>
  </si>
  <si>
    <t>azure data lake cost</t>
  </si>
  <si>
    <t>Large-scale structured and unstructured storage</t>
  </si>
  <si>
    <t>azure cosmos db cost</t>
  </si>
  <si>
    <t>Distributed real-time querying</t>
  </si>
  <si>
    <t>azure sql cost</t>
  </si>
  <si>
    <t>Handling high-traffic relational data logs</t>
  </si>
  <si>
    <t>azure synapse cost</t>
  </si>
  <si>
    <t>High-throughput analytics for large datasets</t>
  </si>
  <si>
    <t>Processing Costs</t>
  </si>
  <si>
    <t>azure databricks cost</t>
  </si>
  <si>
    <t>Large-scale processing for AI workloads</t>
  </si>
  <si>
    <t>azure stream analytics cost</t>
  </si>
  <si>
    <t>Scaling real-time analytics</t>
  </si>
  <si>
    <t>AI Enrichment and Model Training Costs</t>
  </si>
  <si>
    <t>azure ml cost</t>
  </si>
  <si>
    <t>Advanced deep learning model retraining and deployment</t>
  </si>
  <si>
    <t>azure cognitive services cost</t>
  </si>
  <si>
    <t>Scaled NLP, fake news detection, and personalization</t>
  </si>
  <si>
    <t>Deployment, Monitoring, and Compliance Costs</t>
  </si>
  <si>
    <t>azure devops cost</t>
  </si>
  <si>
    <t>Automated deployments across environments</t>
  </si>
  <si>
    <t>azure logic apps cost</t>
  </si>
  <si>
    <t>CI/CD workflow automation</t>
  </si>
  <si>
    <t>azure functions cost</t>
  </si>
  <si>
    <t>Serverless functions for scalable microservices</t>
  </si>
  <si>
    <t>azure monitor cost</t>
  </si>
  <si>
    <t>High-frequency real-time monitoring</t>
  </si>
  <si>
    <t>azure sentinel cost</t>
  </si>
  <si>
    <t>Enterprise security and intrusion detection</t>
  </si>
  <si>
    <t>azure purview cost</t>
  </si>
  <si>
    <t>Enterprise data governance</t>
  </si>
  <si>
    <t>azure key vault cost</t>
  </si>
  <si>
    <t>Secure secret management at scale</t>
  </si>
  <si>
    <t>azure active directory cost</t>
  </si>
  <si>
    <t>Enterprise identity and access management</t>
  </si>
  <si>
    <t>azure policy cost</t>
  </si>
  <si>
    <t>Organizational policy enforcement</t>
  </si>
  <si>
    <t>In-House Data Collection and Personalization Costs</t>
  </si>
  <si>
    <t>azure ai personalizer cost</t>
  </si>
  <si>
    <t>AI-based personalization scaling</t>
  </si>
  <si>
    <t>azure data share cost</t>
  </si>
  <si>
    <t>Multi-organization data collaboration</t>
  </si>
  <si>
    <t>Security and Optimization</t>
  </si>
  <si>
    <t>azure container apps cost</t>
  </si>
  <si>
    <t>Secure AI deployment scaling</t>
  </si>
  <si>
    <t>azure private links cost</t>
  </si>
  <si>
    <t>Secure API and data pipeline scaling</t>
  </si>
  <si>
    <t>azure spot vms cost</t>
  </si>
  <si>
    <t>Compute cost optimization at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</si>
</sst>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]#,##0.00"/>
    <numFmt numFmtId="165" formatCode="HH:mm:ss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color theme="1"/>
      <name val="Calibri"/>
      <scheme val="minor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rgb="FF000000"/>
      <name val="Arial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93C47D"/>
      </left>
      <right style="thin">
        <color rgb="FF284E3F"/>
      </right>
      <top style="thin">
        <color rgb="FF93C47D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2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readingOrder="0"/>
    </xf>
    <xf borderId="4" fillId="0" fontId="2" numFmtId="9" xfId="0" applyAlignment="1" applyBorder="1" applyFont="1" applyNumberFormat="1">
      <alignment readingOrder="0"/>
    </xf>
    <xf borderId="4" fillId="0" fontId="3" numFmtId="2" xfId="0" applyAlignment="1" applyBorder="1" applyFont="1" applyNumberFormat="1">
      <alignment horizontal="center" shrinkToFit="0" vertical="center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5" numFmtId="0" xfId="0" applyAlignment="1" applyBorder="1" applyFill="1" applyFont="1">
      <alignment horizontal="center" readingOrder="0" shrinkToFit="0" vertical="center" wrapText="0"/>
    </xf>
    <xf borderId="5" fillId="0" fontId="2" numFmtId="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7" fillId="0" fontId="2" numFmtId="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7" fillId="0" fontId="2" numFmtId="10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7" fillId="0" fontId="2" numFmtId="9" xfId="0" applyAlignment="1" applyBorder="1" applyFont="1" applyNumberFormat="1">
      <alignment readingOrder="0" shrinkToFit="0" vertical="center" wrapText="0"/>
    </xf>
    <xf borderId="4" fillId="2" fontId="6" numFmtId="0" xfId="0" applyAlignment="1" applyBorder="1" applyFont="1">
      <alignment horizontal="center" readingOrder="0" shrinkToFit="0" vertical="center" wrapText="0"/>
    </xf>
    <xf borderId="9" fillId="0" fontId="2" numFmtId="4" xfId="0" applyAlignment="1" applyBorder="1" applyFont="1" applyNumberFormat="1">
      <alignment shrinkToFit="0" vertical="center" wrapText="0"/>
    </xf>
    <xf borderId="4" fillId="2" fontId="5" numFmtId="0" xfId="0" applyAlignment="1" applyBorder="1" applyFont="1">
      <alignment horizontal="center" readingOrder="0" shrinkToFit="0" vertical="center" wrapText="0"/>
    </xf>
    <xf borderId="10" fillId="0" fontId="2" numFmtId="4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0" fillId="0" fontId="2" numFmtId="3" xfId="0" applyAlignment="1" applyBorder="1" applyFont="1" applyNumberFormat="1">
      <alignment shrinkToFit="0" vertical="center" wrapText="0"/>
    </xf>
    <xf borderId="4" fillId="0" fontId="2" numFmtId="10" xfId="0" applyAlignment="1" applyBorder="1" applyFont="1" applyNumberFormat="1">
      <alignment readingOrder="0"/>
    </xf>
    <xf borderId="0" fillId="0" fontId="2" numFmtId="4" xfId="0" applyFont="1" applyNumberFormat="1"/>
    <xf borderId="4" fillId="0" fontId="2" numFmtId="9" xfId="0" applyBorder="1" applyFont="1" applyNumberFormat="1"/>
    <xf borderId="0" fillId="0" fontId="2" numFmtId="0" xfId="0" applyFont="1"/>
    <xf borderId="0" fillId="0" fontId="2" numFmtId="165" xfId="0" applyFont="1" applyNumberFormat="1"/>
    <xf borderId="1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5" fillId="0" fontId="2" numFmtId="4" xfId="0" applyAlignment="1" applyBorder="1" applyFont="1" applyNumberFormat="1">
      <alignment shrinkToFit="0" vertical="center" wrapText="0"/>
    </xf>
    <xf borderId="5" fillId="0" fontId="2" numFmtId="9" xfId="0" applyAlignment="1" applyBorder="1" applyFont="1" applyNumberFormat="1">
      <alignment readingOrder="0" shrinkToFit="0" vertical="center" wrapText="0"/>
    </xf>
    <xf borderId="0" fillId="0" fontId="2" numFmtId="1" xfId="0" applyFont="1" applyNumberFormat="1"/>
    <xf borderId="0" fillId="3" fontId="7" numFmtId="0" xfId="0" applyAlignment="1" applyFill="1" applyFont="1">
      <alignment readingOrder="0"/>
    </xf>
    <xf borderId="1" fillId="0" fontId="8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vertical="center" wrapText="0"/>
    </xf>
    <xf borderId="0" fillId="4" fontId="2" numFmtId="0" xfId="0" applyAlignment="1" applyFill="1" applyFont="1">
      <alignment readingOrder="0"/>
    </xf>
    <xf borderId="0" fillId="4" fontId="2" numFmtId="3" xfId="0" applyAlignment="1" applyFont="1" applyNumberFormat="1">
      <alignment readingOrder="0"/>
    </xf>
    <xf borderId="12" fillId="0" fontId="2" numFmtId="0" xfId="0" applyAlignment="1" applyBorder="1" applyFont="1">
      <alignment readingOrder="0" shrinkToFit="0" vertical="center" wrapText="0"/>
    </xf>
    <xf borderId="0" fillId="4" fontId="2" numFmtId="10" xfId="0" applyAlignment="1" applyFont="1" applyNumberFormat="1">
      <alignment readingOrder="0"/>
    </xf>
    <xf borderId="13" fillId="0" fontId="2" numFmtId="0" xfId="0" applyAlignment="1" applyBorder="1" applyFon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0" fillId="4" fontId="2" numFmtId="3" xfId="0" applyFont="1" applyNumberFormat="1"/>
    <xf borderId="0" fillId="4" fontId="2" numFmtId="9" xfId="0" applyAlignment="1" applyFont="1" applyNumberFormat="1">
      <alignment readingOrder="0"/>
    </xf>
    <xf borderId="14" fillId="5" fontId="8" numFmtId="0" xfId="0" applyAlignment="1" applyBorder="1" applyFill="1" applyFont="1">
      <alignment readingOrder="0" shrinkToFit="0" vertical="center" wrapText="0"/>
    </xf>
    <xf borderId="15" fillId="5" fontId="8" numFmtId="0" xfId="0" applyAlignment="1" applyBorder="1" applyFont="1">
      <alignment shrinkToFit="0" vertical="center" wrapText="0"/>
    </xf>
    <xf borderId="16" fillId="5" fontId="8" numFmtId="3" xfId="0" applyAlignment="1" applyBorder="1" applyFont="1" applyNumberFormat="1">
      <alignment readingOrder="0" shrinkToFit="0" vertical="center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3" xfId="0" applyAlignment="1" applyFont="1" applyNumberFormat="1">
      <alignment readingOrder="0"/>
    </xf>
    <xf borderId="0" fillId="3" fontId="8" numFmtId="0" xfId="0" applyAlignment="1" applyFont="1">
      <alignment readingOrder="0"/>
    </xf>
    <xf borderId="12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15" fillId="5" fontId="8" numFmtId="0" xfId="0" applyAlignment="1" applyBorder="1" applyFont="1">
      <alignment readingOrder="0" shrinkToFit="0" vertical="center" wrapText="0"/>
    </xf>
    <xf borderId="16" fillId="5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15" fillId="5" fontId="2" numFmtId="0" xfId="0" applyAlignment="1" applyBorder="1" applyFont="1">
      <alignment shrinkToFit="0" vertical="center" wrapText="0"/>
    </xf>
    <xf borderId="16" fillId="5" fontId="8" numFmtId="0" xfId="0" applyAlignment="1" applyBorder="1" applyFont="1">
      <alignment readingOrder="0" shrinkToFit="0" vertical="center" wrapText="0"/>
    </xf>
    <xf borderId="0" fillId="3" fontId="8" numFmtId="3" xfId="0" applyFont="1" applyNumberFormat="1"/>
    <xf borderId="0" fillId="6" fontId="2" numFmtId="0" xfId="0" applyAlignment="1" applyFill="1" applyFont="1">
      <alignment readingOrder="0"/>
    </xf>
    <xf borderId="0" fillId="6" fontId="2" numFmtId="3" xfId="0" applyAlignment="1" applyFont="1" applyNumberFormat="1">
      <alignment readingOrder="0"/>
    </xf>
    <xf borderId="0" fillId="6" fontId="2" numFmtId="10" xfId="0" applyAlignment="1" applyFont="1" applyNumberFormat="1">
      <alignment readingOrder="0"/>
    </xf>
    <xf borderId="0" fillId="6" fontId="2" numFmtId="3" xfId="0" applyFont="1" applyNumberFormat="1"/>
    <xf borderId="0" fillId="6" fontId="2" numFmtId="9" xfId="0" applyAlignment="1" applyFont="1" applyNumberFormat="1">
      <alignment readingOrder="0"/>
    </xf>
    <xf borderId="0" fillId="0" fontId="2" numFmtId="3" xfId="0" applyFont="1" applyNumberFormat="1"/>
    <xf borderId="0" fillId="0" fontId="2" numFmtId="10" xfId="0" applyFont="1" applyNumberFormat="1"/>
    <xf borderId="2" fillId="0" fontId="2" numFmtId="0" xfId="0" applyAlignment="1" applyBorder="1" applyFont="1">
      <alignment horizontal="left"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8">
    <tableStyle count="3" pivot="0" name="ROI-style">
      <tableStyleElement dxfId="1" type="headerRow"/>
      <tableStyleElement dxfId="2" type="firstRowStripe"/>
      <tableStyleElement dxfId="3" type="secondRowStripe"/>
    </tableStyle>
    <tableStyle count="3" pivot="0" name="Advertisement Revenue-style">
      <tableStyleElement dxfId="1" type="headerRow"/>
      <tableStyleElement dxfId="2" type="firstRowStripe"/>
      <tableStyleElement dxfId="3" type="secondRowStripe"/>
    </tableStyle>
    <tableStyle count="3" pivot="0" name="Advertisement Revenue-style 2">
      <tableStyleElement dxfId="1" type="headerRow"/>
      <tableStyleElement dxfId="2" type="firstRowStripe"/>
      <tableStyleElement dxfId="3" type="secondRowStripe"/>
    </tableStyle>
    <tableStyle count="3" pivot="0" name="Advertisement Revenue-style 3">
      <tableStyleElement dxfId="1" type="headerRow"/>
      <tableStyleElement dxfId="2" type="firstRowStripe"/>
      <tableStyleElement dxfId="3" type="secondRowStripe"/>
    </tableStyle>
    <tableStyle count="3" pivot="0" name="Subscription Revenue-style">
      <tableStyleElement dxfId="1" type="headerRow"/>
      <tableStyleElement dxfId="2" type="firstRowStripe"/>
      <tableStyleElement dxfId="3" type="secondRowStripe"/>
    </tableStyle>
    <tableStyle count="3" pivot="0" name="Subscription Revenue-style 2">
      <tableStyleElement dxfId="1" type="headerRow"/>
      <tableStyleElement dxfId="2" type="firstRowStripe"/>
      <tableStyleElement dxfId="3" type="secondRowStripe"/>
    </tableStyle>
    <tableStyle count="3" pivot="0" name="Subscription Revenue-style 3">
      <tableStyleElement dxfId="1" type="headerRow"/>
      <tableStyleElement dxfId="2" type="firstRowStripe"/>
      <tableStyleElement dxfId="3" type="secondRowStripe"/>
    </tableStyle>
    <tableStyle count="3" pivot="0" name="Subscription Revenue-style 4">
      <tableStyleElement dxfId="1" type="headerRow"/>
      <tableStyleElement dxfId="2" type="firstRowStripe"/>
      <tableStyleElement dxfId="3" type="secondRowStripe"/>
    </tableStyle>
    <tableStyle count="3" pivot="0" name="Subscription Revenue-style 5">
      <tableStyleElement dxfId="1" type="headerRow"/>
      <tableStyleElement dxfId="2" type="firstRowStripe"/>
      <tableStyleElement dxfId="3" type="secondRowStripe"/>
    </tableStyle>
    <tableStyle count="3" pivot="0" name="Cost Structure -style">
      <tableStyleElement dxfId="1" type="headerRow"/>
      <tableStyleElement dxfId="2" type="firstRowStripe"/>
      <tableStyleElement dxfId="3" type="secondRowStripe"/>
    </tableStyle>
    <tableStyle count="2" pivot="0" name="Cost Structure -style 2">
      <tableStyleElement dxfId="2" type="firstRowStripe"/>
      <tableStyleElement dxfId="3" type="secondRowStripe"/>
    </tableStyle>
    <tableStyle count="2" pivot="0" name="Cost Structure -style 3">
      <tableStyleElement dxfId="3" type="firstRowStripe"/>
      <tableStyleElement dxfId="2" type="secondRowStripe"/>
    </tableStyle>
    <tableStyle count="3" pivot="0" name="Cost Structure -style 4">
      <tableStyleElement dxfId="1" type="headerRow"/>
      <tableStyleElement dxfId="2" type="firstRowStripe"/>
      <tableStyleElement dxfId="3" type="secondRowStripe"/>
    </tableStyle>
    <tableStyle count="3" pivot="0" name="Cost Structure -style 5">
      <tableStyleElement dxfId="1" type="headerRow"/>
      <tableStyleElement dxfId="2" type="firstRowStripe"/>
      <tableStyleElement dxfId="3" type="secondRowStripe"/>
    </tableStyle>
    <tableStyle count="3" pivot="0" name="Cost Structure -style 6">
      <tableStyleElement dxfId="1" type="headerRow"/>
      <tableStyleElement dxfId="2" type="firstRowStripe"/>
      <tableStyleElement dxfId="3" type="secondRowStripe"/>
    </tableStyle>
    <tableStyle count="3" pivot="0" name="Preparing for Growth-style">
      <tableStyleElement dxfId="1" type="headerRow"/>
      <tableStyleElement dxfId="2" type="firstRowStripe"/>
      <tableStyleElement dxfId="3" type="secondRowStripe"/>
    </tableStyle>
    <tableStyle count="2" pivot="0" name="Preparing for Growth-style 2">
      <tableStyleElement dxfId="2" type="firstRowStripe"/>
      <tableStyleElement dxfId="3" type="secondRowStripe"/>
    </tableStyle>
    <tableStyle count="2" pivot="0" name="Preparing for Growth-style 3">
      <tableStyleElement dxfId="3" type="firstRowStripe"/>
      <tableStyleElement dxfId="2" type="secondRowStripe"/>
    </tableStyle>
    <tableStyle count="3" pivot="0" name="Preparing for Growth-style 4">
      <tableStyleElement dxfId="1" type="headerRow"/>
      <tableStyleElement dxfId="2" type="firstRowStripe"/>
      <tableStyleElement dxfId="3" type="secondRowStripe"/>
    </tableStyle>
    <tableStyle count="3" pivot="0" name="Preparing for Growth-style 5">
      <tableStyleElement dxfId="1" type="headerRow"/>
      <tableStyleElement dxfId="2" type="firstRowStripe"/>
      <tableStyleElement dxfId="3" type="secondRowStripe"/>
    </tableStyle>
    <tableStyle count="3" pivot="0" name="Preparing for Growth-style 6">
      <tableStyleElement dxfId="1" type="headerRow"/>
      <tableStyleElement dxfId="2" type="firstRowStripe"/>
      <tableStyleElement dxfId="3" type="secondRowStripe"/>
    </tableStyle>
    <tableStyle count="3" pivot="0" name="Future Costs -style">
      <tableStyleElement dxfId="1" type="headerRow"/>
      <tableStyleElement dxfId="2" type="firstRowStripe"/>
      <tableStyleElement dxfId="3" type="secondRowStripe"/>
    </tableStyle>
    <tableStyle count="3" pivot="0" name="Future Costs -style 2">
      <tableStyleElement dxfId="1" type="headerRow"/>
      <tableStyleElement dxfId="2" type="firstRowStripe"/>
      <tableStyleElement dxfId="3" type="secondRowStripe"/>
    </tableStyle>
    <tableStyle count="3" pivot="0" name="Future Costs -style 3">
      <tableStyleElement dxfId="1" type="headerRow"/>
      <tableStyleElement dxfId="2" type="firstRowStripe"/>
      <tableStyleElement dxfId="3" type="secondRowStripe"/>
    </tableStyle>
    <tableStyle count="3" pivot="0" name="Future Costs -style 4">
      <tableStyleElement dxfId="1" type="headerRow"/>
      <tableStyleElement dxfId="2" type="firstRowStripe"/>
      <tableStyleElement dxfId="3" type="secondRowStripe"/>
    </tableStyle>
    <tableStyle count="3" pivot="0" name="Future Costs -style 5">
      <tableStyleElement dxfId="1" type="headerRow"/>
      <tableStyleElement dxfId="2" type="firstRowStripe"/>
      <tableStyleElement dxfId="3" type="secondRowStripe"/>
    </tableStyle>
    <tableStyle count="3" pivot="0" name="Future Costs -style 6">
      <tableStyleElement dxfId="1" type="headerRow"/>
      <tableStyleElement dxfId="2" type="firstRowStripe"/>
      <tableStyleElement dxfId="3" type="secondRowStripe"/>
    </tableStyle>
    <tableStyle count="3" pivot="0" name="Future Costs 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" displayName="ROI" name="ROI" id="1">
  <tableColumns count="6">
    <tableColumn name="Year" id="1"/>
    <tableColumn name="Incr. Ad Revenue" id="2"/>
    <tableColumn name="Incr. Subscription Revenue" id="3"/>
    <tableColumn name="Total Incr. Revenue" id="4"/>
    <tableColumn name="Investment" id="5"/>
    <tableColumn name="ROI" id="6"/>
  </tableColumns>
  <tableStyleInfo name="ROI-style" showColumnStripes="0" showFirstColumn="1" showLastColumn="1" showRowStripes="1"/>
</table>
</file>

<file path=xl/tables/table2.xml><?xml version="1.0" encoding="utf-8"?>
<table xmlns="http://schemas.openxmlformats.org/spreadsheetml/2006/main" ref="A1:B6" displayName="CPM_Model" name="CPM_Model" id="2">
  <tableColumns count="2">
    <tableColumn name="Variables" id="1"/>
    <tableColumn name="Values" id="2"/>
  </tableColumns>
  <tableStyleInfo name="Advertisement Revenue-style" showColumnStripes="0" showFirstColumn="1" showLastColumn="1" showRowStripes="1"/>
</table>
</file>

<file path=xl/tables/table3.xml><?xml version="1.0" encoding="utf-8"?>
<table xmlns="http://schemas.openxmlformats.org/spreadsheetml/2006/main" ref="E1:F7" displayName="CPC_Model" name="CPC_Model" id="3">
  <tableColumns count="2">
    <tableColumn name="Variables" id="1"/>
    <tableColumn name="Values" id="2"/>
  </tableColumns>
  <tableStyleInfo name="Advertisement Revenue-style 2" showColumnStripes="0" showFirstColumn="1" showLastColumn="1" showRowStripes="1"/>
</table>
</file>

<file path=xl/tables/table4.xml><?xml version="1.0" encoding="utf-8"?>
<table xmlns="http://schemas.openxmlformats.org/spreadsheetml/2006/main" ref="H1:I7" displayName="Impressions" name="Impressions" id="4">
  <tableColumns count="2">
    <tableColumn name="Variables" id="1"/>
    <tableColumn name="Values" id="2"/>
  </tableColumns>
  <tableStyleInfo name="Advertisement Revenue-style 3" showColumnStripes="0" showFirstColumn="1" showLastColumn="1" showRowStripes="1"/>
</table>
</file>

<file path=xl/tables/table5.xml><?xml version="1.0" encoding="utf-8"?>
<table xmlns="http://schemas.openxmlformats.org/spreadsheetml/2006/main" ref="A1:B4" displayName="Subscription_Revenue" name="Subscription_Revenue" id="5">
  <tableColumns count="2">
    <tableColumn name="Variables" id="1"/>
    <tableColumn name="Values" id="2"/>
  </tableColumns>
  <tableStyleInfo name="Subscription Revenue-style" showColumnStripes="0" showFirstColumn="1" showLastColumn="1" showRowStripes="1"/>
</table>
</file>

<file path=xl/tables/table6.xml><?xml version="1.0" encoding="utf-8"?>
<table xmlns="http://schemas.openxmlformats.org/spreadsheetml/2006/main" ref="D1:E3" displayName="Annual_Revenue_Per_Subscriber" name="Annual_Revenue_Per_Subscriber" id="6">
  <tableColumns count="2">
    <tableColumn name="Variables" id="1"/>
    <tableColumn name="Values" id="2"/>
  </tableColumns>
  <tableStyleInfo name="Subscription Revenue-style 2" showColumnStripes="0" showFirstColumn="1" showLastColumn="1" showRowStripes="1"/>
</table>
</file>

<file path=xl/tables/table7.xml><?xml version="1.0" encoding="utf-8"?>
<table xmlns="http://schemas.openxmlformats.org/spreadsheetml/2006/main" ref="G1:H9" displayName="Subscribers" name="Subscribers" id="7">
  <tableColumns count="2">
    <tableColumn name="Variables" id="1"/>
    <tableColumn name="Values" id="2"/>
  </tableColumns>
  <tableStyleInfo name="Subscription Revenue-style 3" showColumnStripes="0" showFirstColumn="1" showLastColumn="1" showRowStripes="1"/>
</table>
</file>

<file path=xl/tables/table8.xml><?xml version="1.0" encoding="utf-8"?>
<table xmlns="http://schemas.openxmlformats.org/spreadsheetml/2006/main" ref="D5:E9" displayName="New_Subscribers" name="New_Subscribers" id="8">
  <tableColumns count="2">
    <tableColumn name="Variables" id="1"/>
    <tableColumn name="Values" id="2"/>
  </tableColumns>
  <tableStyleInfo name="Subscription Revenue-style 4" showColumnStripes="0" showFirstColumn="1" showLastColumn="1" showRowStripes="1"/>
</table>
</file>

<file path=xl/tables/table9.xml><?xml version="1.0" encoding="utf-8"?>
<table xmlns="http://schemas.openxmlformats.org/spreadsheetml/2006/main" ref="D11:E15" displayName="Churn" name="Churn" id="9">
  <tableColumns count="2">
    <tableColumn name="Variables" id="1"/>
    <tableColumn name="Values" id="2"/>
  </tableColumns>
  <tableStyleInfo name="Subscription Revenue-style 5" showColumnStripes="0" showFirstColumn="1" showLastColumn="1" showRowStripes="1"/>
</table>
</file>

<file path=xl/tables/table10.xml><?xml version="1.0" encoding="utf-8"?>
<table xmlns="http://schemas.openxmlformats.org/spreadsheetml/2006/main" ref="B2:D8" displayName="Cloud_Infrastructure" name="Cloud_Infrastructure" id="10">
  <tableColumns count="3">
    <tableColumn name="Name " id="1"/>
    <tableColumn name="Cost  (€)" id="2"/>
    <tableColumn name="Total Cost (€)/ year" id="3"/>
  </tableColumns>
  <tableStyleInfo name="Cost Structure -style" showColumnStripes="0" showFirstColumn="1" showLastColumn="1" showRowStripes="1"/>
</table>
</file>

<file path=xl/tables/table11.xml><?xml version="1.0" encoding="utf-8"?>
<table xmlns="http://schemas.openxmlformats.org/spreadsheetml/2006/main" headerRowCount="0" ref="F2:G5" displayName="Table_1" name="Table_1" id="11">
  <tableColumns count="2">
    <tableColumn name="Column1" id="1"/>
    <tableColumn name="Column2" id="2"/>
  </tableColumns>
  <tableStyleInfo name="Cost Structure -style 2" showColumnStripes="0" showFirstColumn="1" showLastColumn="1" showRowStripes="1"/>
</table>
</file>

<file path=xl/tables/table12.xml><?xml version="1.0" encoding="utf-8"?>
<table xmlns="http://schemas.openxmlformats.org/spreadsheetml/2006/main" headerRowCount="0" ref="F7:G7" displayName="Table_2" name="Table_2" id="12">
  <tableColumns count="2">
    <tableColumn name="Column1" id="1"/>
    <tableColumn name="Column2" id="2"/>
  </tableColumns>
  <tableStyleInfo name="Cost Structure -style 3" showColumnStripes="0" showFirstColumn="1" showLastColumn="1" showRowStripes="1"/>
</table>
</file>

<file path=xl/tables/table13.xml><?xml version="1.0" encoding="utf-8"?>
<table xmlns="http://schemas.openxmlformats.org/spreadsheetml/2006/main" ref="B14:D20" displayName="Model_Training" name="Model_Training" id="13">
  <tableColumns count="3">
    <tableColumn name="Name" id="1"/>
    <tableColumn name="Cost" id="2"/>
    <tableColumn name="Total Cost " id="3"/>
  </tableColumns>
  <tableStyleInfo name="Cost Structure -style 4" showColumnStripes="0" showFirstColumn="1" showLastColumn="1" showRowStripes="1"/>
</table>
</file>

<file path=xl/tables/table14.xml><?xml version="1.0" encoding="utf-8"?>
<table xmlns="http://schemas.openxmlformats.org/spreadsheetml/2006/main" ref="B23:E28" displayName="Salaries" name="Salaries" id="14">
  <tableColumns count="4">
    <tableColumn name="Name " id="1"/>
    <tableColumn name="Average Salary" id="2"/>
    <tableColumn name="Team Size " id="3"/>
    <tableColumn name="Total Cost/ year " id="4"/>
  </tableColumns>
  <tableStyleInfo name="Cost Structure -style 5" showColumnStripes="0" showFirstColumn="1" showLastColumn="1" showRowStripes="1"/>
</table>
</file>

<file path=xl/tables/table15.xml><?xml version="1.0" encoding="utf-8"?>
<table xmlns="http://schemas.openxmlformats.org/spreadsheetml/2006/main" ref="B30:C35" displayName="Compliance_and_Security" name="Compliance_and_Security" id="15">
  <tableColumns count="2">
    <tableColumn name="Name " id="1"/>
    <tableColumn name="Cost " id="2"/>
  </tableColumns>
  <tableStyleInfo name="Cost Structure -style 6" showColumnStripes="0" showFirstColumn="1" showLastColumn="1" showRowStripes="1"/>
</table>
</file>

<file path=xl/tables/table16.xml><?xml version="1.0" encoding="utf-8"?>
<table xmlns="http://schemas.openxmlformats.org/spreadsheetml/2006/main" ref="B2:D8" displayName="Cloud_Infrastructure_Cost" name="Cloud_Infrastructure_Cost" id="16">
  <tableColumns count="3">
    <tableColumn name="Name " id="1"/>
    <tableColumn name="Cost  (€)" id="2"/>
    <tableColumn name="Total Cost (€)/ year" id="3"/>
  </tableColumns>
  <tableStyleInfo name="Preparing for Growth-style" showColumnStripes="0" showFirstColumn="1" showLastColumn="1" showRowStripes="1"/>
</table>
</file>

<file path=xl/tables/table17.xml><?xml version="1.0" encoding="utf-8"?>
<table xmlns="http://schemas.openxmlformats.org/spreadsheetml/2006/main" headerRowCount="0" ref="F2:G5" displayName="Table_3" name="Table_3" id="17">
  <tableColumns count="2">
    <tableColumn name="Column1" id="1"/>
    <tableColumn name="Column2" id="2"/>
  </tableColumns>
  <tableStyleInfo name="Preparing for Growth-style 2" showColumnStripes="0" showFirstColumn="1" showLastColumn="1" showRowStripes="1"/>
</table>
</file>

<file path=xl/tables/table18.xml><?xml version="1.0" encoding="utf-8"?>
<table xmlns="http://schemas.openxmlformats.org/spreadsheetml/2006/main" headerRowCount="0" ref="F7:G8" displayName="Table_4" name="Table_4" id="18">
  <tableColumns count="2">
    <tableColumn name="Column1" id="1"/>
    <tableColumn name="Column2" id="2"/>
  </tableColumns>
  <tableStyleInfo name="Preparing for Growth-style 3" showColumnStripes="0" showFirstColumn="1" showLastColumn="1" showRowStripes="1"/>
</table>
</file>

<file path=xl/tables/table19.xml><?xml version="1.0" encoding="utf-8"?>
<table xmlns="http://schemas.openxmlformats.org/spreadsheetml/2006/main" ref="B13:D19" displayName="AI_Model_Training_Cost" name="AI_Model_Training_Cost" id="19">
  <tableColumns count="3">
    <tableColumn name="Name" id="1"/>
    <tableColumn name="Cost" id="2"/>
    <tableColumn name="Total Cost " id="3"/>
  </tableColumns>
  <tableStyleInfo name="Preparing for Growth-style 4" showColumnStripes="0" showFirstColumn="1" showLastColumn="1" showRowStripes="1"/>
</table>
</file>

<file path=xl/tables/table20.xml><?xml version="1.0" encoding="utf-8"?>
<table xmlns="http://schemas.openxmlformats.org/spreadsheetml/2006/main" ref="B22:E27" displayName="Salaries_Cost" name="Salaries_Cost" id="20">
  <tableColumns count="4">
    <tableColumn name="Name " id="1"/>
    <tableColumn name="Average Salary" id="2"/>
    <tableColumn name="Team Size " id="3"/>
    <tableColumn name="Total Cost/ year " id="4"/>
  </tableColumns>
  <tableStyleInfo name="Preparing for Growth-style 5" showColumnStripes="0" showFirstColumn="1" showLastColumn="1" showRowStripes="1"/>
</table>
</file>

<file path=xl/tables/table21.xml><?xml version="1.0" encoding="utf-8"?>
<table xmlns="http://schemas.openxmlformats.org/spreadsheetml/2006/main" ref="B29:C34" displayName="Compliance_and_Security_Cost" name="Compliance_and_Security_Cost" id="21">
  <tableColumns count="2">
    <tableColumn name="Name " id="1"/>
    <tableColumn name="Cost " id="2"/>
  </tableColumns>
  <tableStyleInfo name="Preparing for Growth-style 6" showColumnStripes="0" showFirstColumn="1" showLastColumn="1" showRowStripes="1"/>
</table>
</file>

<file path=xl/tables/table22.xml><?xml version="1.0" encoding="utf-8"?>
<table xmlns="http://schemas.openxmlformats.org/spreadsheetml/2006/main" ref="B5:D9" displayName="Data_Ingestions_Costs" name="Data_Ingestions_Costs" id="22">
  <tableColumns count="3">
    <tableColumn name="Name" id="1"/>
    <tableColumn name="Cost" id="2"/>
    <tableColumn name="Comment" id="3"/>
  </tableColumns>
  <tableStyleInfo name="Future Costs -style" showColumnStripes="0" showFirstColumn="1" showLastColumn="1" showRowStripes="1"/>
</table>
</file>

<file path=xl/tables/table23.xml><?xml version="1.0" encoding="utf-8"?>
<table xmlns="http://schemas.openxmlformats.org/spreadsheetml/2006/main" ref="B12:D16" displayName="Storage_Costs" name="Storage_Costs" id="23">
  <tableColumns count="3">
    <tableColumn name="Name" id="1"/>
    <tableColumn name="Cost " id="2"/>
    <tableColumn name="Comment" id="3"/>
  </tableColumns>
  <tableStyleInfo name="Future Costs -style 2" showColumnStripes="0" showFirstColumn="1" showLastColumn="1" showRowStripes="1"/>
</table>
</file>

<file path=xl/tables/table24.xml><?xml version="1.0" encoding="utf-8"?>
<table xmlns="http://schemas.openxmlformats.org/spreadsheetml/2006/main" ref="B18:D20" displayName="Processing_Costs" name="Processing_Costs" id="24">
  <tableColumns count="3">
    <tableColumn name="Name" id="1"/>
    <tableColumn name="Cost " id="2"/>
    <tableColumn name="Comment" id="3"/>
  </tableColumns>
  <tableStyleInfo name="Future Costs -style 3" showColumnStripes="0" showFirstColumn="1" showLastColumn="1" showRowStripes="1"/>
</table>
</file>

<file path=xl/tables/table25.xml><?xml version="1.0" encoding="utf-8"?>
<table xmlns="http://schemas.openxmlformats.org/spreadsheetml/2006/main" ref="B22:D24" displayName="AI_Enrichment_and_Model_Training_Costs" name="AI_Enrichment_and_Model_Training_Costs" id="25">
  <tableColumns count="3">
    <tableColumn name="Name" id="1"/>
    <tableColumn name="Cost " id="2"/>
    <tableColumn name="Comment" id="3"/>
  </tableColumns>
  <tableStyleInfo name="Future Costs -style 4" showColumnStripes="0" showFirstColumn="1" showLastColumn="1" showRowStripes="1"/>
</table>
</file>

<file path=xl/tables/table26.xml><?xml version="1.0" encoding="utf-8"?>
<table xmlns="http://schemas.openxmlformats.org/spreadsheetml/2006/main" ref="B27:D36" displayName="DMC_Costs" name="DMC_Costs" id="26">
  <tableColumns count="3">
    <tableColumn name="Name" id="1"/>
    <tableColumn name="Cost " id="2"/>
    <tableColumn name="Comment" id="3"/>
  </tableColumns>
  <tableStyleInfo name="Future Costs -style 5" showColumnStripes="0" showFirstColumn="1" showLastColumn="1" showRowStripes="1"/>
</table>
</file>

<file path=xl/tables/table27.xml><?xml version="1.0" encoding="utf-8"?>
<table xmlns="http://schemas.openxmlformats.org/spreadsheetml/2006/main" ref="B39:D41" displayName="TCP_Costs" name="TCP_Costs" id="27">
  <tableColumns count="3">
    <tableColumn name="Name" id="1"/>
    <tableColumn name="Cost " id="2"/>
    <tableColumn name="Comment" id="3"/>
  </tableColumns>
  <tableStyleInfo name="Future Costs -style 6" showColumnStripes="0" showFirstColumn="1" showLastColumn="1" showRowStripes="1"/>
</table>
</file>

<file path=xl/tables/table28.xml><?xml version="1.0" encoding="utf-8"?>
<table xmlns="http://schemas.openxmlformats.org/spreadsheetml/2006/main" ref="B44:D47" displayName="Security_and_Optimization_Costs" name="Security_and_Optimization_Costs" id="28">
  <tableColumns count="3">
    <tableColumn name="Name" id="1"/>
    <tableColumn name="Cost " id="2"/>
    <tableColumn name="Comment" id="3"/>
  </tableColumns>
  <tableStyleInfo name="Future Costs 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9.xml"/><Relationship Id="rId10" Type="http://schemas.openxmlformats.org/officeDocument/2006/relationships/table" Target="../tables/table8.xml"/><Relationship Id="rId9" Type="http://schemas.openxmlformats.org/officeDocument/2006/relationships/table" Target="../tables/table7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13" Type="http://schemas.openxmlformats.org/officeDocument/2006/relationships/table" Target="../tables/table15.xml"/><Relationship Id="rId12" Type="http://schemas.openxmlformats.org/officeDocument/2006/relationships/table" Target="../tables/table14.xml"/><Relationship Id="rId9" Type="http://schemas.openxmlformats.org/officeDocument/2006/relationships/table" Target="../tables/table11.xml"/><Relationship Id="rId8" Type="http://schemas.openxmlformats.org/officeDocument/2006/relationships/table" Target="../tables/table10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9.xml"/><Relationship Id="rId10" Type="http://schemas.openxmlformats.org/officeDocument/2006/relationships/table" Target="../tables/table18.xml"/><Relationship Id="rId13" Type="http://schemas.openxmlformats.org/officeDocument/2006/relationships/table" Target="../tables/table21.xml"/><Relationship Id="rId12" Type="http://schemas.openxmlformats.org/officeDocument/2006/relationships/table" Target="../tables/table20.xml"/><Relationship Id="rId9" Type="http://schemas.openxmlformats.org/officeDocument/2006/relationships/table" Target="../tables/table17.xml"/><Relationship Id="rId8" Type="http://schemas.openxmlformats.org/officeDocument/2006/relationships/table" Target="../tables/table1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24.xml"/><Relationship Id="rId10" Type="http://schemas.openxmlformats.org/officeDocument/2006/relationships/table" Target="../tables/table23.xml"/><Relationship Id="rId13" Type="http://schemas.openxmlformats.org/officeDocument/2006/relationships/table" Target="../tables/table26.xml"/><Relationship Id="rId12" Type="http://schemas.openxmlformats.org/officeDocument/2006/relationships/table" Target="../tables/table25.xml"/><Relationship Id="rId9" Type="http://schemas.openxmlformats.org/officeDocument/2006/relationships/table" Target="../tables/table22.xml"/><Relationship Id="rId15" Type="http://schemas.openxmlformats.org/officeDocument/2006/relationships/table" Target="../tables/table28.xml"/><Relationship Id="rId1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0.43"/>
    <col customWidth="1" min="3" max="3" width="28.86"/>
    <col customWidth="1" min="4" max="4" width="22.29"/>
    <col customWidth="1" min="5" max="5" width="19.86"/>
    <col customWidth="1" min="6" max="6" width="14.57"/>
    <col customWidth="1" min="7" max="7" width="10.71"/>
    <col customWidth="1" min="8" max="8" width="16.71"/>
    <col customWidth="1" min="9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5" t="s">
        <v>6</v>
      </c>
      <c r="J1" s="6"/>
    </row>
    <row r="2">
      <c r="A2" s="7">
        <v>1.0</v>
      </c>
      <c r="B2" s="8">
        <f>'Advertisement Revenue'!B6+'Advertisement Revenue'!F7</f>
        <v>1661080.141</v>
      </c>
      <c r="C2" s="8">
        <f>'Subscription Revenue'!B4</f>
        <v>38112734.16</v>
      </c>
      <c r="D2" s="8">
        <f t="shared" ref="D2:D4" si="1">B2+C2</f>
        <v>39773814.3</v>
      </c>
      <c r="E2" s="9">
        <f>'Preparing for Growth'!D37</f>
        <v>4325381.533</v>
      </c>
      <c r="F2" s="10">
        <f t="shared" ref="F2:F4" si="2">(D2-E2)/E2</f>
        <v>8.195446458</v>
      </c>
      <c r="H2" s="11" t="s">
        <v>7</v>
      </c>
      <c r="I2" s="12">
        <v>0.1</v>
      </c>
    </row>
    <row r="3">
      <c r="A3" s="7">
        <v>2.0</v>
      </c>
      <c r="B3" s="8">
        <f t="shared" ref="B3:B4" si="3">B2*(1+I2)</f>
        <v>1827188.155</v>
      </c>
      <c r="C3" s="8">
        <f t="shared" ref="C3:C4" si="4">C2*(1+I2)</f>
        <v>41924007.58</v>
      </c>
      <c r="D3" s="8">
        <f t="shared" si="1"/>
        <v>43751195.73</v>
      </c>
      <c r="E3" s="9">
        <f>E2*(1+'Preparing for Growth'!F37)</f>
        <v>4540826.777</v>
      </c>
      <c r="F3" s="13">
        <f t="shared" si="2"/>
        <v>8.635072615</v>
      </c>
      <c r="H3" s="11" t="s">
        <v>8</v>
      </c>
      <c r="I3" s="12">
        <v>0.2</v>
      </c>
    </row>
    <row r="4">
      <c r="A4" s="7">
        <v>3.0</v>
      </c>
      <c r="B4" s="8">
        <f t="shared" si="3"/>
        <v>2192625.786</v>
      </c>
      <c r="C4" s="8">
        <f t="shared" si="4"/>
        <v>50308809.09</v>
      </c>
      <c r="D4" s="8">
        <f t="shared" si="1"/>
        <v>52501434.88</v>
      </c>
      <c r="E4" s="9">
        <f>E3*(1+'Preparing for Growth'!F38)</f>
        <v>4993179.719</v>
      </c>
      <c r="F4" s="13">
        <f t="shared" si="2"/>
        <v>9.51462952</v>
      </c>
    </row>
    <row r="5">
      <c r="A5" s="14" t="s">
        <v>9</v>
      </c>
      <c r="C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ataValidations>
    <dataValidation type="custom" allowBlank="1" showDropDown="1" sqref="B2:F4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86"/>
    <col customWidth="1" min="2" max="2" width="26.0"/>
    <col customWidth="1" min="3" max="4" width="8.86"/>
    <col customWidth="1" min="5" max="5" width="23.0"/>
    <col customWidth="1" min="6" max="6" width="25.57"/>
    <col customWidth="1" min="7" max="7" width="8.86"/>
    <col customWidth="1" min="8" max="8" width="81.71"/>
    <col customWidth="1" min="9" max="9" width="18.43"/>
    <col customWidth="1" min="10" max="19" width="8.86"/>
  </cols>
  <sheetData>
    <row r="1">
      <c r="A1" s="16" t="s">
        <v>10</v>
      </c>
      <c r="B1" s="17" t="s">
        <v>11</v>
      </c>
      <c r="E1" s="16" t="s">
        <v>10</v>
      </c>
      <c r="F1" s="17" t="s">
        <v>11</v>
      </c>
      <c r="H1" s="18" t="s">
        <v>10</v>
      </c>
      <c r="I1" s="19" t="s">
        <v>11</v>
      </c>
    </row>
    <row r="2">
      <c r="A2" s="20" t="s">
        <v>12</v>
      </c>
      <c r="B2" s="21">
        <f>I7</f>
        <v>209732341</v>
      </c>
      <c r="E2" s="20" t="s">
        <v>12</v>
      </c>
      <c r="F2" s="21">
        <f>I7</f>
        <v>209732341</v>
      </c>
      <c r="H2" s="22" t="s">
        <v>13</v>
      </c>
      <c r="I2" s="23">
        <v>4979946.0</v>
      </c>
    </row>
    <row r="3">
      <c r="A3" s="20" t="s">
        <v>14</v>
      </c>
      <c r="B3" s="24">
        <f>F12</f>
        <v>0.144</v>
      </c>
      <c r="E3" s="20" t="s">
        <v>14</v>
      </c>
      <c r="F3" s="24">
        <f>F12</f>
        <v>0.144</v>
      </c>
      <c r="H3" s="25" t="s">
        <v>15</v>
      </c>
      <c r="I3" s="26">
        <f>13/365</f>
        <v>0.03561643836</v>
      </c>
    </row>
    <row r="4">
      <c r="A4" s="20" t="s">
        <v>16</v>
      </c>
      <c r="B4" s="21">
        <v>5.0</v>
      </c>
      <c r="E4" s="20" t="s">
        <v>16</v>
      </c>
      <c r="F4" s="21">
        <v>5.0</v>
      </c>
      <c r="H4" s="22" t="s">
        <v>17</v>
      </c>
      <c r="I4" s="27">
        <f>I2/I3</f>
        <v>139821560.8</v>
      </c>
    </row>
    <row r="5">
      <c r="A5" s="20" t="s">
        <v>18</v>
      </c>
      <c r="B5" s="24">
        <v>5.0</v>
      </c>
      <c r="E5" s="20" t="s">
        <v>19</v>
      </c>
      <c r="F5" s="24">
        <v>0.01</v>
      </c>
      <c r="H5" s="25" t="s">
        <v>20</v>
      </c>
      <c r="I5" s="28">
        <v>0.5</v>
      </c>
    </row>
    <row r="6">
      <c r="A6" s="29" t="s">
        <v>21</v>
      </c>
      <c r="B6" s="30">
        <f>(((B2*B3*B4)/1000)*B5)</f>
        <v>755036.4276</v>
      </c>
      <c r="E6" s="31" t="s">
        <v>22</v>
      </c>
      <c r="F6" s="21">
        <v>0.6</v>
      </c>
      <c r="H6" s="22" t="s">
        <v>23</v>
      </c>
      <c r="I6" s="27">
        <f>ROUND(I4*I5, 0)</f>
        <v>69910780</v>
      </c>
    </row>
    <row r="7">
      <c r="E7" s="29" t="s">
        <v>21</v>
      </c>
      <c r="F7" s="32">
        <f>(F2*F3*F4*F5*F6)</f>
        <v>906043.7131</v>
      </c>
      <c r="H7" s="33" t="s">
        <v>24</v>
      </c>
      <c r="I7" s="34">
        <f>ROUND(I6+I4,0)</f>
        <v>209732341</v>
      </c>
    </row>
    <row r="10">
      <c r="E10" s="11" t="s">
        <v>25</v>
      </c>
      <c r="F10" s="35">
        <v>0.056</v>
      </c>
    </row>
    <row r="11">
      <c r="E11" s="11" t="s">
        <v>26</v>
      </c>
      <c r="F11" s="12">
        <v>0.2</v>
      </c>
      <c r="H11" s="36"/>
    </row>
    <row r="12">
      <c r="E12" s="11" t="s">
        <v>14</v>
      </c>
      <c r="F12" s="37">
        <f>F11-F10</f>
        <v>0.144</v>
      </c>
    </row>
    <row r="13">
      <c r="H13" s="38"/>
      <c r="I13" s="38"/>
      <c r="K13" s="36"/>
    </row>
    <row r="14">
      <c r="H14" s="38"/>
      <c r="I14" s="38"/>
    </row>
    <row r="15">
      <c r="E15" s="39"/>
      <c r="H15" s="38"/>
      <c r="I15" s="38"/>
    </row>
    <row r="16" ht="15.75" customHeight="1">
      <c r="H16" s="38"/>
      <c r="I16" s="38"/>
    </row>
    <row r="17" ht="15.75" customHeight="1">
      <c r="H17" s="38"/>
      <c r="I17" s="38"/>
    </row>
    <row r="18" ht="15.75" customHeight="1">
      <c r="H18" s="38"/>
      <c r="I18" s="38"/>
    </row>
    <row r="19" ht="15.75" customHeight="1">
      <c r="H19" s="38"/>
      <c r="I19" s="38"/>
    </row>
    <row r="20" ht="15.75" customHeight="1"/>
    <row r="21" ht="15.75" customHeight="1"/>
    <row r="22" ht="15.75" customHeight="1">
      <c r="I22" s="36"/>
    </row>
    <row r="23" ht="15.75" customHeight="1"/>
    <row r="24" ht="15.75" customHeight="1">
      <c r="H24" s="3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ataValidations>
    <dataValidation type="custom" allowBlank="1" showDropDown="1" sqref="B2:B6 F2:F7">
      <formula1>AND(ISNUMBER(B2),(NOT(OR(NOT(ISERROR(DATEVALUE(B2))), AND(ISNUMBER(B2), LEFT(CELL("format", B2))="D")))))</formula1>
    </dataValidation>
  </dataValidations>
  <printOptions/>
  <pageMargins bottom="1.0" footer="0.0" header="0.0" left="0.75" right="0.75" top="1.0"/>
  <pageSetup orientation="landscape"/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14"/>
    <col customWidth="1" min="2" max="2" width="24.71"/>
    <col customWidth="1" min="4" max="4" width="32.0"/>
    <col customWidth="1" min="5" max="5" width="15.14"/>
    <col customWidth="1" min="7" max="7" width="47.0"/>
    <col customWidth="1" min="8" max="8" width="15.14"/>
  </cols>
  <sheetData>
    <row r="1">
      <c r="A1" s="16" t="s">
        <v>10</v>
      </c>
      <c r="B1" s="17" t="s">
        <v>11</v>
      </c>
      <c r="D1" s="40" t="s">
        <v>10</v>
      </c>
      <c r="E1" s="19" t="s">
        <v>11</v>
      </c>
      <c r="G1" s="18" t="s">
        <v>10</v>
      </c>
      <c r="H1" s="19" t="s">
        <v>11</v>
      </c>
    </row>
    <row r="2">
      <c r="A2" s="20" t="s">
        <v>27</v>
      </c>
      <c r="B2" s="23">
        <f>E9</f>
        <v>302482</v>
      </c>
      <c r="D2" s="22" t="s">
        <v>28</v>
      </c>
      <c r="E2" s="41">
        <v>10.0</v>
      </c>
      <c r="G2" s="22" t="s">
        <v>29</v>
      </c>
      <c r="H2" s="27">
        <v>876956.0</v>
      </c>
    </row>
    <row r="3">
      <c r="A3" s="20" t="s">
        <v>30</v>
      </c>
      <c r="B3" s="42">
        <f>E2*E3</f>
        <v>120</v>
      </c>
      <c r="D3" s="33" t="s">
        <v>31</v>
      </c>
      <c r="E3" s="43">
        <v>12.0</v>
      </c>
      <c r="G3" s="25" t="s">
        <v>32</v>
      </c>
      <c r="H3" s="44">
        <v>13.0</v>
      </c>
    </row>
    <row r="4">
      <c r="A4" s="29" t="s">
        <v>33</v>
      </c>
      <c r="B4" s="45">
        <f>(B2*B3)+E15</f>
        <v>38112734.16</v>
      </c>
      <c r="G4" s="22" t="s">
        <v>34</v>
      </c>
      <c r="H4" s="41">
        <v>365.0</v>
      </c>
    </row>
    <row r="5">
      <c r="D5" s="40" t="s">
        <v>10</v>
      </c>
      <c r="E5" s="19" t="s">
        <v>11</v>
      </c>
      <c r="G5" s="25" t="s">
        <v>35</v>
      </c>
      <c r="H5" s="28">
        <v>0.4</v>
      </c>
    </row>
    <row r="6">
      <c r="D6" s="22" t="s">
        <v>36</v>
      </c>
      <c r="E6" s="46">
        <f>round(H9,0)</f>
        <v>15124118</v>
      </c>
      <c r="G6" s="22" t="s">
        <v>37</v>
      </c>
      <c r="H6" s="27">
        <f>H4/H3</f>
        <v>28.07692308</v>
      </c>
    </row>
    <row r="7">
      <c r="D7" s="25" t="s">
        <v>38</v>
      </c>
      <c r="E7" s="24">
        <v>0.04</v>
      </c>
      <c r="G7" s="25" t="s">
        <v>39</v>
      </c>
      <c r="H7" s="42">
        <f>H2*H5</f>
        <v>350782.4</v>
      </c>
    </row>
    <row r="8">
      <c r="D8" s="22" t="s">
        <v>40</v>
      </c>
      <c r="E8" s="21">
        <v>0.02</v>
      </c>
      <c r="G8" s="22" t="s">
        <v>41</v>
      </c>
      <c r="H8" s="27">
        <f>H2*(1-H5)</f>
        <v>526173.6</v>
      </c>
    </row>
    <row r="9">
      <c r="D9" s="33" t="s">
        <v>27</v>
      </c>
      <c r="E9" s="32">
        <f>round(E6*(E7-E8),0)</f>
        <v>302482</v>
      </c>
      <c r="G9" s="33" t="s">
        <v>42</v>
      </c>
      <c r="H9" s="34">
        <f> (H8*H6)+H7</f>
        <v>15124118.09</v>
      </c>
    </row>
    <row r="11">
      <c r="D11" s="18" t="s">
        <v>10</v>
      </c>
      <c r="E11" s="19" t="s">
        <v>11</v>
      </c>
    </row>
    <row r="12">
      <c r="D12" s="22" t="s">
        <v>43</v>
      </c>
      <c r="E12" s="47">
        <v>0.1</v>
      </c>
    </row>
    <row r="13">
      <c r="D13" s="25" t="s">
        <v>44</v>
      </c>
      <c r="E13" s="28">
        <v>0.05</v>
      </c>
    </row>
    <row r="14">
      <c r="D14" s="22" t="s">
        <v>45</v>
      </c>
      <c r="E14" s="27">
        <f>(E8*E6)*(E12-E13)</f>
        <v>15124.118</v>
      </c>
    </row>
    <row r="15">
      <c r="D15" s="33" t="s">
        <v>46</v>
      </c>
      <c r="E15" s="34">
        <f>E14*B3</f>
        <v>1814894.16</v>
      </c>
    </row>
    <row r="20">
      <c r="G20" s="48"/>
    </row>
  </sheetData>
  <dataValidations>
    <dataValidation type="custom" allowBlank="1" showDropDown="1" sqref="B2:B4 E6:E9">
      <formula1>AND(ISNUMBER(B2),(NOT(OR(NOT(ISERROR(DATEVALUE(B2))), AND(ISNUMBER(B2), LEFT(CELL("format", B2))="D")))))</formula1>
    </dataValidation>
  </dataValidations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43.0"/>
    <col customWidth="1" min="3" max="3" width="19.86"/>
    <col customWidth="1" min="4" max="4" width="24.43"/>
    <col customWidth="1" min="6" max="6" width="39.43"/>
    <col customWidth="1" min="7" max="7" width="22.0"/>
  </cols>
  <sheetData>
    <row r="1">
      <c r="A1" s="49" t="s">
        <v>47</v>
      </c>
    </row>
    <row r="2">
      <c r="A2" s="15" t="s">
        <v>48</v>
      </c>
      <c r="B2" s="50" t="s">
        <v>49</v>
      </c>
      <c r="C2" s="51" t="s">
        <v>50</v>
      </c>
      <c r="D2" s="52" t="s">
        <v>51</v>
      </c>
      <c r="F2" s="53" t="s">
        <v>13</v>
      </c>
      <c r="G2" s="54">
        <v>4979946.0</v>
      </c>
    </row>
    <row r="3">
      <c r="A3" s="15" t="s">
        <v>52</v>
      </c>
      <c r="B3" s="22" t="s">
        <v>53</v>
      </c>
      <c r="C3" s="55">
        <v>4.0</v>
      </c>
      <c r="D3" s="23">
        <f> (G5 / 1000000) * 4</f>
        <v>559.2862431</v>
      </c>
      <c r="F3" s="53"/>
      <c r="G3" s="56"/>
    </row>
    <row r="4">
      <c r="B4" s="25" t="s">
        <v>54</v>
      </c>
      <c r="C4" s="57">
        <v>10.0</v>
      </c>
      <c r="D4" s="58">
        <f>(G5/1000000)*10</f>
        <v>1398.215608</v>
      </c>
      <c r="F4" s="53" t="s">
        <v>15</v>
      </c>
      <c r="G4" s="56">
        <f>13/365</f>
        <v>0.03561643836</v>
      </c>
    </row>
    <row r="5">
      <c r="B5" s="22" t="s">
        <v>55</v>
      </c>
      <c r="C5" s="55">
        <v>3.06</v>
      </c>
      <c r="D5" s="23">
        <f>3.06 *24*365</f>
        <v>26805.6</v>
      </c>
      <c r="F5" s="53" t="s">
        <v>17</v>
      </c>
      <c r="G5" s="59">
        <f>G2/G4</f>
        <v>139821560.8</v>
      </c>
    </row>
    <row r="6">
      <c r="B6" s="25" t="s">
        <v>56</v>
      </c>
      <c r="C6" s="57">
        <v>0.28</v>
      </c>
      <c r="D6" s="58">
        <f>(G5/1000000)*C6*12</f>
        <v>469.8004442</v>
      </c>
      <c r="F6" s="53" t="s">
        <v>20</v>
      </c>
      <c r="G6" s="60">
        <v>0.5</v>
      </c>
    </row>
    <row r="7">
      <c r="A7" s="15" t="s">
        <v>57</v>
      </c>
      <c r="B7" s="22" t="s">
        <v>58</v>
      </c>
      <c r="C7" s="55">
        <v>0.08</v>
      </c>
      <c r="D7" s="41">
        <v>1150.0</v>
      </c>
      <c r="F7" s="53" t="s">
        <v>23</v>
      </c>
      <c r="G7" s="59">
        <f>ROUND(G5*G6, 0)</f>
        <v>69910780</v>
      </c>
    </row>
    <row r="8">
      <c r="A8" s="15" t="s">
        <v>59</v>
      </c>
      <c r="B8" s="61" t="s">
        <v>60</v>
      </c>
      <c r="C8" s="62"/>
      <c r="D8" s="63">
        <f>SUM(D3:D7)</f>
        <v>30382.90229</v>
      </c>
    </row>
    <row r="9">
      <c r="A9" s="15"/>
      <c r="B9" s="64"/>
      <c r="C9" s="65"/>
      <c r="D9" s="66"/>
    </row>
    <row r="10">
      <c r="A10" s="15"/>
      <c r="B10" s="64"/>
      <c r="C10" s="65"/>
      <c r="D10" s="66"/>
    </row>
    <row r="12">
      <c r="C12" s="6"/>
    </row>
    <row r="13">
      <c r="A13" s="67" t="s">
        <v>61</v>
      </c>
    </row>
    <row r="14">
      <c r="A14" s="15"/>
      <c r="B14" s="50" t="s">
        <v>62</v>
      </c>
      <c r="C14" s="51" t="s">
        <v>63</v>
      </c>
      <c r="D14" s="17" t="s">
        <v>64</v>
      </c>
    </row>
    <row r="15">
      <c r="A15" s="15"/>
      <c r="B15" s="22" t="s">
        <v>65</v>
      </c>
      <c r="C15" s="68">
        <v>32.77</v>
      </c>
      <c r="D15" s="69">
        <f>C15*780</f>
        <v>25560.6</v>
      </c>
      <c r="E15" s="15" t="s">
        <v>66</v>
      </c>
    </row>
    <row r="16">
      <c r="A16" s="15"/>
      <c r="B16" s="25" t="s">
        <v>67</v>
      </c>
      <c r="D16" s="44">
        <v>60000.0</v>
      </c>
    </row>
    <row r="17">
      <c r="B17" s="22" t="s">
        <v>68</v>
      </c>
      <c r="D17" s="41">
        <v>120000.0</v>
      </c>
    </row>
    <row r="18">
      <c r="B18" s="25" t="s">
        <v>69</v>
      </c>
      <c r="D18" s="44">
        <v>400000.0</v>
      </c>
    </row>
    <row r="19">
      <c r="B19" s="22" t="s">
        <v>70</v>
      </c>
      <c r="C19" s="70"/>
      <c r="D19" s="23">
        <v>1200000.0</v>
      </c>
    </row>
    <row r="20">
      <c r="B20" s="61" t="s">
        <v>71</v>
      </c>
      <c r="C20" s="71"/>
      <c r="D20" s="72">
        <f>SUM(D15:D19)</f>
        <v>1805560.6</v>
      </c>
    </row>
    <row r="22">
      <c r="A22" s="15"/>
      <c r="B22" s="64"/>
      <c r="C22" s="15"/>
      <c r="D22" s="15"/>
      <c r="E22" s="15"/>
    </row>
    <row r="23">
      <c r="A23" s="67" t="s">
        <v>72</v>
      </c>
      <c r="B23" s="50" t="s">
        <v>49</v>
      </c>
      <c r="C23" s="51" t="s">
        <v>73</v>
      </c>
      <c r="D23" s="51" t="s">
        <v>74</v>
      </c>
      <c r="E23" s="52" t="s">
        <v>75</v>
      </c>
    </row>
    <row r="24">
      <c r="A24" s="15" t="s">
        <v>76</v>
      </c>
      <c r="B24" s="22" t="s">
        <v>77</v>
      </c>
      <c r="C24" s="55">
        <v>100000.0</v>
      </c>
      <c r="D24" s="55">
        <v>5.0</v>
      </c>
      <c r="E24" s="69">
        <f t="shared" ref="E24:E27" si="1">C24*D24</f>
        <v>500000</v>
      </c>
    </row>
    <row r="25">
      <c r="B25" s="25" t="s">
        <v>78</v>
      </c>
      <c r="C25" s="57">
        <v>110000.0</v>
      </c>
      <c r="D25" s="57">
        <v>4.0</v>
      </c>
      <c r="E25" s="73">
        <f t="shared" si="1"/>
        <v>440000</v>
      </c>
    </row>
    <row r="26">
      <c r="B26" s="22" t="s">
        <v>79</v>
      </c>
      <c r="C26" s="55">
        <v>90000.0</v>
      </c>
      <c r="D26" s="55">
        <v>3.0</v>
      </c>
      <c r="E26" s="69">
        <f t="shared" si="1"/>
        <v>270000</v>
      </c>
    </row>
    <row r="27">
      <c r="B27" s="25" t="s">
        <v>80</v>
      </c>
      <c r="C27" s="57">
        <v>120000.0</v>
      </c>
      <c r="D27" s="57">
        <v>2.0</v>
      </c>
      <c r="E27" s="73">
        <f t="shared" si="1"/>
        <v>240000</v>
      </c>
    </row>
    <row r="28">
      <c r="B28" s="61" t="s">
        <v>60</v>
      </c>
      <c r="C28" s="74"/>
      <c r="D28" s="74"/>
      <c r="E28" s="75">
        <f>SUM(E24:E27)</f>
        <v>1450000</v>
      </c>
    </row>
    <row r="30">
      <c r="A30" s="67" t="s">
        <v>81</v>
      </c>
      <c r="B30" s="50" t="s">
        <v>49</v>
      </c>
      <c r="C30" s="52" t="s">
        <v>82</v>
      </c>
    </row>
    <row r="31">
      <c r="A31" s="15" t="s">
        <v>83</v>
      </c>
      <c r="B31" s="22" t="s">
        <v>84</v>
      </c>
      <c r="C31" s="41">
        <v>30000.0</v>
      </c>
    </row>
    <row r="32">
      <c r="B32" s="25" t="s">
        <v>85</v>
      </c>
      <c r="C32" s="44">
        <v>20000.0</v>
      </c>
    </row>
    <row r="33">
      <c r="B33" s="22" t="s">
        <v>86</v>
      </c>
      <c r="C33" s="41">
        <v>52000.0</v>
      </c>
    </row>
    <row r="34">
      <c r="B34" s="25" t="s">
        <v>87</v>
      </c>
      <c r="C34" s="44">
        <v>75000.0</v>
      </c>
    </row>
    <row r="35">
      <c r="B35" s="61" t="s">
        <v>71</v>
      </c>
      <c r="C35" s="72">
        <f>SUM(C31:C34)</f>
        <v>177000</v>
      </c>
    </row>
    <row r="38">
      <c r="C38" s="67" t="s">
        <v>88</v>
      </c>
      <c r="D38" s="76">
        <f>D8+D20+E28+C35</f>
        <v>3462943.502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43.0"/>
    <col customWidth="1" min="3" max="3" width="19.86"/>
    <col customWidth="1" min="4" max="4" width="24.43"/>
    <col customWidth="1" min="6" max="6" width="39.43"/>
    <col customWidth="1" min="7" max="7" width="22.0"/>
  </cols>
  <sheetData>
    <row r="1">
      <c r="A1" s="49" t="s">
        <v>47</v>
      </c>
    </row>
    <row r="2">
      <c r="A2" s="15" t="s">
        <v>48</v>
      </c>
      <c r="B2" s="50" t="s">
        <v>49</v>
      </c>
      <c r="C2" s="51" t="s">
        <v>50</v>
      </c>
      <c r="D2" s="52" t="s">
        <v>51</v>
      </c>
      <c r="F2" s="77" t="s">
        <v>13</v>
      </c>
      <c r="G2" s="78">
        <v>4979946.0</v>
      </c>
    </row>
    <row r="3">
      <c r="A3" s="15" t="s">
        <v>52</v>
      </c>
      <c r="B3" s="22" t="s">
        <v>53</v>
      </c>
      <c r="C3" s="55">
        <v>4.0</v>
      </c>
      <c r="D3" s="23">
        <f> (G8 / 1000000) * 4</f>
        <v>838.9293631</v>
      </c>
      <c r="F3" s="77"/>
      <c r="G3" s="79"/>
    </row>
    <row r="4">
      <c r="B4" s="25" t="s">
        <v>54</v>
      </c>
      <c r="C4" s="57">
        <v>10.0</v>
      </c>
      <c r="D4" s="58">
        <f>(G8/1000000)*10</f>
        <v>2097.323408</v>
      </c>
      <c r="F4" s="77" t="s">
        <v>15</v>
      </c>
      <c r="G4" s="79">
        <f>13/365</f>
        <v>0.03561643836</v>
      </c>
    </row>
    <row r="5">
      <c r="B5" s="22" t="s">
        <v>55</v>
      </c>
      <c r="C5" s="55">
        <v>3.06</v>
      </c>
      <c r="D5" s="23">
        <f>3.06 *24*365</f>
        <v>26805.6</v>
      </c>
      <c r="F5" s="77" t="s">
        <v>17</v>
      </c>
      <c r="G5" s="80">
        <f>G2/G4</f>
        <v>139821560.8</v>
      </c>
    </row>
    <row r="6">
      <c r="B6" s="25" t="s">
        <v>56</v>
      </c>
      <c r="C6" s="57">
        <v>0.28</v>
      </c>
      <c r="D6" s="58">
        <f>(G8/1000000)*C6*12</f>
        <v>704.700665</v>
      </c>
      <c r="F6" s="77" t="s">
        <v>20</v>
      </c>
      <c r="G6" s="81">
        <v>0.5</v>
      </c>
    </row>
    <row r="7">
      <c r="A7" s="15" t="s">
        <v>57</v>
      </c>
      <c r="B7" s="22" t="s">
        <v>58</v>
      </c>
      <c r="C7" s="55">
        <v>0.08</v>
      </c>
      <c r="D7" s="21">
        <f>19926*C7</f>
        <v>1594.08</v>
      </c>
      <c r="F7" s="77" t="s">
        <v>23</v>
      </c>
      <c r="G7" s="80">
        <f>ROUND(G5*G6, 0)</f>
        <v>69910780</v>
      </c>
    </row>
    <row r="8">
      <c r="A8" s="15" t="s">
        <v>89</v>
      </c>
      <c r="B8" s="61" t="s">
        <v>60</v>
      </c>
      <c r="C8" s="62"/>
      <c r="D8" s="63">
        <f>SUM(D3:D7)</f>
        <v>32040.63344</v>
      </c>
      <c r="F8" s="77" t="s">
        <v>17</v>
      </c>
      <c r="G8" s="80">
        <f>G5+G7</f>
        <v>209732340.8</v>
      </c>
    </row>
    <row r="9">
      <c r="A9" s="15"/>
      <c r="B9" s="64"/>
      <c r="C9" s="65"/>
      <c r="D9" s="66"/>
    </row>
    <row r="10">
      <c r="A10" s="15"/>
      <c r="B10" s="64"/>
      <c r="C10" s="65"/>
      <c r="D10" s="66"/>
    </row>
    <row r="12">
      <c r="A12" s="67" t="s">
        <v>90</v>
      </c>
    </row>
    <row r="13">
      <c r="A13" s="15"/>
      <c r="B13" s="50" t="s">
        <v>62</v>
      </c>
      <c r="C13" s="51" t="s">
        <v>63</v>
      </c>
      <c r="D13" s="52" t="s">
        <v>64</v>
      </c>
    </row>
    <row r="14">
      <c r="A14" s="15"/>
      <c r="B14" s="22" t="s">
        <v>65</v>
      </c>
      <c r="C14" s="68">
        <v>32.77</v>
      </c>
      <c r="D14" s="69">
        <f>C14*1170</f>
        <v>38340.9</v>
      </c>
      <c r="E14" s="15" t="s">
        <v>66</v>
      </c>
    </row>
    <row r="15">
      <c r="A15" s="15"/>
      <c r="B15" s="25" t="s">
        <v>67</v>
      </c>
      <c r="D15" s="44">
        <v>60000.0</v>
      </c>
    </row>
    <row r="16">
      <c r="B16" s="22" t="s">
        <v>68</v>
      </c>
      <c r="D16" s="41">
        <f>120000</f>
        <v>120000</v>
      </c>
    </row>
    <row r="17">
      <c r="B17" s="25" t="s">
        <v>69</v>
      </c>
      <c r="D17" s="44">
        <v>400000.0</v>
      </c>
    </row>
    <row r="18">
      <c r="B18" s="22" t="s">
        <v>70</v>
      </c>
      <c r="C18" s="70"/>
      <c r="D18" s="23">
        <f>1200000*1.4</f>
        <v>1680000</v>
      </c>
    </row>
    <row r="19">
      <c r="B19" s="61" t="s">
        <v>71</v>
      </c>
      <c r="C19" s="71"/>
      <c r="D19" s="72">
        <f>SUM(D14:D18)</f>
        <v>2298340.9</v>
      </c>
    </row>
    <row r="21">
      <c r="A21" s="15"/>
      <c r="B21" s="64"/>
      <c r="C21" s="15"/>
      <c r="D21" s="15"/>
      <c r="E21" s="15"/>
    </row>
    <row r="22">
      <c r="A22" s="67" t="s">
        <v>72</v>
      </c>
      <c r="B22" s="50" t="s">
        <v>49</v>
      </c>
      <c r="C22" s="51" t="s">
        <v>73</v>
      </c>
      <c r="D22" s="51" t="s">
        <v>74</v>
      </c>
      <c r="E22" s="52" t="s">
        <v>75</v>
      </c>
    </row>
    <row r="23">
      <c r="A23" s="15" t="s">
        <v>76</v>
      </c>
      <c r="B23" s="22" t="s">
        <v>77</v>
      </c>
      <c r="C23" s="55">
        <v>100000.0</v>
      </c>
      <c r="D23" s="55">
        <v>6.0</v>
      </c>
      <c r="E23" s="69">
        <f t="shared" ref="E23:E26" si="1">C23*D23</f>
        <v>600000</v>
      </c>
    </row>
    <row r="24">
      <c r="B24" s="25" t="s">
        <v>78</v>
      </c>
      <c r="C24" s="57">
        <v>110000.0</v>
      </c>
      <c r="D24" s="57">
        <v>5.0</v>
      </c>
      <c r="E24" s="73">
        <f t="shared" si="1"/>
        <v>550000</v>
      </c>
    </row>
    <row r="25">
      <c r="B25" s="22" t="s">
        <v>79</v>
      </c>
      <c r="C25" s="55">
        <v>90000.0</v>
      </c>
      <c r="D25" s="55">
        <v>4.0</v>
      </c>
      <c r="E25" s="69">
        <f t="shared" si="1"/>
        <v>360000</v>
      </c>
    </row>
    <row r="26">
      <c r="B26" s="25" t="s">
        <v>80</v>
      </c>
      <c r="C26" s="57">
        <v>120000.0</v>
      </c>
      <c r="D26" s="57">
        <v>2.0</v>
      </c>
      <c r="E26" s="73">
        <f t="shared" si="1"/>
        <v>240000</v>
      </c>
    </row>
    <row r="27">
      <c r="B27" s="61" t="s">
        <v>60</v>
      </c>
      <c r="C27" s="74"/>
      <c r="D27" s="74"/>
      <c r="E27" s="75">
        <f>SUM(E23:E26)</f>
        <v>1750000</v>
      </c>
    </row>
    <row r="29">
      <c r="A29" s="67" t="s">
        <v>81</v>
      </c>
      <c r="B29" s="50" t="s">
        <v>49</v>
      </c>
      <c r="C29" s="52" t="s">
        <v>82</v>
      </c>
    </row>
    <row r="30">
      <c r="A30" s="15" t="s">
        <v>83</v>
      </c>
      <c r="B30" s="22" t="s">
        <v>84</v>
      </c>
      <c r="C30" s="41">
        <v>30000.0</v>
      </c>
    </row>
    <row r="31">
      <c r="B31" s="25" t="s">
        <v>85</v>
      </c>
      <c r="C31" s="44">
        <v>30000.0</v>
      </c>
    </row>
    <row r="32">
      <c r="B32" s="22" t="s">
        <v>86</v>
      </c>
      <c r="C32" s="41">
        <v>65000.0</v>
      </c>
    </row>
    <row r="33">
      <c r="B33" s="25" t="s">
        <v>87</v>
      </c>
      <c r="C33" s="44">
        <v>120000.0</v>
      </c>
    </row>
    <row r="34">
      <c r="B34" s="61" t="s">
        <v>71</v>
      </c>
      <c r="C34" s="72">
        <f>SUM(C30:C33)</f>
        <v>245000</v>
      </c>
    </row>
    <row r="35">
      <c r="F35" s="82">
        <f>D37-'Cost Structure '!D38</f>
        <v>862438.0311</v>
      </c>
    </row>
    <row r="36">
      <c r="F36" s="83">
        <f>F35/'Cost Structure '!D38</f>
        <v>0.2490476759</v>
      </c>
    </row>
    <row r="37">
      <c r="C37" s="67" t="s">
        <v>88</v>
      </c>
      <c r="D37" s="76">
        <f>D8+D19+E27+C34</f>
        <v>4325381.533</v>
      </c>
      <c r="F37" s="83">
        <f>F36/5</f>
        <v>0.04980953519</v>
      </c>
    </row>
    <row r="38">
      <c r="F38" s="83">
        <f>F37*2</f>
        <v>0.09961907037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9.71"/>
    <col customWidth="1" min="4" max="4" width="56.0"/>
  </cols>
  <sheetData>
    <row r="4">
      <c r="A4" s="15" t="s">
        <v>91</v>
      </c>
    </row>
    <row r="5">
      <c r="B5" s="40" t="s">
        <v>62</v>
      </c>
      <c r="C5" s="84" t="s">
        <v>63</v>
      </c>
      <c r="D5" s="17" t="s">
        <v>92</v>
      </c>
    </row>
    <row r="6">
      <c r="B6" s="22" t="s">
        <v>93</v>
      </c>
      <c r="C6" s="55">
        <v>50000.0</v>
      </c>
      <c r="D6" s="41" t="s">
        <v>94</v>
      </c>
    </row>
    <row r="7">
      <c r="B7" s="25" t="s">
        <v>95</v>
      </c>
      <c r="C7" s="57">
        <v>25000.0</v>
      </c>
      <c r="D7" s="44" t="s">
        <v>96</v>
      </c>
    </row>
    <row r="8">
      <c r="B8" s="22" t="s">
        <v>97</v>
      </c>
      <c r="C8" s="55">
        <v>35000.0</v>
      </c>
      <c r="D8" s="41" t="s">
        <v>98</v>
      </c>
    </row>
    <row r="9">
      <c r="B9" s="33" t="s">
        <v>99</v>
      </c>
      <c r="C9" s="85">
        <v>50000.0</v>
      </c>
      <c r="D9" s="43" t="s">
        <v>100</v>
      </c>
    </row>
    <row r="11">
      <c r="A11" s="15" t="s">
        <v>101</v>
      </c>
    </row>
    <row r="12">
      <c r="A12" s="15" t="s">
        <v>102</v>
      </c>
      <c r="B12" s="40" t="s">
        <v>62</v>
      </c>
      <c r="C12" s="84" t="s">
        <v>82</v>
      </c>
      <c r="D12" s="17" t="s">
        <v>92</v>
      </c>
    </row>
    <row r="13">
      <c r="B13" s="22" t="s">
        <v>103</v>
      </c>
      <c r="C13" s="55">
        <v>75000.0</v>
      </c>
      <c r="D13" s="41" t="s">
        <v>104</v>
      </c>
    </row>
    <row r="14">
      <c r="B14" s="25" t="s">
        <v>105</v>
      </c>
      <c r="C14" s="57">
        <v>100000.0</v>
      </c>
      <c r="D14" s="44" t="s">
        <v>106</v>
      </c>
    </row>
    <row r="15">
      <c r="B15" s="22" t="s">
        <v>107</v>
      </c>
      <c r="C15" s="55">
        <v>50000.0</v>
      </c>
      <c r="D15" s="41" t="s">
        <v>108</v>
      </c>
    </row>
    <row r="16">
      <c r="B16" s="33" t="s">
        <v>109</v>
      </c>
      <c r="C16" s="85">
        <v>120000.0</v>
      </c>
      <c r="D16" s="43" t="s">
        <v>110</v>
      </c>
    </row>
    <row r="18">
      <c r="A18" s="15" t="s">
        <v>111</v>
      </c>
      <c r="B18" s="40" t="s">
        <v>62</v>
      </c>
      <c r="C18" s="84" t="s">
        <v>82</v>
      </c>
      <c r="D18" s="17" t="s">
        <v>92</v>
      </c>
    </row>
    <row r="19">
      <c r="B19" s="22" t="s">
        <v>112</v>
      </c>
      <c r="C19" s="55">
        <v>150000.0</v>
      </c>
      <c r="D19" s="41" t="s">
        <v>113</v>
      </c>
    </row>
    <row r="20">
      <c r="B20" s="33" t="s">
        <v>114</v>
      </c>
      <c r="C20" s="85">
        <v>50000.0</v>
      </c>
      <c r="D20" s="43" t="s">
        <v>115</v>
      </c>
    </row>
    <row r="22">
      <c r="A22" s="15" t="s">
        <v>116</v>
      </c>
      <c r="B22" s="40" t="s">
        <v>62</v>
      </c>
      <c r="C22" s="84" t="s">
        <v>82</v>
      </c>
      <c r="D22" s="17" t="s">
        <v>92</v>
      </c>
    </row>
    <row r="23">
      <c r="B23" s="22" t="s">
        <v>117</v>
      </c>
      <c r="C23" s="55">
        <v>200000.0</v>
      </c>
      <c r="D23" s="41" t="s">
        <v>118</v>
      </c>
    </row>
    <row r="24">
      <c r="B24" s="33" t="s">
        <v>119</v>
      </c>
      <c r="C24" s="85">
        <v>100000.0</v>
      </c>
      <c r="D24" s="43" t="s">
        <v>120</v>
      </c>
    </row>
    <row r="26">
      <c r="A26" s="15" t="s">
        <v>121</v>
      </c>
    </row>
    <row r="27">
      <c r="B27" s="40" t="s">
        <v>62</v>
      </c>
      <c r="C27" s="84" t="s">
        <v>82</v>
      </c>
      <c r="D27" s="17" t="s">
        <v>92</v>
      </c>
    </row>
    <row r="28">
      <c r="B28" s="22" t="s">
        <v>122</v>
      </c>
      <c r="C28" s="55">
        <v>50000.0</v>
      </c>
      <c r="D28" s="41" t="s">
        <v>123</v>
      </c>
    </row>
    <row r="29">
      <c r="B29" s="25" t="s">
        <v>124</v>
      </c>
      <c r="C29" s="57">
        <v>25000.0</v>
      </c>
      <c r="D29" s="44" t="s">
        <v>125</v>
      </c>
    </row>
    <row r="30">
      <c r="B30" s="22" t="s">
        <v>126</v>
      </c>
      <c r="C30" s="55">
        <v>30000.0</v>
      </c>
      <c r="D30" s="41" t="s">
        <v>127</v>
      </c>
    </row>
    <row r="31">
      <c r="B31" s="25" t="s">
        <v>128</v>
      </c>
      <c r="C31" s="57">
        <v>50000.0</v>
      </c>
      <c r="D31" s="44" t="s">
        <v>129</v>
      </c>
    </row>
    <row r="32">
      <c r="B32" s="22" t="s">
        <v>130</v>
      </c>
      <c r="C32" s="55">
        <v>30000.0</v>
      </c>
      <c r="D32" s="41" t="s">
        <v>131</v>
      </c>
    </row>
    <row r="33">
      <c r="B33" s="25" t="s">
        <v>132</v>
      </c>
      <c r="C33" s="57">
        <v>25000.0</v>
      </c>
      <c r="D33" s="44" t="s">
        <v>133</v>
      </c>
    </row>
    <row r="34">
      <c r="B34" s="22" t="s">
        <v>134</v>
      </c>
      <c r="C34" s="55">
        <v>15000.0</v>
      </c>
      <c r="D34" s="41" t="s">
        <v>135</v>
      </c>
    </row>
    <row r="35">
      <c r="B35" s="25" t="s">
        <v>136</v>
      </c>
      <c r="C35" s="57">
        <v>20000.0</v>
      </c>
      <c r="D35" s="44" t="s">
        <v>137</v>
      </c>
    </row>
    <row r="36">
      <c r="B36" s="86" t="s">
        <v>138</v>
      </c>
      <c r="C36" s="87">
        <v>10000.0</v>
      </c>
      <c r="D36" s="88" t="s">
        <v>139</v>
      </c>
    </row>
    <row r="38">
      <c r="A38" s="15" t="s">
        <v>140</v>
      </c>
    </row>
    <row r="39">
      <c r="B39" s="40" t="s">
        <v>62</v>
      </c>
      <c r="C39" s="84" t="s">
        <v>82</v>
      </c>
      <c r="D39" s="17" t="s">
        <v>92</v>
      </c>
    </row>
    <row r="40">
      <c r="B40" s="22" t="s">
        <v>141</v>
      </c>
      <c r="C40" s="55">
        <v>50000.0</v>
      </c>
      <c r="D40" s="41" t="s">
        <v>142</v>
      </c>
    </row>
    <row r="41">
      <c r="B41" s="33" t="s">
        <v>143</v>
      </c>
      <c r="C41" s="85">
        <v>40000.0</v>
      </c>
      <c r="D41" s="43" t="s">
        <v>144</v>
      </c>
    </row>
    <row r="43">
      <c r="A43" s="15" t="s">
        <v>145</v>
      </c>
    </row>
    <row r="44">
      <c r="B44" s="40" t="s">
        <v>62</v>
      </c>
      <c r="C44" s="84" t="s">
        <v>82</v>
      </c>
      <c r="D44" s="17" t="s">
        <v>92</v>
      </c>
    </row>
    <row r="45">
      <c r="B45" s="22" t="s">
        <v>146</v>
      </c>
      <c r="C45" s="55">
        <v>30000.0</v>
      </c>
      <c r="D45" s="41" t="s">
        <v>147</v>
      </c>
    </row>
    <row r="46">
      <c r="B46" s="25" t="s">
        <v>148</v>
      </c>
      <c r="C46" s="57">
        <v>25000.0</v>
      </c>
      <c r="D46" s="44" t="s">
        <v>149</v>
      </c>
    </row>
    <row r="47">
      <c r="B47" s="86" t="s">
        <v>150</v>
      </c>
      <c r="C47" s="87">
        <v>75000.0</v>
      </c>
      <c r="D47" s="88" t="s">
        <v>151</v>
      </c>
    </row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2025-02-24T09:58:43Z</dcterms:created>
  <dc:creator>openpyxl</dc:creator>
</cp:coreProperties>
</file>