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hris\Programming Stuffs\GitHub Saved\phy327Labs\Lab1_NuclearMagneticResonance\"/>
    </mc:Choice>
  </mc:AlternateContent>
  <xr:revisionPtr revIDLastSave="0" documentId="13_ncr:1_{CB69ED35-62D4-4A26-8C37-4DD3301A36C3}" xr6:coauthVersionLast="45" xr6:coauthVersionMax="45" xr10:uidLastSave="{00000000-0000-0000-0000-000000000000}"/>
  <bookViews>
    <workbookView xWindow="-110" yWindow="-110" windowWidth="19420" windowHeight="10420" firstSheet="4" activeTab="7" xr2:uid="{9A383C69-FF3A-4AD6-B826-3952C1112033}"/>
  </bookViews>
  <sheets>
    <sheet name="Gyro calcs and T data Sep 17" sheetId="1" r:id="rId1"/>
    <sheet name="Sample Prep Sep 17" sheetId="7" r:id="rId2"/>
    <sheet name="Measured Sep 20" sheetId="2" r:id="rId3"/>
    <sheet name="Measured Sep 24" sheetId="3" r:id="rId4"/>
    <sheet name="Summary Sep 27" sheetId="4" r:id="rId5"/>
    <sheet name="Measured Sep 27" sheetId="5" r:id="rId6"/>
    <sheet name="Measured Oct 1" sheetId="6" r:id="rId7"/>
    <sheet name="Magnetic Moment and 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F3" i="1"/>
  <c r="I20" i="8"/>
  <c r="I21" i="8" s="1"/>
  <c r="D15" i="8"/>
  <c r="E15" i="8"/>
  <c r="E14" i="8"/>
  <c r="D14" i="8"/>
  <c r="G6" i="8" l="1"/>
  <c r="G7" i="8"/>
  <c r="H7" i="8"/>
  <c r="H6" i="8"/>
  <c r="K6" i="8"/>
  <c r="K7" i="8"/>
  <c r="J7" i="8"/>
  <c r="J6" i="8"/>
  <c r="G5" i="8"/>
  <c r="F4" i="4"/>
  <c r="D5" i="8"/>
  <c r="D6" i="8"/>
  <c r="D8" i="8"/>
  <c r="M8" i="7"/>
  <c r="N8" i="7" s="1"/>
  <c r="L8" i="7"/>
  <c r="L5" i="4"/>
  <c r="L7" i="7"/>
  <c r="L6" i="7"/>
  <c r="L5" i="7"/>
  <c r="K5" i="7"/>
  <c r="M4" i="7"/>
  <c r="M5" i="7" s="1"/>
  <c r="L4" i="7"/>
  <c r="K4" i="7"/>
  <c r="M6" i="7" l="1"/>
  <c r="N4" i="7"/>
  <c r="N5" i="7" s="1"/>
  <c r="T21" i="1"/>
  <c r="T20" i="1"/>
  <c r="T19" i="1"/>
  <c r="T18" i="1"/>
  <c r="T17" i="1"/>
  <c r="T16" i="1"/>
  <c r="S11" i="1"/>
  <c r="S10" i="1"/>
  <c r="S9" i="1"/>
  <c r="S8" i="1"/>
  <c r="S7" i="1"/>
  <c r="S6" i="1"/>
  <c r="S5" i="1"/>
  <c r="S4" i="1"/>
  <c r="N6" i="7" l="1"/>
  <c r="M7" i="7"/>
  <c r="G7" i="4"/>
  <c r="G6" i="4"/>
  <c r="G5" i="4"/>
  <c r="G4" i="4"/>
  <c r="F7" i="4"/>
  <c r="F6" i="4"/>
  <c r="F5" i="4"/>
  <c r="L7" i="4"/>
  <c r="L6" i="4"/>
  <c r="L4" i="4"/>
  <c r="K4" i="4"/>
  <c r="M4" i="4" s="1"/>
  <c r="K5" i="4"/>
  <c r="M5" i="4" l="1"/>
  <c r="N4" i="4"/>
  <c r="N7" i="7"/>
  <c r="AE9" i="1"/>
  <c r="AE8" i="1"/>
  <c r="AE7" i="1"/>
  <c r="AE6" i="1"/>
  <c r="AE5" i="1"/>
  <c r="AE4" i="1"/>
  <c r="AE3" i="1"/>
  <c r="AH9" i="1"/>
  <c r="AH8" i="1"/>
  <c r="AH7" i="1"/>
  <c r="AH6" i="1"/>
  <c r="AH5" i="1"/>
  <c r="AH4" i="1"/>
  <c r="AH3" i="1"/>
  <c r="T11" i="1"/>
  <c r="T10" i="1"/>
  <c r="T9" i="1"/>
  <c r="T8" i="1"/>
  <c r="T7" i="1"/>
  <c r="T6" i="1"/>
  <c r="T5" i="1"/>
  <c r="T4" i="1"/>
  <c r="Q11" i="1"/>
  <c r="Q10" i="1"/>
  <c r="Q9" i="1"/>
  <c r="Q8" i="1"/>
  <c r="Q7" i="1"/>
  <c r="Q6" i="1"/>
  <c r="Q5" i="1"/>
  <c r="Q4" i="1"/>
  <c r="Q16" i="1"/>
  <c r="Q21" i="1"/>
  <c r="Q20" i="1"/>
  <c r="Q19" i="1"/>
  <c r="Q18" i="1"/>
  <c r="Q17" i="1"/>
  <c r="F5" i="1" l="1"/>
  <c r="M6" i="4" l="1"/>
  <c r="M7" i="4" s="1"/>
  <c r="N5" i="4"/>
  <c r="N6" i="4" s="1"/>
  <c r="E3" i="1"/>
  <c r="N7" i="4" l="1"/>
</calcChain>
</file>

<file path=xl/sharedStrings.xml><?xml version="1.0" encoding="utf-8"?>
<sst xmlns="http://schemas.openxmlformats.org/spreadsheetml/2006/main" count="208" uniqueCount="77">
  <si>
    <t>vo (MHz)</t>
  </si>
  <si>
    <t>Bo (T)</t>
  </si>
  <si>
    <t>gamma (rad/s/T)</t>
  </si>
  <si>
    <t>Measure T2</t>
  </si>
  <si>
    <t>Io</t>
  </si>
  <si>
    <t>The slope of the M vs N</t>
  </si>
  <si>
    <t>Measure T1</t>
  </si>
  <si>
    <t>PRACTICE</t>
  </si>
  <si>
    <t>I (mV)</t>
  </si>
  <si>
    <t>Tau ms</t>
  </si>
  <si>
    <t>Time (s)</t>
  </si>
  <si>
    <t>ln(I)</t>
  </si>
  <si>
    <t>=</t>
  </si>
  <si>
    <t>t (s)</t>
  </si>
  <si>
    <t>t (ms)</t>
  </si>
  <si>
    <t>t ms</t>
  </si>
  <si>
    <t>Sample 2</t>
  </si>
  <si>
    <t>Sample 3</t>
  </si>
  <si>
    <t>Sample 4</t>
  </si>
  <si>
    <t>Sample</t>
  </si>
  <si>
    <t>T1</t>
  </si>
  <si>
    <t>T2</t>
  </si>
  <si>
    <t>Initial mass (g):</t>
  </si>
  <si>
    <t>Initial volume (mL):</t>
  </si>
  <si>
    <t>Concentration (g/mL)</t>
  </si>
  <si>
    <t>Volume (mL)</t>
  </si>
  <si>
    <t>Volume measure uncertainty</t>
  </si>
  <si>
    <t>addition mL</t>
  </si>
  <si>
    <t>1/T1</t>
  </si>
  <si>
    <t>error (ms)</t>
  </si>
  <si>
    <t>Tau (ms)</t>
  </si>
  <si>
    <t>error</t>
  </si>
  <si>
    <t>SAMPLE 1A</t>
  </si>
  <si>
    <t>SAMPLE 5A</t>
  </si>
  <si>
    <t>Sample 1A</t>
  </si>
  <si>
    <t>Sample 5A</t>
  </si>
  <si>
    <t>I mV</t>
  </si>
  <si>
    <t>This data is void as it was actually noise that was being detected</t>
  </si>
  <si>
    <t xml:space="preserve">SAMPLE 1A </t>
  </si>
  <si>
    <t>Calculations here are using the data for the B samples from Sep 24</t>
  </si>
  <si>
    <t>Concentrations above are for the anhydrous ferric chloride</t>
  </si>
  <si>
    <t>Sample 1B</t>
  </si>
  <si>
    <t>Sample 2B</t>
  </si>
  <si>
    <t>Sample 4B</t>
  </si>
  <si>
    <t>Sample 3B</t>
  </si>
  <si>
    <t>I_0 (mV)</t>
  </si>
  <si>
    <t>Good data below</t>
  </si>
  <si>
    <t>t (ms)**</t>
  </si>
  <si>
    <t>error**</t>
  </si>
  <si>
    <t xml:space="preserve">**Note that this first set of time measurements is biased in measurement due to inexperience in data collection. It was likely made to look rounder than it should be due to a tendancy to try and keep the time measured in line with twice the tau </t>
  </si>
  <si>
    <t>Note that this data is wrong… I was measuring the wrong section of the period (this is before the signal started rising again).</t>
  </si>
  <si>
    <t>Note that this data is wrong… I was measuring the wrong peak. The peak was noise since the cycle period was set too low.</t>
  </si>
  <si>
    <t>time (s)</t>
  </si>
  <si>
    <t>**Note that the above data has a mysterious offset from where it should be.</t>
  </si>
  <si>
    <t>Setting it to 8 and 2</t>
  </si>
  <si>
    <t>2,8</t>
  </si>
  <si>
    <t>4,6</t>
  </si>
  <si>
    <t>gamma</t>
  </si>
  <si>
    <t>nu</t>
  </si>
  <si>
    <t>k</t>
  </si>
  <si>
    <t>T</t>
  </si>
  <si>
    <t>Constants</t>
  </si>
  <si>
    <t>Error</t>
  </si>
  <si>
    <t>permeability</t>
  </si>
  <si>
    <t>The magnetic moment</t>
  </si>
  <si>
    <t>The magnetic moment squared</t>
  </si>
  <si>
    <t>All SI units unless otherwise noted</t>
  </si>
  <si>
    <t>Slope (1/ms per g/mL):</t>
  </si>
  <si>
    <t>Slope (1/ms per F++/m3)</t>
  </si>
  <si>
    <t>Slope (1/s per Fe++/m3)</t>
  </si>
  <si>
    <t>Lab Handout Q1</t>
  </si>
  <si>
    <t>Delta T (s)</t>
  </si>
  <si>
    <t>Brf</t>
  </si>
  <si>
    <t>Lab Handout Q2</t>
  </si>
  <si>
    <t>Measure T2*: Data from Sep 24</t>
  </si>
  <si>
    <t>Resulting T2*</t>
  </si>
  <si>
    <t>delta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</si>
</sst>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7" fontId="0" fillId="0" borderId="0" xfId="0" applyNumberFormat="1"/>
    <xf numFmtId="0" fontId="0" fillId="2" borderId="0" xfId="0" applyFill="1"/>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17'!$T$16:$T$21</c:f>
              <c:numCache>
                <c:formatCode>General</c:formatCode>
                <c:ptCount val="6"/>
                <c:pt idx="0">
                  <c:v>1.7999999999999998E-4</c:v>
                </c:pt>
                <c:pt idx="1">
                  <c:v>3.5999999999999997E-4</c:v>
                </c:pt>
                <c:pt idx="2">
                  <c:v>5.6000000000000006E-4</c:v>
                </c:pt>
                <c:pt idx="3">
                  <c:v>8.1000000000000006E-4</c:v>
                </c:pt>
                <c:pt idx="4">
                  <c:v>1.01E-3</c:v>
                </c:pt>
                <c:pt idx="5">
                  <c:v>1.5E-3</c:v>
                </c:pt>
              </c:numCache>
            </c:numRef>
          </c:xVal>
          <c:yVal>
            <c:numRef>
              <c:f>'Gyro calcs and T data Sep 17'!$O$16:$O$21</c:f>
              <c:numCache>
                <c:formatCode>General</c:formatCode>
                <c:ptCount val="6"/>
                <c:pt idx="0">
                  <c:v>510</c:v>
                </c:pt>
                <c:pt idx="1">
                  <c:v>370</c:v>
                </c:pt>
                <c:pt idx="2">
                  <c:v>290</c:v>
                </c:pt>
                <c:pt idx="3">
                  <c:v>250</c:v>
                </c:pt>
                <c:pt idx="4">
                  <c:v>250</c:v>
                </c:pt>
                <c:pt idx="5">
                  <c:v>250</c:v>
                </c:pt>
              </c:numCache>
            </c:numRef>
          </c:yVal>
          <c:smooth val="0"/>
          <c:extLst>
            <c:ext xmlns:c16="http://schemas.microsoft.com/office/drawing/2014/chart" uri="{C3380CC4-5D6E-409C-BE32-E72D297353CC}">
              <c16:uniqueId val="{00000000-2349-4F33-904E-BDB7124536CB}"/>
            </c:ext>
          </c:extLst>
        </c:ser>
        <c:dLbls>
          <c:showLegendKey val="0"/>
          <c:showVal val="0"/>
          <c:showCatName val="0"/>
          <c:showSerName val="0"/>
          <c:showPercent val="0"/>
          <c:showBubbleSize val="0"/>
        </c:dLbls>
        <c:axId val="1719533856"/>
        <c:axId val="1719437184"/>
      </c:scatterChart>
      <c:valAx>
        <c:axId val="171953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7184"/>
        <c:crosses val="autoZero"/>
        <c:crossBetween val="midCat"/>
      </c:valAx>
      <c:valAx>
        <c:axId val="17194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3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Ln(I) vs t</a:t>
            </a:r>
            <a:r>
              <a:rPr lang="en-CA" baseline="0"/>
              <a:t> for Sample 5</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Ln(5)</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17'!$T$16:$T$19</c:f>
              <c:numCache>
                <c:formatCode>General</c:formatCode>
                <c:ptCount val="4"/>
                <c:pt idx="0">
                  <c:v>1.7999999999999998E-4</c:v>
                </c:pt>
                <c:pt idx="1">
                  <c:v>3.5999999999999997E-4</c:v>
                </c:pt>
                <c:pt idx="2">
                  <c:v>5.6000000000000006E-4</c:v>
                </c:pt>
                <c:pt idx="3">
                  <c:v>8.1000000000000006E-4</c:v>
                </c:pt>
              </c:numCache>
            </c:numRef>
          </c:xVal>
          <c:yVal>
            <c:numRef>
              <c:f>'Gyro calcs and T data Sep 17'!$Q$16:$Q$19</c:f>
              <c:numCache>
                <c:formatCode>General</c:formatCode>
                <c:ptCount val="4"/>
                <c:pt idx="0">
                  <c:v>6.2344107257183712</c:v>
                </c:pt>
                <c:pt idx="1">
                  <c:v>5.9135030056382698</c:v>
                </c:pt>
                <c:pt idx="2">
                  <c:v>5.6698809229805196</c:v>
                </c:pt>
                <c:pt idx="3">
                  <c:v>5.521460917862246</c:v>
                </c:pt>
              </c:numCache>
            </c:numRef>
          </c:yVal>
          <c:smooth val="0"/>
          <c:extLst>
            <c:ext xmlns:c16="http://schemas.microsoft.com/office/drawing/2014/chart" uri="{C3380CC4-5D6E-409C-BE32-E72D297353CC}">
              <c16:uniqueId val="{00000000-6046-4B70-8929-8FD569FF527F}"/>
            </c:ext>
          </c:extLst>
        </c:ser>
        <c:dLbls>
          <c:showLegendKey val="0"/>
          <c:showVal val="0"/>
          <c:showCatName val="0"/>
          <c:showSerName val="0"/>
          <c:showPercent val="0"/>
          <c:showBubbleSize val="0"/>
        </c:dLbls>
        <c:axId val="1719289552"/>
        <c:axId val="1719427200"/>
      </c:scatterChart>
      <c:valAx>
        <c:axId val="171928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7200"/>
        <c:crosses val="autoZero"/>
        <c:crossBetween val="midCat"/>
      </c:valAx>
      <c:valAx>
        <c:axId val="171942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8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Raw (1)</c:v>
          </c:tx>
          <c:spPr>
            <a:ln w="25400" cap="rnd">
              <a:noFill/>
              <a:round/>
            </a:ln>
            <a:effectLst/>
          </c:spPr>
          <c:marker>
            <c:symbol val="circle"/>
            <c:size val="5"/>
            <c:spPr>
              <a:solidFill>
                <a:schemeClr val="accent1"/>
              </a:solidFill>
              <a:ln w="9525">
                <a:solidFill>
                  <a:schemeClr val="accent1"/>
                </a:solidFill>
              </a:ln>
              <a:effectLst/>
            </c:spPr>
          </c:marker>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17'!$O$4:$O$11</c:f>
              <c:numCache>
                <c:formatCode>General</c:formatCode>
                <c:ptCount val="8"/>
                <c:pt idx="0">
                  <c:v>800</c:v>
                </c:pt>
                <c:pt idx="1">
                  <c:v>670</c:v>
                </c:pt>
                <c:pt idx="2">
                  <c:v>600</c:v>
                </c:pt>
                <c:pt idx="3">
                  <c:v>530</c:v>
                </c:pt>
                <c:pt idx="4">
                  <c:v>470</c:v>
                </c:pt>
                <c:pt idx="5">
                  <c:v>460</c:v>
                </c:pt>
                <c:pt idx="6">
                  <c:v>440</c:v>
                </c:pt>
                <c:pt idx="7">
                  <c:v>420</c:v>
                </c:pt>
              </c:numCache>
            </c:numRef>
          </c:yVal>
          <c:smooth val="0"/>
          <c:extLst>
            <c:ext xmlns:c16="http://schemas.microsoft.com/office/drawing/2014/chart" uri="{C3380CC4-5D6E-409C-BE32-E72D297353CC}">
              <c16:uniqueId val="{00000000-36D8-4E67-B70B-5A057FAEA4CC}"/>
            </c:ext>
          </c:extLst>
        </c:ser>
        <c:dLbls>
          <c:showLegendKey val="0"/>
          <c:showVal val="0"/>
          <c:showCatName val="0"/>
          <c:showSerName val="0"/>
          <c:showPercent val="0"/>
          <c:showBubbleSize val="0"/>
        </c:dLbls>
        <c:axId val="1641786656"/>
        <c:axId val="1719432192"/>
      </c:scatterChart>
      <c:valAx>
        <c:axId val="164178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2192"/>
        <c:crosses val="autoZero"/>
        <c:crossBetween val="midCat"/>
      </c:valAx>
      <c:valAx>
        <c:axId val="17194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8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Ln(I) vs t for Sample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17'!$Q$4:$Q$11</c:f>
              <c:numCache>
                <c:formatCode>General</c:formatCode>
                <c:ptCount val="8"/>
                <c:pt idx="0">
                  <c:v>6.6846117276679271</c:v>
                </c:pt>
                <c:pt idx="1">
                  <c:v>6.5072777123850116</c:v>
                </c:pt>
                <c:pt idx="2">
                  <c:v>6.3969296552161463</c:v>
                </c:pt>
                <c:pt idx="3">
                  <c:v>6.2728770065461674</c:v>
                </c:pt>
                <c:pt idx="4">
                  <c:v>6.1527326947041043</c:v>
                </c:pt>
                <c:pt idx="5">
                  <c:v>6.131226489483141</c:v>
                </c:pt>
                <c:pt idx="6">
                  <c:v>6.0867747269123065</c:v>
                </c:pt>
                <c:pt idx="7">
                  <c:v>6.0402547112774139</c:v>
                </c:pt>
              </c:numCache>
            </c:numRef>
          </c:yVal>
          <c:smooth val="0"/>
          <c:extLst>
            <c:ext xmlns:c16="http://schemas.microsoft.com/office/drawing/2014/chart" uri="{C3380CC4-5D6E-409C-BE32-E72D297353CC}">
              <c16:uniqueId val="{00000000-4CDE-4D64-B06A-455666B907EC}"/>
            </c:ext>
          </c:extLst>
        </c:ser>
        <c:dLbls>
          <c:showLegendKey val="0"/>
          <c:showVal val="0"/>
          <c:showCatName val="0"/>
          <c:showSerName val="0"/>
          <c:showPercent val="0"/>
          <c:showBubbleSize val="0"/>
        </c:dLbls>
        <c:axId val="1965139168"/>
        <c:axId val="1719449248"/>
      </c:scatterChart>
      <c:valAx>
        <c:axId val="19651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9248"/>
        <c:crosses val="autoZero"/>
        <c:crossBetween val="midCat"/>
      </c:valAx>
      <c:valAx>
        <c:axId val="17194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3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17'!$AH$3:$AH$9</c:f>
              <c:numCache>
                <c:formatCode>General</c:formatCode>
                <c:ptCount val="7"/>
                <c:pt idx="0">
                  <c:v>7.0000000000000007E-2</c:v>
                </c:pt>
                <c:pt idx="1">
                  <c:v>0.14000000000000001</c:v>
                </c:pt>
                <c:pt idx="2">
                  <c:v>0.28000000000000003</c:v>
                </c:pt>
                <c:pt idx="3">
                  <c:v>0.38</c:v>
                </c:pt>
                <c:pt idx="4">
                  <c:v>0.5</c:v>
                </c:pt>
                <c:pt idx="5">
                  <c:v>0.66</c:v>
                </c:pt>
                <c:pt idx="6">
                  <c:v>0.76</c:v>
                </c:pt>
              </c:numCache>
            </c:numRef>
          </c:xVal>
          <c:yVal>
            <c:numRef>
              <c:f>'Gyro calcs and T data Sep 17'!$AE$3:$AE$9</c:f>
              <c:numCache>
                <c:formatCode>General</c:formatCode>
                <c:ptCount val="7"/>
                <c:pt idx="0">
                  <c:v>6.7093043402582984</c:v>
                </c:pt>
                <c:pt idx="1">
                  <c:v>6.3969296552161463</c:v>
                </c:pt>
                <c:pt idx="2">
                  <c:v>6.1737861039019366</c:v>
                </c:pt>
                <c:pt idx="3">
                  <c:v>5.9914645471079817</c:v>
                </c:pt>
                <c:pt idx="4">
                  <c:v>5.768320995793772</c:v>
                </c:pt>
                <c:pt idx="5">
                  <c:v>5.1929568508902104</c:v>
                </c:pt>
                <c:pt idx="6">
                  <c:v>4.7874917427820458</c:v>
                </c:pt>
              </c:numCache>
            </c:numRef>
          </c:yVal>
          <c:smooth val="0"/>
          <c:extLst>
            <c:ext xmlns:c16="http://schemas.microsoft.com/office/drawing/2014/chart" uri="{C3380CC4-5D6E-409C-BE32-E72D297353CC}">
              <c16:uniqueId val="{00000002-333E-4212-97BA-D4C7D914CBED}"/>
            </c:ext>
          </c:extLst>
        </c:ser>
        <c:dLbls>
          <c:showLegendKey val="0"/>
          <c:showVal val="0"/>
          <c:showCatName val="0"/>
          <c:showSerName val="0"/>
          <c:showPercent val="0"/>
          <c:showBubbleSize val="0"/>
        </c:dLbls>
        <c:axId val="1905387216"/>
        <c:axId val="1717977648"/>
      </c:scatterChart>
      <c:valAx>
        <c:axId val="190538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77648"/>
        <c:crosses val="autoZero"/>
        <c:crossBetween val="midCat"/>
      </c:valAx>
      <c:valAx>
        <c:axId val="1717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570930</xdr:colOff>
      <xdr:row>26</xdr:row>
      <xdr:rowOff>11235</xdr:rowOff>
    </xdr:from>
    <xdr:to>
      <xdr:col>17</xdr:col>
      <xdr:colOff>72455</xdr:colOff>
      <xdr:row>38</xdr:row>
      <xdr:rowOff>119103</xdr:rowOff>
    </xdr:to>
    <xdr:graphicFrame macro="">
      <xdr:nvGraphicFramePr>
        <xdr:cNvPr id="4" name="Chart 3">
          <a:extLst>
            <a:ext uri="{FF2B5EF4-FFF2-40B4-BE49-F238E27FC236}">
              <a16:creationId xmlns:a16="http://schemas.microsoft.com/office/drawing/2014/main" id="{4FAD6277-F0C5-4E3E-B2AE-450E35FE2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111125</xdr:colOff>
      <xdr:row>25</xdr:row>
      <xdr:rowOff>136525</xdr:rowOff>
    </xdr:from>
    <xdr:to>
      <xdr:col>25</xdr:col>
      <xdr:colOff>415925</xdr:colOff>
      <xdr:row>40</xdr:row>
      <xdr:rowOff>117475</xdr:rowOff>
    </xdr:to>
    <xdr:graphicFrame macro="">
      <xdr:nvGraphicFramePr>
        <xdr:cNvPr id="5" name="Chart 4">
          <a:extLst>
            <a:ext uri="{FF2B5EF4-FFF2-40B4-BE49-F238E27FC236}">
              <a16:creationId xmlns:a16="http://schemas.microsoft.com/office/drawing/2014/main" id="{D4A17B26-C2EC-42F5-8E82-304607FBE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514349</xdr:colOff>
      <xdr:row>30</xdr:row>
      <xdr:rowOff>76199</xdr:rowOff>
    </xdr:from>
    <xdr:to>
      <xdr:col>34</xdr:col>
      <xdr:colOff>454024</xdr:colOff>
      <xdr:row>43</xdr:row>
      <xdr:rowOff>98424</xdr:rowOff>
    </xdr:to>
    <xdr:graphicFrame macro="">
      <xdr:nvGraphicFramePr>
        <xdr:cNvPr id="6" name="Chart 5">
          <a:extLst>
            <a:ext uri="{FF2B5EF4-FFF2-40B4-BE49-F238E27FC236}">
              <a16:creationId xmlns:a16="http://schemas.microsoft.com/office/drawing/2014/main" id="{44ACDB8A-A9E5-412D-A82B-801DE00E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517525</xdr:colOff>
      <xdr:row>14</xdr:row>
      <xdr:rowOff>92075</xdr:rowOff>
    </xdr:from>
    <xdr:to>
      <xdr:col>35</xdr:col>
      <xdr:colOff>212725</xdr:colOff>
      <xdr:row>29</xdr:row>
      <xdr:rowOff>73025</xdr:rowOff>
    </xdr:to>
    <xdr:graphicFrame macro="">
      <xdr:nvGraphicFramePr>
        <xdr:cNvPr id="7" name="Chart 6">
          <a:extLst>
            <a:ext uri="{FF2B5EF4-FFF2-40B4-BE49-F238E27FC236}">
              <a16:creationId xmlns:a16="http://schemas.microsoft.com/office/drawing/2014/main" id="{5AE96355-A5B0-4BF1-B83E-AA4CA29C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355763</xdr:colOff>
      <xdr:row>6</xdr:row>
      <xdr:rowOff>130419</xdr:rowOff>
    </xdr:from>
    <xdr:to>
      <xdr:col>46</xdr:col>
      <xdr:colOff>43148</xdr:colOff>
      <xdr:row>23</xdr:row>
      <xdr:rowOff>64966</xdr:rowOff>
    </xdr:to>
    <xdr:graphicFrame macro="">
      <xdr:nvGraphicFramePr>
        <xdr:cNvPr id="8" name="Chart 7">
          <a:extLst>
            <a:ext uri="{FF2B5EF4-FFF2-40B4-BE49-F238E27FC236}">
              <a16:creationId xmlns:a16="http://schemas.microsoft.com/office/drawing/2014/main" id="{0A6C00BC-BAB4-42DB-A07F-9912150D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0D20-4353-4293-8922-1C0ED8C24D99}">
  <dimension ref="A1:AH51"/>
  <sheetViews>
    <sheetView zoomScale="78" workbookViewId="0">
      <selection activeCell="G9" sqref="G9"/>
    </sheetView>
  </sheetViews>
  <sheetFormatPr defaultRowHeight="14.5" x14ac:dyDescent="0.35"/>
  <cols>
    <col min="5" max="5" width="11.81640625" bestFit="1" customWidth="1"/>
    <col min="8" max="9" width="11.81640625" bestFit="1" customWidth="1"/>
  </cols>
  <sheetData>
    <row r="1" spans="1:34" x14ac:dyDescent="0.35">
      <c r="A1" t="s">
        <v>0</v>
      </c>
      <c r="B1" t="s">
        <v>31</v>
      </c>
      <c r="C1" t="s">
        <v>1</v>
      </c>
      <c r="D1" t="s">
        <v>31</v>
      </c>
      <c r="E1" t="s">
        <v>2</v>
      </c>
      <c r="M1" t="s">
        <v>3</v>
      </c>
      <c r="AA1" t="s">
        <v>6</v>
      </c>
    </row>
    <row r="2" spans="1:34" x14ac:dyDescent="0.35">
      <c r="M2" t="s">
        <v>4</v>
      </c>
      <c r="AC2" t="s">
        <v>8</v>
      </c>
      <c r="AD2" t="s">
        <v>31</v>
      </c>
      <c r="AE2" t="s">
        <v>11</v>
      </c>
      <c r="AF2" t="s">
        <v>14</v>
      </c>
      <c r="AG2" t="s">
        <v>31</v>
      </c>
      <c r="AH2" t="s">
        <v>13</v>
      </c>
    </row>
    <row r="3" spans="1:34" x14ac:dyDescent="0.35">
      <c r="A3">
        <v>16.8</v>
      </c>
      <c r="B3">
        <v>0.1</v>
      </c>
      <c r="C3">
        <v>0.4</v>
      </c>
      <c r="D3">
        <v>0.01</v>
      </c>
      <c r="E3">
        <f>2*PI()*A3*10^6/C3</f>
        <v>263893782.90154263</v>
      </c>
      <c r="F3">
        <f>E3*SQRT((D3/C3)^2+(B3/A3)^2)</f>
        <v>6781766.4740889156</v>
      </c>
      <c r="H3" s="1">
        <v>42979</v>
      </c>
      <c r="L3" t="s">
        <v>7</v>
      </c>
      <c r="O3" t="s">
        <v>8</v>
      </c>
      <c r="P3" t="s">
        <v>31</v>
      </c>
      <c r="Q3" t="s">
        <v>11</v>
      </c>
      <c r="R3" t="s">
        <v>47</v>
      </c>
      <c r="S3" t="s">
        <v>48</v>
      </c>
      <c r="T3" t="s">
        <v>52</v>
      </c>
      <c r="V3" t="s">
        <v>9</v>
      </c>
      <c r="W3" t="s">
        <v>29</v>
      </c>
      <c r="AA3" t="s">
        <v>32</v>
      </c>
      <c r="AC3">
        <v>820</v>
      </c>
      <c r="AD3">
        <v>30</v>
      </c>
      <c r="AE3">
        <f>LN(AC3)</f>
        <v>6.7093043402582984</v>
      </c>
      <c r="AF3">
        <v>70</v>
      </c>
      <c r="AG3">
        <v>0.01</v>
      </c>
      <c r="AH3">
        <f>AF3*10^-3</f>
        <v>7.0000000000000007E-2</v>
      </c>
    </row>
    <row r="4" spans="1:34" x14ac:dyDescent="0.35">
      <c r="M4">
        <v>850</v>
      </c>
      <c r="O4">
        <v>800</v>
      </c>
      <c r="P4">
        <v>50</v>
      </c>
      <c r="Q4">
        <f>LN(O4)</f>
        <v>6.6846117276679271</v>
      </c>
      <c r="R4">
        <v>0.2</v>
      </c>
      <c r="S4">
        <f t="shared" ref="S4:S11" si="0">2*W4</f>
        <v>0.1</v>
      </c>
      <c r="T4">
        <f>R4*10^-3</f>
        <v>2.0000000000000001E-4</v>
      </c>
      <c r="V4">
        <v>0.1</v>
      </c>
      <c r="W4">
        <v>0.05</v>
      </c>
      <c r="AC4">
        <v>600</v>
      </c>
      <c r="AD4">
        <v>30</v>
      </c>
      <c r="AE4">
        <f t="shared" ref="AE4:AE9" si="1">LN(AC4)</f>
        <v>6.3969296552161463</v>
      </c>
      <c r="AF4">
        <v>140</v>
      </c>
      <c r="AG4">
        <v>10</v>
      </c>
      <c r="AH4">
        <f t="shared" ref="AH4:AH9" si="2">AF4*10^-3</f>
        <v>0.14000000000000001</v>
      </c>
    </row>
    <row r="5" spans="1:34" x14ac:dyDescent="0.35">
      <c r="A5">
        <v>16.783999999999999</v>
      </c>
      <c r="B5">
        <v>1E-3</v>
      </c>
      <c r="C5">
        <v>0.4</v>
      </c>
      <c r="D5">
        <v>0.05</v>
      </c>
      <c r="E5">
        <f>2*PI()*A5*10^6/C5</f>
        <v>263642455.4892554</v>
      </c>
      <c r="F5">
        <f>E5*SQRT((D5/C5)^2+(B5/A5)^2)</f>
        <v>32955310.679713257</v>
      </c>
      <c r="H5" s="1">
        <v>44075</v>
      </c>
      <c r="L5" t="s">
        <v>32</v>
      </c>
      <c r="M5">
        <v>720</v>
      </c>
      <c r="O5">
        <v>670</v>
      </c>
      <c r="P5">
        <v>50</v>
      </c>
      <c r="Q5">
        <f t="shared" ref="Q5:Q11" si="3">LN(O5)</f>
        <v>6.5072777123850116</v>
      </c>
      <c r="R5">
        <v>0.4</v>
      </c>
      <c r="S5">
        <f t="shared" si="0"/>
        <v>0.1</v>
      </c>
      <c r="T5">
        <f t="shared" ref="T5:T11" si="4">R5*10^-3</f>
        <v>4.0000000000000002E-4</v>
      </c>
      <c r="V5">
        <v>0.2</v>
      </c>
      <c r="W5">
        <v>0.05</v>
      </c>
      <c r="AC5">
        <v>480</v>
      </c>
      <c r="AD5">
        <v>30</v>
      </c>
      <c r="AE5">
        <f t="shared" si="1"/>
        <v>6.1737861039019366</v>
      </c>
      <c r="AF5">
        <v>280</v>
      </c>
      <c r="AG5">
        <v>10</v>
      </c>
      <c r="AH5">
        <f t="shared" si="2"/>
        <v>0.28000000000000003</v>
      </c>
    </row>
    <row r="6" spans="1:34" x14ac:dyDescent="0.35">
      <c r="M6">
        <v>620</v>
      </c>
      <c r="O6">
        <v>600</v>
      </c>
      <c r="P6">
        <v>50</v>
      </c>
      <c r="Q6">
        <f t="shared" si="3"/>
        <v>6.3969296552161463</v>
      </c>
      <c r="R6">
        <v>0.6</v>
      </c>
      <c r="S6">
        <f t="shared" si="0"/>
        <v>0.1</v>
      </c>
      <c r="T6">
        <f t="shared" si="4"/>
        <v>5.9999999999999995E-4</v>
      </c>
      <c r="V6">
        <v>0.3</v>
      </c>
      <c r="W6">
        <v>0.05</v>
      </c>
      <c r="AC6">
        <v>400</v>
      </c>
      <c r="AD6">
        <v>30</v>
      </c>
      <c r="AE6">
        <f t="shared" si="1"/>
        <v>5.9914645471079817</v>
      </c>
      <c r="AF6">
        <v>380</v>
      </c>
      <c r="AG6">
        <v>10</v>
      </c>
      <c r="AH6">
        <f t="shared" si="2"/>
        <v>0.38</v>
      </c>
    </row>
    <row r="7" spans="1:34" x14ac:dyDescent="0.35">
      <c r="M7">
        <v>550</v>
      </c>
      <c r="O7">
        <v>530</v>
      </c>
      <c r="P7">
        <v>50</v>
      </c>
      <c r="Q7">
        <f t="shared" si="3"/>
        <v>6.2728770065461674</v>
      </c>
      <c r="R7">
        <v>0.8</v>
      </c>
      <c r="S7">
        <f t="shared" si="0"/>
        <v>0.1</v>
      </c>
      <c r="T7">
        <f t="shared" si="4"/>
        <v>8.0000000000000004E-4</v>
      </c>
      <c r="V7">
        <v>0.4</v>
      </c>
      <c r="W7">
        <v>0.05</v>
      </c>
      <c r="AC7">
        <v>320</v>
      </c>
      <c r="AD7">
        <v>30</v>
      </c>
      <c r="AE7">
        <f t="shared" si="1"/>
        <v>5.768320995793772</v>
      </c>
      <c r="AF7">
        <v>500</v>
      </c>
      <c r="AG7">
        <v>10</v>
      </c>
      <c r="AH7">
        <f t="shared" si="2"/>
        <v>0.5</v>
      </c>
    </row>
    <row r="8" spans="1:34" x14ac:dyDescent="0.35">
      <c r="M8">
        <v>470</v>
      </c>
      <c r="O8">
        <v>470</v>
      </c>
      <c r="P8">
        <v>50</v>
      </c>
      <c r="Q8">
        <f t="shared" si="3"/>
        <v>6.1527326947041043</v>
      </c>
      <c r="R8">
        <v>0.95</v>
      </c>
      <c r="S8">
        <f t="shared" si="0"/>
        <v>0.1</v>
      </c>
      <c r="T8">
        <f t="shared" si="4"/>
        <v>9.5E-4</v>
      </c>
      <c r="V8">
        <v>0.5</v>
      </c>
      <c r="W8">
        <v>0.05</v>
      </c>
      <c r="AC8">
        <v>180</v>
      </c>
      <c r="AD8">
        <v>30</v>
      </c>
      <c r="AE8">
        <f t="shared" si="1"/>
        <v>5.1929568508902104</v>
      </c>
      <c r="AF8">
        <v>660</v>
      </c>
      <c r="AG8">
        <v>10</v>
      </c>
      <c r="AH8">
        <f t="shared" si="2"/>
        <v>0.66</v>
      </c>
    </row>
    <row r="9" spans="1:34" x14ac:dyDescent="0.35">
      <c r="M9">
        <v>440</v>
      </c>
      <c r="O9">
        <v>460</v>
      </c>
      <c r="P9">
        <v>50</v>
      </c>
      <c r="Q9">
        <f t="shared" si="3"/>
        <v>6.131226489483141</v>
      </c>
      <c r="R9">
        <v>1.2</v>
      </c>
      <c r="S9">
        <f t="shared" si="0"/>
        <v>0.1</v>
      </c>
      <c r="T9">
        <f t="shared" si="4"/>
        <v>1.1999999999999999E-3</v>
      </c>
      <c r="V9">
        <v>0.6</v>
      </c>
      <c r="W9">
        <v>0.05</v>
      </c>
      <c r="AC9">
        <v>120</v>
      </c>
      <c r="AD9">
        <v>30</v>
      </c>
      <c r="AE9">
        <f t="shared" si="1"/>
        <v>4.7874917427820458</v>
      </c>
      <c r="AF9">
        <v>760</v>
      </c>
      <c r="AG9">
        <v>10</v>
      </c>
      <c r="AH9">
        <f t="shared" si="2"/>
        <v>0.76</v>
      </c>
    </row>
    <row r="10" spans="1:34" x14ac:dyDescent="0.35">
      <c r="M10">
        <v>410</v>
      </c>
      <c r="O10">
        <v>440</v>
      </c>
      <c r="P10">
        <v>50</v>
      </c>
      <c r="Q10">
        <f t="shared" si="3"/>
        <v>6.0867747269123065</v>
      </c>
      <c r="R10">
        <v>1.4</v>
      </c>
      <c r="S10">
        <f t="shared" si="0"/>
        <v>0.1</v>
      </c>
      <c r="T10">
        <f t="shared" si="4"/>
        <v>1.4E-3</v>
      </c>
      <c r="V10">
        <v>0.7</v>
      </c>
      <c r="W10">
        <v>0.05</v>
      </c>
      <c r="AB10" s="3"/>
      <c r="AC10" s="3"/>
      <c r="AD10" s="3"/>
      <c r="AE10" s="3"/>
      <c r="AF10" s="3"/>
      <c r="AG10" s="3"/>
    </row>
    <row r="11" spans="1:34" x14ac:dyDescent="0.35">
      <c r="M11">
        <v>380</v>
      </c>
      <c r="O11">
        <v>420</v>
      </c>
      <c r="P11">
        <v>50</v>
      </c>
      <c r="Q11">
        <f t="shared" si="3"/>
        <v>6.0402547112774139</v>
      </c>
      <c r="R11">
        <v>1.6</v>
      </c>
      <c r="S11">
        <f t="shared" si="0"/>
        <v>0.1</v>
      </c>
      <c r="T11">
        <f t="shared" si="4"/>
        <v>1.6000000000000001E-3</v>
      </c>
      <c r="V11">
        <v>0.8</v>
      </c>
      <c r="W11">
        <v>0.05</v>
      </c>
      <c r="AB11" t="s">
        <v>50</v>
      </c>
    </row>
    <row r="12" spans="1:34" x14ac:dyDescent="0.35">
      <c r="O12" t="s">
        <v>49</v>
      </c>
    </row>
    <row r="13" spans="1:34" x14ac:dyDescent="0.35">
      <c r="O13" t="s">
        <v>53</v>
      </c>
    </row>
    <row r="15" spans="1:34" x14ac:dyDescent="0.35">
      <c r="O15" t="s">
        <v>36</v>
      </c>
      <c r="P15" t="s">
        <v>31</v>
      </c>
      <c r="Q15" t="s">
        <v>11</v>
      </c>
      <c r="R15" t="s">
        <v>14</v>
      </c>
      <c r="S15" t="s">
        <v>31</v>
      </c>
      <c r="T15" t="s">
        <v>10</v>
      </c>
      <c r="V15" t="s">
        <v>30</v>
      </c>
      <c r="W15" t="s">
        <v>29</v>
      </c>
    </row>
    <row r="16" spans="1:34" x14ac:dyDescent="0.35">
      <c r="L16" t="s">
        <v>33</v>
      </c>
      <c r="O16">
        <v>510</v>
      </c>
      <c r="P16">
        <v>50</v>
      </c>
      <c r="Q16">
        <f>LN(O16)</f>
        <v>6.2344107257183712</v>
      </c>
      <c r="R16">
        <v>0.18</v>
      </c>
      <c r="S16">
        <v>0.01</v>
      </c>
      <c r="T16">
        <f>R16*10^-3</f>
        <v>1.7999999999999998E-4</v>
      </c>
      <c r="V16">
        <v>80</v>
      </c>
      <c r="W16">
        <v>20</v>
      </c>
    </row>
    <row r="17" spans="13:23" x14ac:dyDescent="0.35">
      <c r="O17">
        <v>370</v>
      </c>
      <c r="P17">
        <v>50</v>
      </c>
      <c r="Q17">
        <f t="shared" ref="Q17:Q21" si="5">LN(O17)</f>
        <v>5.9135030056382698</v>
      </c>
      <c r="R17">
        <v>0.36</v>
      </c>
      <c r="S17">
        <v>0.01</v>
      </c>
      <c r="T17">
        <f t="shared" ref="T17:T21" si="6">R17*10^-3</f>
        <v>3.5999999999999997E-4</v>
      </c>
      <c r="V17">
        <v>180</v>
      </c>
      <c r="W17">
        <v>20</v>
      </c>
    </row>
    <row r="18" spans="13:23" x14ac:dyDescent="0.35">
      <c r="O18">
        <v>290</v>
      </c>
      <c r="P18">
        <v>50</v>
      </c>
      <c r="Q18">
        <f t="shared" si="5"/>
        <v>5.6698809229805196</v>
      </c>
      <c r="R18">
        <v>0.56000000000000005</v>
      </c>
      <c r="S18">
        <v>0.01</v>
      </c>
      <c r="T18">
        <f t="shared" si="6"/>
        <v>5.6000000000000006E-4</v>
      </c>
      <c r="V18">
        <v>280</v>
      </c>
      <c r="W18">
        <v>20</v>
      </c>
    </row>
    <row r="19" spans="13:23" x14ac:dyDescent="0.35">
      <c r="N19" s="4"/>
      <c r="O19">
        <v>250</v>
      </c>
      <c r="P19">
        <v>50</v>
      </c>
      <c r="Q19">
        <f t="shared" si="5"/>
        <v>5.521460917862246</v>
      </c>
      <c r="R19">
        <v>0.81</v>
      </c>
      <c r="S19">
        <v>0.01</v>
      </c>
      <c r="T19">
        <f t="shared" si="6"/>
        <v>8.1000000000000006E-4</v>
      </c>
      <c r="V19">
        <v>400</v>
      </c>
      <c r="W19">
        <v>20</v>
      </c>
    </row>
    <row r="20" spans="13:23" x14ac:dyDescent="0.35">
      <c r="N20" s="4"/>
      <c r="O20">
        <v>250</v>
      </c>
      <c r="P20">
        <v>50</v>
      </c>
      <c r="Q20">
        <f t="shared" si="5"/>
        <v>5.521460917862246</v>
      </c>
      <c r="R20">
        <v>1.01</v>
      </c>
      <c r="S20">
        <v>0.05</v>
      </c>
      <c r="T20">
        <f t="shared" si="6"/>
        <v>1.01E-3</v>
      </c>
      <c r="W20">
        <v>20</v>
      </c>
    </row>
    <row r="21" spans="13:23" x14ac:dyDescent="0.35">
      <c r="N21" s="4"/>
      <c r="O21">
        <v>250</v>
      </c>
      <c r="P21">
        <v>50</v>
      </c>
      <c r="Q21">
        <f t="shared" si="5"/>
        <v>5.521460917862246</v>
      </c>
      <c r="R21">
        <v>1.5</v>
      </c>
      <c r="S21">
        <v>0.05</v>
      </c>
      <c r="T21">
        <f t="shared" si="6"/>
        <v>1.5E-3</v>
      </c>
      <c r="V21">
        <v>750</v>
      </c>
    </row>
    <row r="22" spans="13:23" x14ac:dyDescent="0.35">
      <c r="M22" t="s">
        <v>51</v>
      </c>
    </row>
    <row r="47" spans="25:25" x14ac:dyDescent="0.35">
      <c r="Y47" t="s">
        <v>12</v>
      </c>
    </row>
    <row r="51" spans="23:23" x14ac:dyDescent="0.35">
      <c r="W51"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AB05-2E7C-479B-B172-C6DC7A7684C4}">
  <dimension ref="I1:P14"/>
  <sheetViews>
    <sheetView workbookViewId="0">
      <selection activeCell="M8" sqref="M8"/>
    </sheetView>
  </sheetViews>
  <sheetFormatPr defaultRowHeight="14.5" x14ac:dyDescent="0.35"/>
  <sheetData>
    <row r="1" spans="9:16" x14ac:dyDescent="0.35">
      <c r="K1" t="s">
        <v>27</v>
      </c>
      <c r="L1">
        <v>2.5</v>
      </c>
      <c r="M1" t="s">
        <v>22</v>
      </c>
      <c r="N1">
        <v>0.99990000000000001</v>
      </c>
      <c r="O1" t="s">
        <v>23</v>
      </c>
      <c r="P1">
        <v>10</v>
      </c>
    </row>
    <row r="2" spans="9:16" x14ac:dyDescent="0.35">
      <c r="L2">
        <v>0.01</v>
      </c>
      <c r="N2">
        <v>1E-4</v>
      </c>
      <c r="O2" t="s">
        <v>26</v>
      </c>
      <c r="P2">
        <v>0.01</v>
      </c>
    </row>
    <row r="3" spans="9:16" x14ac:dyDescent="0.35">
      <c r="K3" t="s">
        <v>25</v>
      </c>
      <c r="M3" t="s">
        <v>24</v>
      </c>
    </row>
    <row r="4" spans="9:16" x14ac:dyDescent="0.35">
      <c r="K4">
        <f>$P$1</f>
        <v>10</v>
      </c>
      <c r="L4">
        <f>$P$2</f>
        <v>0.01</v>
      </c>
      <c r="M4">
        <f>$N$1/K4</f>
        <v>9.9989999999999996E-2</v>
      </c>
      <c r="N4">
        <f>M4*SQRT(($N$2/$N$1)^2+(L4/K4)^2)</f>
        <v>1.0048880584423321E-4</v>
      </c>
    </row>
    <row r="5" spans="9:16" x14ac:dyDescent="0.35">
      <c r="K5">
        <f>5</f>
        <v>5</v>
      </c>
      <c r="L5">
        <f>SQRT($P$2^2+$P$2^2)</f>
        <v>1.4142135623730951E-2</v>
      </c>
      <c r="M5">
        <f>2.5*M4/K5</f>
        <v>4.9994999999999998E-2</v>
      </c>
      <c r="N5">
        <f>M5*SQRT((L5/K5)^2+($L$2/$L$1)^2+(N4/M4)^2)</f>
        <v>2.5002500000000002E-4</v>
      </c>
    </row>
    <row r="6" spans="9:16" x14ac:dyDescent="0.35">
      <c r="K6">
        <v>5</v>
      </c>
      <c r="L6">
        <f>SQRT($P$2^2+$P$2^2)</f>
        <v>1.4142135623730951E-2</v>
      </c>
      <c r="M6">
        <f>2.5*M5/K6</f>
        <v>2.4997499999999999E-2</v>
      </c>
      <c r="N6">
        <f>M6*SQRT((L6/K6)^2+($L$2/$L$1)^2+(N5/M5)^2)</f>
        <v>1.7500035801749092E-4</v>
      </c>
    </row>
    <row r="7" spans="9:16" x14ac:dyDescent="0.35">
      <c r="K7">
        <v>5</v>
      </c>
      <c r="L7">
        <f>SQRT($P$2^2+$P$2^2)</f>
        <v>1.4142135623730951E-2</v>
      </c>
      <c r="M7">
        <f>2.5*M6/K7</f>
        <v>1.2498749999999999E-2</v>
      </c>
      <c r="N7">
        <f>M7*SQRT((L7/K7)^2+($L$2/$L$1)^2+(N6/M6)^2)</f>
        <v>1.0679668236449341E-4</v>
      </c>
    </row>
    <row r="8" spans="9:16" x14ac:dyDescent="0.35">
      <c r="K8">
        <v>5</v>
      </c>
      <c r="L8">
        <f>SQRT($P$2^2+$P$2^2)</f>
        <v>1.4142135623730951E-2</v>
      </c>
      <c r="M8">
        <f>2.5*M7/K8</f>
        <v>6.2493749999999997E-3</v>
      </c>
      <c r="N8">
        <f>M8*SQRT((L8/K8)^2+($L$2/$L$1)^2+(N7/M7)^2)</f>
        <v>6.1552378917395422E-5</v>
      </c>
    </row>
    <row r="9" spans="9:16" x14ac:dyDescent="0.35">
      <c r="M9" t="s">
        <v>40</v>
      </c>
    </row>
    <row r="11" spans="9:16" x14ac:dyDescent="0.35">
      <c r="I11">
        <v>0.19992000000000001</v>
      </c>
      <c r="J11">
        <v>4.1215534158858119E-4</v>
      </c>
      <c r="K11">
        <v>1.0327164573694647</v>
      </c>
      <c r="L11">
        <v>1.9026418538779795E-2</v>
      </c>
    </row>
    <row r="12" spans="9:16" x14ac:dyDescent="0.35">
      <c r="I12">
        <v>9.9960000000000007E-2</v>
      </c>
      <c r="J12">
        <v>5.3129656953532093E-4</v>
      </c>
      <c r="K12">
        <v>0.48355899419729204</v>
      </c>
      <c r="L12">
        <v>1.4731245954753093E-2</v>
      </c>
    </row>
    <row r="13" spans="9:16" x14ac:dyDescent="0.35">
      <c r="I13">
        <v>4.9980000000000004E-2</v>
      </c>
      <c r="J13">
        <v>3.6127693089927569E-4</v>
      </c>
      <c r="K13">
        <v>0.20829427815617904</v>
      </c>
      <c r="L13">
        <v>5.17601020309362E-3</v>
      </c>
    </row>
    <row r="14" spans="9:16" x14ac:dyDescent="0.35">
      <c r="I14">
        <v>2.4990000000000002E-2</v>
      </c>
      <c r="J14">
        <v>2.1821608006744142E-4</v>
      </c>
      <c r="K14">
        <v>8.7827156156683656E-2</v>
      </c>
      <c r="L14">
        <v>3.0160212592010641E-3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8CC5-AD3C-4D44-8225-D5AA6C6EB5B5}">
  <dimension ref="B1:R40"/>
  <sheetViews>
    <sheetView topLeftCell="A19" workbookViewId="0">
      <selection activeCell="K26" sqref="K26"/>
    </sheetView>
  </sheetViews>
  <sheetFormatPr defaultRowHeight="14.5" x14ac:dyDescent="0.35"/>
  <sheetData>
    <row r="1" spans="2:18" x14ac:dyDescent="0.35">
      <c r="B1" t="s">
        <v>3</v>
      </c>
      <c r="M1" t="s">
        <v>6</v>
      </c>
    </row>
    <row r="2" spans="2:18" x14ac:dyDescent="0.35">
      <c r="D2" t="s">
        <v>15</v>
      </c>
      <c r="E2" t="s">
        <v>31</v>
      </c>
      <c r="F2" t="s">
        <v>8</v>
      </c>
      <c r="G2" t="s">
        <v>31</v>
      </c>
      <c r="H2" t="s">
        <v>9</v>
      </c>
      <c r="I2" t="s">
        <v>31</v>
      </c>
      <c r="M2" t="s">
        <v>4</v>
      </c>
      <c r="O2" t="s">
        <v>14</v>
      </c>
      <c r="P2" t="s">
        <v>31</v>
      </c>
      <c r="Q2" t="s">
        <v>8</v>
      </c>
      <c r="R2" t="s">
        <v>31</v>
      </c>
    </row>
    <row r="3" spans="2:18" x14ac:dyDescent="0.35">
      <c r="C3" t="s">
        <v>32</v>
      </c>
      <c r="D3">
        <v>0.53</v>
      </c>
      <c r="E3">
        <v>0.03</v>
      </c>
      <c r="F3">
        <v>520</v>
      </c>
      <c r="G3">
        <v>50</v>
      </c>
      <c r="H3">
        <v>0.31</v>
      </c>
      <c r="I3">
        <v>0.01</v>
      </c>
      <c r="L3" t="s">
        <v>34</v>
      </c>
      <c r="M3">
        <v>1100</v>
      </c>
      <c r="N3">
        <v>50</v>
      </c>
      <c r="O3">
        <v>1.06</v>
      </c>
      <c r="P3">
        <v>0.01</v>
      </c>
      <c r="Q3">
        <v>90</v>
      </c>
      <c r="R3">
        <v>50</v>
      </c>
    </row>
    <row r="4" spans="2:18" x14ac:dyDescent="0.35">
      <c r="D4">
        <v>0.72</v>
      </c>
      <c r="E4">
        <v>0.03</v>
      </c>
      <c r="F4">
        <v>460</v>
      </c>
      <c r="G4">
        <v>50</v>
      </c>
      <c r="H4">
        <v>0.41</v>
      </c>
      <c r="I4">
        <v>0.01</v>
      </c>
      <c r="O4">
        <v>1.18</v>
      </c>
      <c r="P4">
        <v>0.01</v>
      </c>
      <c r="Q4">
        <v>120</v>
      </c>
      <c r="R4">
        <v>50</v>
      </c>
    </row>
    <row r="5" spans="2:18" x14ac:dyDescent="0.35">
      <c r="D5">
        <v>0.94</v>
      </c>
      <c r="E5">
        <v>0.03</v>
      </c>
      <c r="F5">
        <v>380</v>
      </c>
      <c r="G5">
        <v>50</v>
      </c>
      <c r="H5">
        <v>0.51</v>
      </c>
      <c r="I5">
        <v>0.01</v>
      </c>
      <c r="O5">
        <v>1.44</v>
      </c>
      <c r="P5">
        <v>0.01</v>
      </c>
      <c r="Q5">
        <v>200</v>
      </c>
      <c r="R5">
        <v>50</v>
      </c>
    </row>
    <row r="6" spans="2:18" x14ac:dyDescent="0.35">
      <c r="D6">
        <v>1.27</v>
      </c>
      <c r="E6">
        <v>0.03</v>
      </c>
      <c r="F6">
        <v>310</v>
      </c>
      <c r="G6">
        <v>50</v>
      </c>
      <c r="H6">
        <v>0.68</v>
      </c>
      <c r="I6">
        <v>0.01</v>
      </c>
      <c r="O6">
        <v>1.68</v>
      </c>
      <c r="P6">
        <v>0.01</v>
      </c>
      <c r="Q6">
        <v>300</v>
      </c>
      <c r="R6">
        <v>50</v>
      </c>
    </row>
    <row r="7" spans="2:18" x14ac:dyDescent="0.35">
      <c r="D7">
        <v>1.46</v>
      </c>
      <c r="E7">
        <v>0.03</v>
      </c>
      <c r="F7">
        <v>280</v>
      </c>
      <c r="G7">
        <v>50</v>
      </c>
      <c r="H7">
        <v>0.78</v>
      </c>
      <c r="I7">
        <v>0.01</v>
      </c>
      <c r="O7">
        <v>1.96</v>
      </c>
      <c r="P7">
        <v>0.01</v>
      </c>
      <c r="Q7">
        <v>370</v>
      </c>
      <c r="R7">
        <v>50</v>
      </c>
    </row>
    <row r="8" spans="2:18" x14ac:dyDescent="0.35">
      <c r="D8">
        <v>1.62</v>
      </c>
      <c r="E8">
        <v>0.03</v>
      </c>
      <c r="F8">
        <v>220</v>
      </c>
      <c r="G8">
        <v>50</v>
      </c>
      <c r="H8">
        <v>0.87</v>
      </c>
      <c r="I8">
        <v>0.01</v>
      </c>
      <c r="O8">
        <v>2.3199999999999998</v>
      </c>
      <c r="P8">
        <v>0.01</v>
      </c>
      <c r="Q8">
        <v>500</v>
      </c>
      <c r="R8">
        <v>50</v>
      </c>
    </row>
    <row r="9" spans="2:18" x14ac:dyDescent="0.35">
      <c r="D9">
        <v>1.77</v>
      </c>
      <c r="E9">
        <v>0.05</v>
      </c>
      <c r="F9">
        <v>190</v>
      </c>
      <c r="G9">
        <v>30</v>
      </c>
      <c r="H9">
        <v>0.95</v>
      </c>
      <c r="I9">
        <v>0.01</v>
      </c>
      <c r="O9">
        <v>2.56</v>
      </c>
      <c r="P9">
        <v>0.01</v>
      </c>
      <c r="Q9">
        <v>530</v>
      </c>
      <c r="R9">
        <v>50</v>
      </c>
    </row>
    <row r="10" spans="2:18" x14ac:dyDescent="0.35">
      <c r="D10">
        <v>2.06</v>
      </c>
      <c r="E10">
        <v>0.05</v>
      </c>
      <c r="F10">
        <v>140</v>
      </c>
      <c r="G10">
        <v>30</v>
      </c>
      <c r="H10">
        <v>1.0900000000000001</v>
      </c>
      <c r="I10">
        <v>0.01</v>
      </c>
      <c r="O10">
        <v>2.76</v>
      </c>
      <c r="P10">
        <v>0.01</v>
      </c>
      <c r="Q10">
        <v>580</v>
      </c>
      <c r="R10">
        <v>50</v>
      </c>
    </row>
    <row r="11" spans="2:18" x14ac:dyDescent="0.35">
      <c r="D11">
        <v>2.7</v>
      </c>
      <c r="E11">
        <v>0.05</v>
      </c>
      <c r="F11">
        <v>60</v>
      </c>
      <c r="G11">
        <v>10</v>
      </c>
      <c r="H11">
        <v>1.42</v>
      </c>
      <c r="I11">
        <v>0.01</v>
      </c>
      <c r="O11">
        <v>3.1</v>
      </c>
      <c r="P11">
        <v>0.01</v>
      </c>
      <c r="Q11">
        <v>660</v>
      </c>
      <c r="R11">
        <v>50</v>
      </c>
    </row>
    <row r="12" spans="2:18" x14ac:dyDescent="0.35">
      <c r="D12">
        <v>3.51</v>
      </c>
      <c r="E12">
        <v>0.05</v>
      </c>
      <c r="F12">
        <v>20</v>
      </c>
      <c r="G12">
        <v>10</v>
      </c>
      <c r="H12">
        <v>1.81</v>
      </c>
      <c r="I12">
        <v>0.01</v>
      </c>
      <c r="O12">
        <v>3.52</v>
      </c>
      <c r="P12">
        <v>0.01</v>
      </c>
      <c r="Q12">
        <v>760</v>
      </c>
      <c r="R12">
        <v>50</v>
      </c>
    </row>
    <row r="13" spans="2:18" x14ac:dyDescent="0.35">
      <c r="O13">
        <v>4.04</v>
      </c>
      <c r="P13">
        <v>0.01</v>
      </c>
      <c r="Q13">
        <v>810</v>
      </c>
      <c r="R13">
        <v>50</v>
      </c>
    </row>
    <row r="14" spans="2:18" x14ac:dyDescent="0.35">
      <c r="O14">
        <v>4.62</v>
      </c>
      <c r="P14">
        <v>0.01</v>
      </c>
      <c r="Q14">
        <v>850</v>
      </c>
      <c r="R14">
        <v>50</v>
      </c>
    </row>
    <row r="15" spans="2:18" x14ac:dyDescent="0.35">
      <c r="O15">
        <v>5.28</v>
      </c>
      <c r="P15">
        <v>0.01</v>
      </c>
      <c r="Q15">
        <v>930</v>
      </c>
      <c r="R15">
        <v>50</v>
      </c>
    </row>
    <row r="16" spans="2:18" x14ac:dyDescent="0.35">
      <c r="O16">
        <v>6.16</v>
      </c>
      <c r="P16">
        <v>0.01</v>
      </c>
      <c r="Q16">
        <v>1000</v>
      </c>
      <c r="R16">
        <v>50</v>
      </c>
    </row>
    <row r="17" spans="2:18" x14ac:dyDescent="0.35">
      <c r="O17">
        <v>8.2200000000000006</v>
      </c>
      <c r="P17">
        <v>0.01</v>
      </c>
      <c r="Q17">
        <v>1070</v>
      </c>
      <c r="R17">
        <v>50</v>
      </c>
    </row>
    <row r="20" spans="2:18" x14ac:dyDescent="0.35">
      <c r="B20" t="s">
        <v>35</v>
      </c>
      <c r="D20" t="s">
        <v>36</v>
      </c>
      <c r="E20" t="s">
        <v>31</v>
      </c>
      <c r="F20" t="s">
        <v>14</v>
      </c>
      <c r="G20" t="s">
        <v>31</v>
      </c>
    </row>
    <row r="21" spans="2:18" x14ac:dyDescent="0.35">
      <c r="D21">
        <v>270</v>
      </c>
      <c r="E21">
        <v>50</v>
      </c>
      <c r="F21">
        <v>0.39</v>
      </c>
      <c r="G21">
        <v>0.05</v>
      </c>
      <c r="H21">
        <v>0.19</v>
      </c>
      <c r="I21" s="3"/>
      <c r="J21" t="s">
        <v>37</v>
      </c>
    </row>
    <row r="22" spans="2:18" x14ac:dyDescent="0.35">
      <c r="D22">
        <v>240</v>
      </c>
      <c r="F22">
        <v>0.7</v>
      </c>
      <c r="H22">
        <v>0.36</v>
      </c>
      <c r="I22" s="3"/>
    </row>
    <row r="23" spans="2:18" x14ac:dyDescent="0.35">
      <c r="D23">
        <v>210</v>
      </c>
      <c r="F23">
        <v>1.1399999999999999</v>
      </c>
      <c r="G23">
        <v>0.05</v>
      </c>
      <c r="H23">
        <v>0.57199999999999995</v>
      </c>
      <c r="I23" s="3"/>
    </row>
    <row r="24" spans="2:18" x14ac:dyDescent="0.35">
      <c r="D24">
        <v>180</v>
      </c>
      <c r="F24">
        <v>1.5</v>
      </c>
      <c r="H24">
        <v>0.76</v>
      </c>
      <c r="I24" s="3"/>
    </row>
    <row r="25" spans="2:18" x14ac:dyDescent="0.35">
      <c r="D25">
        <v>180</v>
      </c>
      <c r="F25">
        <v>1.9</v>
      </c>
      <c r="H25">
        <v>0.97</v>
      </c>
      <c r="I25" s="3"/>
    </row>
    <row r="26" spans="2:18" x14ac:dyDescent="0.35">
      <c r="D26">
        <v>160</v>
      </c>
      <c r="F26">
        <v>2.33</v>
      </c>
      <c r="H26">
        <v>1.19</v>
      </c>
      <c r="I26" s="3"/>
    </row>
    <row r="27" spans="2:18" x14ac:dyDescent="0.35">
      <c r="D27">
        <v>140</v>
      </c>
      <c r="F27">
        <v>3.95</v>
      </c>
      <c r="H27">
        <v>2</v>
      </c>
      <c r="I27" s="3"/>
    </row>
    <row r="29" spans="2:18" x14ac:dyDescent="0.35">
      <c r="D29" t="s">
        <v>46</v>
      </c>
    </row>
    <row r="30" spans="2:18" x14ac:dyDescent="0.35">
      <c r="D30" t="s">
        <v>15</v>
      </c>
      <c r="E30" t="s">
        <v>31</v>
      </c>
      <c r="F30" t="s">
        <v>36</v>
      </c>
      <c r="G30" t="s">
        <v>31</v>
      </c>
      <c r="H30" t="s">
        <v>9</v>
      </c>
      <c r="I30" t="s">
        <v>31</v>
      </c>
    </row>
    <row r="31" spans="2:18" x14ac:dyDescent="0.35">
      <c r="D31">
        <v>16.8</v>
      </c>
      <c r="E31">
        <v>0.3</v>
      </c>
      <c r="F31">
        <v>540</v>
      </c>
      <c r="G31">
        <v>30</v>
      </c>
      <c r="H31">
        <v>7.6</v>
      </c>
      <c r="I31">
        <v>0.3</v>
      </c>
    </row>
    <row r="32" spans="2:18" x14ac:dyDescent="0.35">
      <c r="D32">
        <v>23.2</v>
      </c>
      <c r="E32">
        <v>0.3</v>
      </c>
      <c r="F32">
        <v>440</v>
      </c>
      <c r="G32">
        <v>30</v>
      </c>
      <c r="H32">
        <v>11.6</v>
      </c>
      <c r="I32">
        <v>0.3</v>
      </c>
    </row>
    <row r="33" spans="4:9" x14ac:dyDescent="0.35">
      <c r="D33">
        <v>38.4</v>
      </c>
      <c r="E33">
        <v>0.3</v>
      </c>
      <c r="F33">
        <v>400</v>
      </c>
      <c r="G33">
        <v>30</v>
      </c>
      <c r="H33">
        <v>19.2</v>
      </c>
      <c r="I33">
        <v>0.3</v>
      </c>
    </row>
    <row r="34" spans="4:9" x14ac:dyDescent="0.35">
      <c r="D34">
        <v>55.2</v>
      </c>
      <c r="E34">
        <v>0.3</v>
      </c>
      <c r="F34">
        <v>360</v>
      </c>
      <c r="G34">
        <v>30</v>
      </c>
      <c r="H34">
        <v>27.6</v>
      </c>
      <c r="I34">
        <v>0.3</v>
      </c>
    </row>
    <row r="35" spans="4:9" x14ac:dyDescent="0.35">
      <c r="D35">
        <v>63.2</v>
      </c>
      <c r="E35">
        <v>0.3</v>
      </c>
      <c r="F35">
        <v>320</v>
      </c>
      <c r="G35">
        <v>30</v>
      </c>
      <c r="H35">
        <v>31.6</v>
      </c>
      <c r="I35">
        <v>0.3</v>
      </c>
    </row>
    <row r="36" spans="4:9" x14ac:dyDescent="0.35">
      <c r="D36">
        <v>85.2</v>
      </c>
      <c r="E36">
        <v>0.3</v>
      </c>
      <c r="F36">
        <v>240</v>
      </c>
      <c r="G36">
        <v>30</v>
      </c>
      <c r="H36">
        <v>42.8</v>
      </c>
      <c r="I36">
        <v>0.3</v>
      </c>
    </row>
    <row r="37" spans="4:9" x14ac:dyDescent="0.35">
      <c r="D37">
        <v>91.2</v>
      </c>
      <c r="E37">
        <v>0.3</v>
      </c>
      <c r="F37">
        <v>200</v>
      </c>
      <c r="G37">
        <v>30</v>
      </c>
      <c r="H37">
        <v>45.6</v>
      </c>
      <c r="I37">
        <v>0.3</v>
      </c>
    </row>
    <row r="38" spans="4:9" x14ac:dyDescent="0.35">
      <c r="D38">
        <v>120</v>
      </c>
      <c r="E38">
        <v>1</v>
      </c>
      <c r="F38">
        <v>140</v>
      </c>
      <c r="G38">
        <v>30</v>
      </c>
      <c r="H38">
        <v>58</v>
      </c>
      <c r="I38">
        <v>1</v>
      </c>
    </row>
    <row r="39" spans="4:9" x14ac:dyDescent="0.35">
      <c r="D39">
        <v>156</v>
      </c>
      <c r="E39">
        <v>1</v>
      </c>
      <c r="F39">
        <v>60</v>
      </c>
      <c r="G39">
        <v>10</v>
      </c>
      <c r="H39">
        <v>78</v>
      </c>
      <c r="I39">
        <v>1</v>
      </c>
    </row>
    <row r="40" spans="4:9" x14ac:dyDescent="0.35">
      <c r="D40">
        <v>172</v>
      </c>
      <c r="E40">
        <v>1</v>
      </c>
      <c r="F40">
        <v>20</v>
      </c>
      <c r="G40">
        <v>10</v>
      </c>
      <c r="H40">
        <v>86.4</v>
      </c>
      <c r="I4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6A14-4B51-43F4-89A8-E24B71AF5230}">
  <dimension ref="C1:S62"/>
  <sheetViews>
    <sheetView topLeftCell="F7" workbookViewId="0">
      <selection activeCell="T8" sqref="T8"/>
    </sheetView>
  </sheetViews>
  <sheetFormatPr defaultRowHeight="14.5" x14ac:dyDescent="0.35"/>
  <sheetData>
    <row r="1" spans="3:19" x14ac:dyDescent="0.35">
      <c r="C1" t="s">
        <v>3</v>
      </c>
      <c r="K1" t="s">
        <v>5</v>
      </c>
      <c r="N1" t="s">
        <v>6</v>
      </c>
    </row>
    <row r="2" spans="3:19" x14ac:dyDescent="0.35">
      <c r="E2" t="s">
        <v>15</v>
      </c>
      <c r="F2" t="s">
        <v>31</v>
      </c>
      <c r="G2" t="s">
        <v>8</v>
      </c>
      <c r="H2" t="s">
        <v>31</v>
      </c>
      <c r="I2" t="s">
        <v>9</v>
      </c>
      <c r="K2" t="s">
        <v>9</v>
      </c>
      <c r="N2" t="s">
        <v>45</v>
      </c>
      <c r="O2" t="s">
        <v>31</v>
      </c>
      <c r="P2" t="s">
        <v>14</v>
      </c>
      <c r="Q2" t="s">
        <v>31</v>
      </c>
      <c r="R2" t="s">
        <v>8</v>
      </c>
      <c r="S2" t="s">
        <v>31</v>
      </c>
    </row>
    <row r="3" spans="3:19" x14ac:dyDescent="0.35">
      <c r="D3" t="s">
        <v>41</v>
      </c>
      <c r="E3">
        <v>0.27</v>
      </c>
      <c r="F3">
        <v>0.01</v>
      </c>
      <c r="G3">
        <v>490</v>
      </c>
      <c r="H3">
        <v>50</v>
      </c>
      <c r="M3" t="s">
        <v>41</v>
      </c>
      <c r="N3">
        <v>860</v>
      </c>
      <c r="O3">
        <v>50</v>
      </c>
      <c r="P3">
        <v>0.7</v>
      </c>
      <c r="Q3">
        <v>0.01</v>
      </c>
      <c r="R3">
        <v>60</v>
      </c>
      <c r="S3">
        <v>20</v>
      </c>
    </row>
    <row r="4" spans="3:19" x14ac:dyDescent="0.35">
      <c r="E4">
        <v>0.41</v>
      </c>
      <c r="F4">
        <v>0.01</v>
      </c>
      <c r="G4">
        <v>380</v>
      </c>
      <c r="H4">
        <v>50</v>
      </c>
      <c r="P4">
        <v>0.74</v>
      </c>
      <c r="Q4">
        <v>0.01</v>
      </c>
      <c r="R4">
        <v>70</v>
      </c>
      <c r="S4">
        <v>20</v>
      </c>
    </row>
    <row r="5" spans="3:19" x14ac:dyDescent="0.35">
      <c r="E5">
        <v>0.33</v>
      </c>
      <c r="F5">
        <v>0.01</v>
      </c>
      <c r="G5">
        <v>440</v>
      </c>
      <c r="H5">
        <v>50</v>
      </c>
      <c r="P5">
        <v>0.79</v>
      </c>
      <c r="Q5">
        <v>0.01</v>
      </c>
      <c r="R5">
        <v>90</v>
      </c>
      <c r="S5">
        <v>20</v>
      </c>
    </row>
    <row r="6" spans="3:19" x14ac:dyDescent="0.35">
      <c r="E6">
        <v>0.45</v>
      </c>
      <c r="F6">
        <v>0.01</v>
      </c>
      <c r="G6">
        <v>370</v>
      </c>
      <c r="H6">
        <v>50</v>
      </c>
      <c r="P6">
        <v>0.91</v>
      </c>
      <c r="Q6">
        <v>0.01</v>
      </c>
      <c r="R6">
        <v>160</v>
      </c>
      <c r="S6">
        <v>20</v>
      </c>
    </row>
    <row r="7" spans="3:19" x14ac:dyDescent="0.35">
      <c r="E7">
        <v>0.6</v>
      </c>
      <c r="F7">
        <v>0.01</v>
      </c>
      <c r="G7">
        <v>310</v>
      </c>
      <c r="H7">
        <v>50</v>
      </c>
      <c r="P7">
        <v>0.93</v>
      </c>
      <c r="Q7">
        <v>0.01</v>
      </c>
      <c r="R7">
        <v>170</v>
      </c>
      <c r="S7">
        <v>20</v>
      </c>
    </row>
    <row r="8" spans="3:19" x14ac:dyDescent="0.35">
      <c r="E8">
        <v>0.68</v>
      </c>
      <c r="F8">
        <v>0.01</v>
      </c>
      <c r="G8">
        <v>260</v>
      </c>
      <c r="H8">
        <v>50</v>
      </c>
      <c r="P8">
        <v>0.98</v>
      </c>
      <c r="Q8">
        <v>0.01</v>
      </c>
      <c r="R8">
        <v>200</v>
      </c>
      <c r="S8">
        <v>50</v>
      </c>
    </row>
    <row r="9" spans="3:19" x14ac:dyDescent="0.35">
      <c r="E9">
        <v>0.78</v>
      </c>
      <c r="F9">
        <v>0.01</v>
      </c>
      <c r="G9">
        <v>240</v>
      </c>
      <c r="H9">
        <v>50</v>
      </c>
      <c r="P9">
        <v>1.25</v>
      </c>
      <c r="Q9">
        <v>0.01</v>
      </c>
      <c r="R9">
        <v>350</v>
      </c>
      <c r="S9">
        <v>50</v>
      </c>
    </row>
    <row r="10" spans="3:19" x14ac:dyDescent="0.35">
      <c r="E10">
        <v>0.92</v>
      </c>
      <c r="F10">
        <v>0.01</v>
      </c>
      <c r="G10">
        <v>180</v>
      </c>
      <c r="H10">
        <v>50</v>
      </c>
      <c r="P10">
        <v>1.07</v>
      </c>
      <c r="Q10">
        <v>0.01</v>
      </c>
      <c r="R10">
        <v>270</v>
      </c>
      <c r="S10">
        <v>50</v>
      </c>
    </row>
    <row r="11" spans="3:19" x14ac:dyDescent="0.35">
      <c r="E11">
        <v>1.03</v>
      </c>
      <c r="F11">
        <v>0.01</v>
      </c>
      <c r="G11">
        <v>130</v>
      </c>
      <c r="H11">
        <v>30</v>
      </c>
      <c r="P11">
        <v>1.75</v>
      </c>
      <c r="Q11">
        <v>0.01</v>
      </c>
      <c r="R11">
        <v>550</v>
      </c>
      <c r="S11">
        <v>50</v>
      </c>
    </row>
    <row r="12" spans="3:19" x14ac:dyDescent="0.35">
      <c r="E12">
        <v>1.34</v>
      </c>
      <c r="F12">
        <v>0.01</v>
      </c>
      <c r="G12">
        <v>70</v>
      </c>
      <c r="H12">
        <v>30</v>
      </c>
      <c r="P12">
        <v>2.4</v>
      </c>
      <c r="Q12">
        <v>0.01</v>
      </c>
      <c r="R12">
        <v>690</v>
      </c>
      <c r="S12">
        <v>50</v>
      </c>
    </row>
    <row r="13" spans="3:19" x14ac:dyDescent="0.35">
      <c r="E13">
        <v>0.7</v>
      </c>
      <c r="F13">
        <v>0.01</v>
      </c>
      <c r="G13">
        <v>250</v>
      </c>
      <c r="H13">
        <v>50</v>
      </c>
      <c r="P13">
        <v>3.16</v>
      </c>
      <c r="Q13">
        <v>0.01</v>
      </c>
      <c r="R13">
        <v>770</v>
      </c>
      <c r="S13">
        <v>50</v>
      </c>
    </row>
    <row r="14" spans="3:19" x14ac:dyDescent="0.35">
      <c r="E14">
        <v>0.56000000000000005</v>
      </c>
      <c r="F14">
        <v>0.01</v>
      </c>
      <c r="G14">
        <v>320</v>
      </c>
      <c r="H14">
        <v>50</v>
      </c>
      <c r="P14">
        <v>4.01</v>
      </c>
      <c r="Q14">
        <v>0.01</v>
      </c>
      <c r="R14">
        <v>810</v>
      </c>
      <c r="S14">
        <v>50</v>
      </c>
    </row>
    <row r="15" spans="3:19" x14ac:dyDescent="0.35">
      <c r="E15">
        <v>0.47</v>
      </c>
      <c r="F15">
        <v>0.01</v>
      </c>
      <c r="G15">
        <v>390</v>
      </c>
      <c r="H15">
        <v>50</v>
      </c>
      <c r="P15">
        <v>1.43</v>
      </c>
      <c r="Q15">
        <v>0.01</v>
      </c>
      <c r="R15">
        <v>400</v>
      </c>
      <c r="S15">
        <v>50</v>
      </c>
    </row>
    <row r="19" spans="4:19" x14ac:dyDescent="0.35">
      <c r="L19" t="s">
        <v>16</v>
      </c>
      <c r="N19" t="s">
        <v>45</v>
      </c>
      <c r="O19" t="s">
        <v>31</v>
      </c>
      <c r="P19" t="s">
        <v>14</v>
      </c>
      <c r="Q19" t="s">
        <v>31</v>
      </c>
      <c r="R19" t="s">
        <v>8</v>
      </c>
      <c r="S19" t="s">
        <v>31</v>
      </c>
    </row>
    <row r="20" spans="4:19" x14ac:dyDescent="0.35">
      <c r="E20" t="s">
        <v>15</v>
      </c>
      <c r="F20" t="s">
        <v>31</v>
      </c>
      <c r="G20" t="s">
        <v>8</v>
      </c>
      <c r="H20" t="s">
        <v>31</v>
      </c>
      <c r="M20" t="s">
        <v>42</v>
      </c>
      <c r="N20">
        <v>930</v>
      </c>
      <c r="O20">
        <v>50</v>
      </c>
      <c r="P20">
        <v>1.81</v>
      </c>
      <c r="Q20">
        <v>0.01</v>
      </c>
      <c r="R20">
        <v>160</v>
      </c>
      <c r="S20">
        <v>20</v>
      </c>
    </row>
    <row r="21" spans="4:19" x14ac:dyDescent="0.35">
      <c r="D21" t="s">
        <v>42</v>
      </c>
      <c r="E21">
        <v>0.33</v>
      </c>
      <c r="F21">
        <v>0.01</v>
      </c>
      <c r="G21">
        <v>630</v>
      </c>
      <c r="H21">
        <v>50</v>
      </c>
      <c r="P21">
        <v>2.2799999999999998</v>
      </c>
      <c r="Q21">
        <v>0.01</v>
      </c>
      <c r="R21">
        <v>300</v>
      </c>
      <c r="S21">
        <v>50</v>
      </c>
    </row>
    <row r="22" spans="4:19" x14ac:dyDescent="0.35">
      <c r="E22">
        <v>0.46</v>
      </c>
      <c r="F22">
        <v>0.01</v>
      </c>
      <c r="G22">
        <v>570</v>
      </c>
      <c r="H22">
        <v>50</v>
      </c>
      <c r="P22">
        <v>2.56</v>
      </c>
      <c r="Q22">
        <v>0.01</v>
      </c>
      <c r="R22">
        <v>420</v>
      </c>
      <c r="S22">
        <v>50</v>
      </c>
    </row>
    <row r="23" spans="4:19" x14ac:dyDescent="0.35">
      <c r="E23">
        <v>0.6</v>
      </c>
      <c r="F23">
        <v>0.01</v>
      </c>
      <c r="G23">
        <v>520</v>
      </c>
      <c r="H23">
        <v>50</v>
      </c>
      <c r="P23">
        <v>3.18</v>
      </c>
      <c r="Q23">
        <v>0.01</v>
      </c>
      <c r="R23">
        <v>520</v>
      </c>
      <c r="S23">
        <v>50</v>
      </c>
    </row>
    <row r="24" spans="4:19" x14ac:dyDescent="0.35">
      <c r="E24">
        <v>0.8</v>
      </c>
      <c r="F24">
        <v>0.01</v>
      </c>
      <c r="G24">
        <v>430</v>
      </c>
      <c r="H24">
        <v>50</v>
      </c>
      <c r="P24">
        <v>3.62</v>
      </c>
      <c r="Q24">
        <v>0.01</v>
      </c>
      <c r="R24">
        <v>600</v>
      </c>
      <c r="S24">
        <v>50</v>
      </c>
    </row>
    <row r="25" spans="4:19" x14ac:dyDescent="0.35">
      <c r="E25">
        <v>1.01</v>
      </c>
      <c r="F25">
        <v>0.01</v>
      </c>
      <c r="G25">
        <v>380</v>
      </c>
      <c r="H25">
        <v>50</v>
      </c>
      <c r="P25">
        <v>4.42</v>
      </c>
      <c r="Q25">
        <v>0.01</v>
      </c>
      <c r="R25">
        <v>680</v>
      </c>
      <c r="S25">
        <v>50</v>
      </c>
    </row>
    <row r="26" spans="4:19" x14ac:dyDescent="0.35">
      <c r="E26">
        <v>1.26</v>
      </c>
      <c r="F26">
        <v>0.01</v>
      </c>
      <c r="G26">
        <v>320</v>
      </c>
      <c r="H26">
        <v>50</v>
      </c>
      <c r="P26">
        <v>5.28</v>
      </c>
      <c r="Q26">
        <v>0.01</v>
      </c>
      <c r="R26">
        <v>770</v>
      </c>
      <c r="S26">
        <v>50</v>
      </c>
    </row>
    <row r="27" spans="4:19" x14ac:dyDescent="0.35">
      <c r="E27">
        <v>1.5</v>
      </c>
      <c r="F27">
        <v>0.01</v>
      </c>
      <c r="G27">
        <v>240</v>
      </c>
      <c r="H27">
        <v>50</v>
      </c>
      <c r="P27">
        <v>6.05</v>
      </c>
      <c r="Q27">
        <v>0.01</v>
      </c>
      <c r="R27">
        <v>870</v>
      </c>
      <c r="S27">
        <v>50</v>
      </c>
    </row>
    <row r="28" spans="4:19" x14ac:dyDescent="0.35">
      <c r="E28">
        <v>1.71</v>
      </c>
      <c r="F28">
        <v>0.01</v>
      </c>
      <c r="G28">
        <v>230</v>
      </c>
      <c r="H28">
        <v>50</v>
      </c>
      <c r="P28">
        <v>7.18</v>
      </c>
      <c r="Q28">
        <v>0.01</v>
      </c>
      <c r="R28">
        <v>900</v>
      </c>
      <c r="S28">
        <v>50</v>
      </c>
    </row>
    <row r="29" spans="4:19" x14ac:dyDescent="0.35">
      <c r="E29">
        <v>1.91</v>
      </c>
      <c r="F29">
        <v>0.01</v>
      </c>
      <c r="G29">
        <v>190</v>
      </c>
      <c r="H29">
        <v>30</v>
      </c>
      <c r="P29">
        <v>4.8600000000000003</v>
      </c>
      <c r="Q29">
        <v>0.01</v>
      </c>
      <c r="R29">
        <v>750</v>
      </c>
      <c r="S29">
        <v>50</v>
      </c>
    </row>
    <row r="30" spans="4:19" x14ac:dyDescent="0.35">
      <c r="E30">
        <v>3.05</v>
      </c>
      <c r="F30">
        <v>0.01</v>
      </c>
      <c r="G30">
        <v>80</v>
      </c>
      <c r="H30">
        <v>30</v>
      </c>
    </row>
    <row r="31" spans="4:19" x14ac:dyDescent="0.35">
      <c r="E31">
        <v>2.36</v>
      </c>
      <c r="F31">
        <v>0.01</v>
      </c>
      <c r="G31">
        <v>150</v>
      </c>
      <c r="H31">
        <v>30</v>
      </c>
    </row>
    <row r="32" spans="4:19" x14ac:dyDescent="0.35">
      <c r="D32" s="2"/>
      <c r="E32">
        <v>670</v>
      </c>
      <c r="F32">
        <v>0.01</v>
      </c>
      <c r="G32">
        <v>480</v>
      </c>
      <c r="H32">
        <v>50</v>
      </c>
    </row>
    <row r="34" spans="4:19" x14ac:dyDescent="0.35">
      <c r="E34" t="s">
        <v>15</v>
      </c>
      <c r="F34" t="s">
        <v>31</v>
      </c>
      <c r="G34" t="s">
        <v>8</v>
      </c>
      <c r="H34" t="s">
        <v>31</v>
      </c>
      <c r="L34" t="s">
        <v>17</v>
      </c>
      <c r="N34" t="s">
        <v>45</v>
      </c>
      <c r="O34" t="s">
        <v>31</v>
      </c>
      <c r="P34" t="s">
        <v>14</v>
      </c>
      <c r="Q34" t="s">
        <v>31</v>
      </c>
      <c r="R34" t="s">
        <v>8</v>
      </c>
      <c r="S34" t="s">
        <v>31</v>
      </c>
    </row>
    <row r="35" spans="4:19" x14ac:dyDescent="0.35">
      <c r="D35" t="s">
        <v>44</v>
      </c>
      <c r="M35" t="s">
        <v>44</v>
      </c>
      <c r="N35">
        <v>1080</v>
      </c>
      <c r="O35">
        <v>50</v>
      </c>
      <c r="P35">
        <v>3.64</v>
      </c>
      <c r="Q35">
        <v>0.02</v>
      </c>
      <c r="R35">
        <v>90</v>
      </c>
      <c r="S35">
        <v>30</v>
      </c>
    </row>
    <row r="36" spans="4:19" x14ac:dyDescent="0.35">
      <c r="E36">
        <v>0.24</v>
      </c>
      <c r="F36">
        <v>0.01</v>
      </c>
      <c r="G36">
        <v>780</v>
      </c>
      <c r="H36">
        <v>50</v>
      </c>
      <c r="P36">
        <v>3.96</v>
      </c>
      <c r="Q36">
        <v>0.02</v>
      </c>
      <c r="R36">
        <v>130</v>
      </c>
      <c r="S36">
        <v>30</v>
      </c>
    </row>
    <row r="37" spans="4:19" x14ac:dyDescent="0.35">
      <c r="E37">
        <v>0.36</v>
      </c>
      <c r="F37">
        <v>0.01</v>
      </c>
      <c r="G37">
        <v>710</v>
      </c>
      <c r="H37">
        <v>50</v>
      </c>
      <c r="P37">
        <v>4.58</v>
      </c>
      <c r="Q37">
        <v>0.02</v>
      </c>
      <c r="R37">
        <v>220</v>
      </c>
      <c r="S37">
        <v>30</v>
      </c>
    </row>
    <row r="38" spans="4:19" x14ac:dyDescent="0.35">
      <c r="E38">
        <v>0.61</v>
      </c>
      <c r="F38">
        <v>0.01</v>
      </c>
      <c r="G38">
        <v>660</v>
      </c>
      <c r="H38">
        <v>50</v>
      </c>
      <c r="P38">
        <v>5.34</v>
      </c>
      <c r="Q38">
        <v>0.02</v>
      </c>
      <c r="R38">
        <v>320</v>
      </c>
      <c r="S38">
        <v>50</v>
      </c>
    </row>
    <row r="39" spans="4:19" x14ac:dyDescent="0.35">
      <c r="E39">
        <v>0.84</v>
      </c>
      <c r="F39">
        <v>0.01</v>
      </c>
      <c r="G39">
        <v>580</v>
      </c>
      <c r="H39">
        <v>50</v>
      </c>
      <c r="P39">
        <v>5.94</v>
      </c>
      <c r="Q39">
        <v>0.02</v>
      </c>
      <c r="R39">
        <v>380</v>
      </c>
      <c r="S39">
        <v>50</v>
      </c>
    </row>
    <row r="40" spans="4:19" x14ac:dyDescent="0.35">
      <c r="E40">
        <v>1.19</v>
      </c>
      <c r="F40">
        <v>0.01</v>
      </c>
      <c r="G40">
        <v>550</v>
      </c>
      <c r="H40">
        <v>50</v>
      </c>
      <c r="P40">
        <v>6.46</v>
      </c>
      <c r="Q40">
        <v>0.02</v>
      </c>
      <c r="R40">
        <v>440</v>
      </c>
      <c r="S40">
        <v>50</v>
      </c>
    </row>
    <row r="41" spans="4:19" x14ac:dyDescent="0.35">
      <c r="E41">
        <v>1.56</v>
      </c>
      <c r="F41">
        <v>0.01</v>
      </c>
      <c r="G41">
        <v>450</v>
      </c>
      <c r="H41">
        <v>50</v>
      </c>
      <c r="P41">
        <v>8.1</v>
      </c>
      <c r="Q41">
        <v>0.02</v>
      </c>
      <c r="R41">
        <v>600</v>
      </c>
      <c r="S41">
        <v>50</v>
      </c>
    </row>
    <row r="42" spans="4:19" x14ac:dyDescent="0.35">
      <c r="E42">
        <v>1.8</v>
      </c>
      <c r="F42">
        <v>0.02</v>
      </c>
      <c r="G42">
        <v>440</v>
      </c>
      <c r="H42">
        <v>50</v>
      </c>
      <c r="P42">
        <v>8.98</v>
      </c>
      <c r="Q42">
        <v>0.02</v>
      </c>
      <c r="R42">
        <v>650</v>
      </c>
      <c r="S42">
        <v>50</v>
      </c>
    </row>
    <row r="43" spans="4:19" x14ac:dyDescent="0.35">
      <c r="E43">
        <v>2.8</v>
      </c>
      <c r="F43">
        <v>0.02</v>
      </c>
      <c r="G43">
        <v>320</v>
      </c>
      <c r="H43">
        <v>50</v>
      </c>
      <c r="P43">
        <v>10.4</v>
      </c>
      <c r="Q43">
        <v>0.02</v>
      </c>
      <c r="R43">
        <v>740</v>
      </c>
      <c r="S43">
        <v>50</v>
      </c>
    </row>
    <row r="44" spans="4:19" x14ac:dyDescent="0.35">
      <c r="E44">
        <v>3.3</v>
      </c>
      <c r="F44">
        <v>0.02</v>
      </c>
      <c r="G44">
        <v>260</v>
      </c>
      <c r="H44">
        <v>50</v>
      </c>
      <c r="P44">
        <v>11.4</v>
      </c>
      <c r="Q44">
        <v>0.04</v>
      </c>
      <c r="R44">
        <v>800</v>
      </c>
      <c r="S44">
        <v>50</v>
      </c>
    </row>
    <row r="45" spans="4:19" x14ac:dyDescent="0.35">
      <c r="E45">
        <v>4.16</v>
      </c>
      <c r="F45">
        <v>0.02</v>
      </c>
      <c r="G45">
        <v>180</v>
      </c>
      <c r="H45">
        <v>30</v>
      </c>
      <c r="P45">
        <v>14.1</v>
      </c>
      <c r="Q45">
        <v>0.04</v>
      </c>
      <c r="R45">
        <v>880</v>
      </c>
      <c r="S45">
        <v>50</v>
      </c>
    </row>
    <row r="46" spans="4:19" x14ac:dyDescent="0.35">
      <c r="E46">
        <v>6.72</v>
      </c>
      <c r="F46">
        <v>0.02</v>
      </c>
      <c r="G46">
        <v>70</v>
      </c>
      <c r="H46">
        <v>30</v>
      </c>
      <c r="P46">
        <v>22.2</v>
      </c>
      <c r="Q46">
        <v>0.04</v>
      </c>
      <c r="R46">
        <v>1000</v>
      </c>
      <c r="S46">
        <v>50</v>
      </c>
    </row>
    <row r="47" spans="4:19" x14ac:dyDescent="0.35">
      <c r="E47">
        <v>3.98</v>
      </c>
      <c r="F47">
        <v>0.02</v>
      </c>
      <c r="G47">
        <v>230</v>
      </c>
      <c r="H47">
        <v>30</v>
      </c>
    </row>
    <row r="50" spans="4:19" x14ac:dyDescent="0.35">
      <c r="E50" t="s">
        <v>15</v>
      </c>
      <c r="F50" t="s">
        <v>31</v>
      </c>
      <c r="G50" t="s">
        <v>8</v>
      </c>
      <c r="H50" t="s">
        <v>31</v>
      </c>
      <c r="L50" t="s">
        <v>18</v>
      </c>
      <c r="N50" t="s">
        <v>45</v>
      </c>
      <c r="O50" t="s">
        <v>31</v>
      </c>
      <c r="P50" t="s">
        <v>14</v>
      </c>
      <c r="Q50" t="s">
        <v>31</v>
      </c>
      <c r="R50" t="s">
        <v>8</v>
      </c>
      <c r="S50" t="s">
        <v>31</v>
      </c>
    </row>
    <row r="51" spans="4:19" x14ac:dyDescent="0.35">
      <c r="D51" t="s">
        <v>43</v>
      </c>
      <c r="E51">
        <v>0.88</v>
      </c>
      <c r="F51">
        <v>0.02</v>
      </c>
      <c r="G51">
        <v>710</v>
      </c>
      <c r="H51">
        <v>50</v>
      </c>
      <c r="M51" t="s">
        <v>43</v>
      </c>
      <c r="N51">
        <v>1200</v>
      </c>
      <c r="O51">
        <v>100</v>
      </c>
      <c r="P51">
        <v>9.32</v>
      </c>
      <c r="Q51">
        <v>0.04</v>
      </c>
      <c r="R51">
        <v>150</v>
      </c>
      <c r="S51">
        <v>50</v>
      </c>
    </row>
    <row r="52" spans="4:19" x14ac:dyDescent="0.35">
      <c r="E52">
        <v>1.24</v>
      </c>
      <c r="F52">
        <v>0.02</v>
      </c>
      <c r="G52">
        <v>680</v>
      </c>
      <c r="H52">
        <v>50</v>
      </c>
      <c r="P52">
        <v>10.7</v>
      </c>
      <c r="Q52">
        <v>0.04</v>
      </c>
      <c r="R52">
        <v>240</v>
      </c>
      <c r="S52">
        <v>50</v>
      </c>
    </row>
    <row r="53" spans="4:19" x14ac:dyDescent="0.35">
      <c r="E53">
        <v>1.52</v>
      </c>
      <c r="F53">
        <v>0.02</v>
      </c>
      <c r="G53">
        <v>650</v>
      </c>
      <c r="H53">
        <v>50</v>
      </c>
      <c r="P53">
        <v>16.8</v>
      </c>
      <c r="Q53">
        <v>0.1</v>
      </c>
      <c r="R53">
        <v>580</v>
      </c>
      <c r="S53">
        <v>50</v>
      </c>
    </row>
    <row r="54" spans="4:19" x14ac:dyDescent="0.35">
      <c r="E54">
        <v>2.08</v>
      </c>
      <c r="F54">
        <v>0.02</v>
      </c>
      <c r="G54">
        <v>600</v>
      </c>
      <c r="H54">
        <v>50</v>
      </c>
      <c r="P54">
        <v>12</v>
      </c>
      <c r="Q54">
        <v>0.1</v>
      </c>
      <c r="R54">
        <v>370</v>
      </c>
      <c r="S54">
        <v>50</v>
      </c>
    </row>
    <row r="55" spans="4:19" x14ac:dyDescent="0.35">
      <c r="E55">
        <v>2.88</v>
      </c>
      <c r="F55">
        <v>0.02</v>
      </c>
      <c r="G55">
        <v>550</v>
      </c>
      <c r="H55">
        <v>50</v>
      </c>
      <c r="P55">
        <v>14.2</v>
      </c>
      <c r="Q55">
        <v>0.1</v>
      </c>
      <c r="R55">
        <v>460</v>
      </c>
      <c r="S55">
        <v>50</v>
      </c>
    </row>
    <row r="56" spans="4:19" x14ac:dyDescent="0.35">
      <c r="E56">
        <v>5</v>
      </c>
      <c r="F56">
        <v>0.02</v>
      </c>
      <c r="G56">
        <v>430</v>
      </c>
      <c r="H56">
        <v>50</v>
      </c>
      <c r="P56">
        <v>17.399999999999999</v>
      </c>
      <c r="Q56">
        <v>0.1</v>
      </c>
      <c r="R56">
        <v>620</v>
      </c>
      <c r="S56">
        <v>50</v>
      </c>
    </row>
    <row r="57" spans="4:19" x14ac:dyDescent="0.35">
      <c r="E57">
        <v>5.76</v>
      </c>
      <c r="F57">
        <v>0.02</v>
      </c>
      <c r="G57">
        <v>390</v>
      </c>
      <c r="H57">
        <v>50</v>
      </c>
      <c r="P57">
        <v>20.2</v>
      </c>
      <c r="Q57">
        <v>0.1</v>
      </c>
      <c r="R57">
        <v>650</v>
      </c>
      <c r="S57">
        <v>50</v>
      </c>
    </row>
    <row r="58" spans="4:19" x14ac:dyDescent="0.35">
      <c r="E58">
        <v>6.76</v>
      </c>
      <c r="F58">
        <v>0.02</v>
      </c>
      <c r="G58">
        <v>340</v>
      </c>
      <c r="H58">
        <v>50</v>
      </c>
      <c r="P58">
        <v>24</v>
      </c>
      <c r="Q58">
        <v>0.1</v>
      </c>
      <c r="R58">
        <v>800</v>
      </c>
      <c r="S58">
        <v>50</v>
      </c>
    </row>
    <row r="59" spans="4:19" x14ac:dyDescent="0.35">
      <c r="E59">
        <v>8.64</v>
      </c>
      <c r="F59">
        <v>0.02</v>
      </c>
      <c r="G59">
        <v>250</v>
      </c>
      <c r="H59">
        <v>50</v>
      </c>
      <c r="P59">
        <v>35.5</v>
      </c>
      <c r="Q59">
        <v>0.1</v>
      </c>
      <c r="R59">
        <v>990</v>
      </c>
      <c r="S59">
        <v>50</v>
      </c>
    </row>
    <row r="60" spans="4:19" x14ac:dyDescent="0.35">
      <c r="E60">
        <v>12.4</v>
      </c>
      <c r="F60">
        <v>0.02</v>
      </c>
      <c r="G60">
        <v>120</v>
      </c>
      <c r="H60">
        <v>30</v>
      </c>
      <c r="P60">
        <v>48.1</v>
      </c>
      <c r="Q60">
        <v>0.1</v>
      </c>
      <c r="R60">
        <v>1100</v>
      </c>
      <c r="S60">
        <v>50</v>
      </c>
    </row>
    <row r="61" spans="4:19" x14ac:dyDescent="0.35">
      <c r="E61">
        <v>16.600000000000001</v>
      </c>
      <c r="F61">
        <v>0.02</v>
      </c>
      <c r="G61">
        <v>60</v>
      </c>
      <c r="H61">
        <v>30</v>
      </c>
    </row>
    <row r="62" spans="4:19" x14ac:dyDescent="0.35">
      <c r="E62">
        <v>11</v>
      </c>
      <c r="F62">
        <v>0.02</v>
      </c>
      <c r="G62">
        <v>170</v>
      </c>
      <c r="H62">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4ED2-D931-4801-AD69-F1E255EBBAAA}">
  <dimension ref="B1:P9"/>
  <sheetViews>
    <sheetView topLeftCell="B1" zoomScale="118" workbookViewId="0">
      <selection activeCell="L7" sqref="L7"/>
    </sheetView>
  </sheetViews>
  <sheetFormatPr defaultRowHeight="14.5" x14ac:dyDescent="0.35"/>
  <cols>
    <col min="13" max="13" width="12.08984375" customWidth="1"/>
    <col min="14" max="14" width="11.90625" bestFit="1" customWidth="1"/>
  </cols>
  <sheetData>
    <row r="1" spans="2:16" x14ac:dyDescent="0.35">
      <c r="C1" t="s">
        <v>39</v>
      </c>
      <c r="K1" t="s">
        <v>27</v>
      </c>
      <c r="L1">
        <v>2.5</v>
      </c>
      <c r="M1" t="s">
        <v>22</v>
      </c>
      <c r="N1">
        <v>0.99960000000000004</v>
      </c>
      <c r="O1" t="s">
        <v>23</v>
      </c>
      <c r="P1">
        <v>5</v>
      </c>
    </row>
    <row r="2" spans="2:16" x14ac:dyDescent="0.35">
      <c r="L2">
        <v>0.01</v>
      </c>
      <c r="N2">
        <v>1E-4</v>
      </c>
      <c r="O2" t="s">
        <v>26</v>
      </c>
      <c r="P2">
        <v>0.01</v>
      </c>
    </row>
    <row r="3" spans="2:16" x14ac:dyDescent="0.35">
      <c r="B3" t="s">
        <v>19</v>
      </c>
      <c r="D3" t="s">
        <v>20</v>
      </c>
      <c r="F3" t="s">
        <v>28</v>
      </c>
      <c r="H3" t="s">
        <v>21</v>
      </c>
      <c r="K3" t="s">
        <v>25</v>
      </c>
      <c r="M3" t="s">
        <v>24</v>
      </c>
    </row>
    <row r="4" spans="2:16" x14ac:dyDescent="0.35">
      <c r="B4">
        <v>1</v>
      </c>
      <c r="D4">
        <v>0.96831999999999996</v>
      </c>
      <c r="E4">
        <v>1.7840000000000002E-2</v>
      </c>
      <c r="F4">
        <f>1/D4</f>
        <v>1.0327164573694647</v>
      </c>
      <c r="G4">
        <f>F4*SQRT((E4/D4)^2)</f>
        <v>1.9026418538779795E-2</v>
      </c>
      <c r="H4">
        <v>0.60584000000000005</v>
      </c>
      <c r="I4">
        <v>7.1980000000000002E-2</v>
      </c>
      <c r="K4">
        <f>$P$1</f>
        <v>5</v>
      </c>
      <c r="L4">
        <f>$P$2</f>
        <v>0.01</v>
      </c>
      <c r="M4">
        <f>$N$1/K4</f>
        <v>0.19992000000000001</v>
      </c>
      <c r="N4">
        <f>M4*SQRT(($N$2/$N$1)^2+(L4/K4)^2)</f>
        <v>4.0033988759552799E-4</v>
      </c>
    </row>
    <row r="5" spans="2:16" x14ac:dyDescent="0.35">
      <c r="B5">
        <v>2</v>
      </c>
      <c r="D5">
        <v>2.0680000000000001</v>
      </c>
      <c r="E5">
        <v>6.3E-2</v>
      </c>
      <c r="F5">
        <f t="shared" ref="F5:F7" si="0">1/D5</f>
        <v>0.48355899419729204</v>
      </c>
      <c r="G5">
        <f t="shared" ref="G5:G7" si="1">F5*SQRT((E5/D5)^2)</f>
        <v>1.4731245954753093E-2</v>
      </c>
      <c r="H5">
        <v>1.3427</v>
      </c>
      <c r="I5">
        <v>0.1176</v>
      </c>
      <c r="K5">
        <f>5</f>
        <v>5</v>
      </c>
      <c r="L5">
        <f>SQRT($P$2^2+$P$2^2)</f>
        <v>1.4142135623730951E-2</v>
      </c>
      <c r="M5">
        <f>2.5*M4/K5</f>
        <v>9.9960000000000007E-2</v>
      </c>
      <c r="N5">
        <f>M5*SQRT((L5/K5)^2+($L$2/$L$1)^2+(N4/M4)^2)</f>
        <v>5.2903312259252732E-4</v>
      </c>
    </row>
    <row r="6" spans="2:16" x14ac:dyDescent="0.35">
      <c r="B6">
        <v>3</v>
      </c>
      <c r="D6">
        <v>4.8009000000000004</v>
      </c>
      <c r="E6">
        <v>0.1193</v>
      </c>
      <c r="F6">
        <f t="shared" si="0"/>
        <v>0.20829427815617904</v>
      </c>
      <c r="G6">
        <f t="shared" si="1"/>
        <v>5.17601020309362E-3</v>
      </c>
      <c r="H6">
        <v>2.8862000000000001</v>
      </c>
      <c r="I6">
        <v>0.20680000000000001</v>
      </c>
      <c r="K6">
        <v>5</v>
      </c>
      <c r="L6">
        <f>SQRT($P$2^2+$P$2^2)</f>
        <v>1.4142135623730951E-2</v>
      </c>
      <c r="M6">
        <f>2.5*M5/K6</f>
        <v>4.9980000000000004E-2</v>
      </c>
      <c r="N6">
        <f>M6*SQRT((L6/K6)^2+($L$2/$L$1)^2+(N5/M5)^2)</f>
        <v>3.6044558646209003E-4</v>
      </c>
    </row>
    <row r="7" spans="2:16" x14ac:dyDescent="0.35">
      <c r="B7">
        <v>4</v>
      </c>
      <c r="D7">
        <v>11.385999999999999</v>
      </c>
      <c r="E7">
        <v>0.39100000000000001</v>
      </c>
      <c r="F7">
        <f t="shared" si="0"/>
        <v>8.7827156156683656E-2</v>
      </c>
      <c r="G7">
        <f t="shared" si="1"/>
        <v>3.0160212592010641E-3</v>
      </c>
      <c r="H7">
        <v>7.0476000000000001</v>
      </c>
      <c r="I7">
        <v>0.51680000000000004</v>
      </c>
      <c r="K7">
        <v>5</v>
      </c>
      <c r="L7">
        <f>SQRT($P$2^2+$P$2^2)</f>
        <v>1.4142135623730951E-2</v>
      </c>
      <c r="M7">
        <f>2.5*M6/K7</f>
        <v>2.4990000000000002E-2</v>
      </c>
      <c r="N7">
        <f>M7*SQRT((L7/K7)^2+($L$2/$L$1)^2+(N6/M6)^2)</f>
        <v>2.1787211294702224E-4</v>
      </c>
    </row>
    <row r="9" spans="2:16" x14ac:dyDescent="0.35">
      <c r="M9"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6C6-D98F-4C4D-8AAB-CCB3EA16D9C4}">
  <dimension ref="D2:T15"/>
  <sheetViews>
    <sheetView topLeftCell="A4" zoomScale="75" workbookViewId="0">
      <selection activeCell="H1" sqref="H1"/>
    </sheetView>
  </sheetViews>
  <sheetFormatPr defaultRowHeight="14.5" x14ac:dyDescent="0.35"/>
  <sheetData>
    <row r="2" spans="4:20" x14ac:dyDescent="0.35">
      <c r="D2" t="s">
        <v>3</v>
      </c>
      <c r="O2" t="s">
        <v>6</v>
      </c>
    </row>
    <row r="3" spans="4:20" x14ac:dyDescent="0.35">
      <c r="D3" t="s">
        <v>38</v>
      </c>
      <c r="F3" t="s">
        <v>15</v>
      </c>
      <c r="G3" t="s">
        <v>31</v>
      </c>
      <c r="H3" t="s">
        <v>8</v>
      </c>
      <c r="I3" t="s">
        <v>31</v>
      </c>
      <c r="O3" t="s">
        <v>4</v>
      </c>
      <c r="Q3" t="s">
        <v>14</v>
      </c>
      <c r="R3" t="s">
        <v>31</v>
      </c>
      <c r="S3" t="s">
        <v>8</v>
      </c>
      <c r="T3" t="s">
        <v>31</v>
      </c>
    </row>
    <row r="4" spans="4:20" x14ac:dyDescent="0.35">
      <c r="F4">
        <v>0.24</v>
      </c>
      <c r="G4">
        <v>0.02</v>
      </c>
      <c r="H4">
        <v>620</v>
      </c>
      <c r="I4">
        <v>50</v>
      </c>
      <c r="N4" t="s">
        <v>34</v>
      </c>
      <c r="O4">
        <v>1050</v>
      </c>
      <c r="P4">
        <v>50</v>
      </c>
      <c r="R4">
        <v>0.02</v>
      </c>
      <c r="T4">
        <v>50</v>
      </c>
    </row>
    <row r="5" spans="4:20" x14ac:dyDescent="0.35">
      <c r="F5">
        <v>0.32</v>
      </c>
      <c r="G5">
        <v>0.02</v>
      </c>
      <c r="H5">
        <v>580</v>
      </c>
      <c r="I5">
        <v>50</v>
      </c>
      <c r="Q5">
        <v>1.25</v>
      </c>
      <c r="R5">
        <v>0.02</v>
      </c>
      <c r="S5">
        <v>360</v>
      </c>
      <c r="T5">
        <v>50</v>
      </c>
    </row>
    <row r="6" spans="4:20" x14ac:dyDescent="0.35">
      <c r="F6">
        <v>0.46</v>
      </c>
      <c r="G6">
        <v>0.02</v>
      </c>
      <c r="H6">
        <v>470</v>
      </c>
      <c r="I6">
        <v>50</v>
      </c>
      <c r="Q6">
        <v>1.07</v>
      </c>
      <c r="R6">
        <v>0.02</v>
      </c>
      <c r="S6">
        <v>290</v>
      </c>
      <c r="T6">
        <v>50</v>
      </c>
    </row>
    <row r="7" spans="4:20" x14ac:dyDescent="0.35">
      <c r="F7">
        <v>0.65</v>
      </c>
      <c r="G7">
        <v>0.02</v>
      </c>
      <c r="H7">
        <v>440</v>
      </c>
      <c r="I7">
        <v>50</v>
      </c>
      <c r="Q7">
        <v>2.08</v>
      </c>
      <c r="R7">
        <v>0.02</v>
      </c>
      <c r="S7">
        <v>600</v>
      </c>
      <c r="T7">
        <v>50</v>
      </c>
    </row>
    <row r="8" spans="4:20" x14ac:dyDescent="0.35">
      <c r="F8">
        <v>0.82</v>
      </c>
      <c r="G8">
        <v>0.02</v>
      </c>
      <c r="H8">
        <v>350</v>
      </c>
      <c r="I8">
        <v>50</v>
      </c>
      <c r="Q8">
        <v>1.85</v>
      </c>
      <c r="R8">
        <v>0.02</v>
      </c>
      <c r="S8">
        <v>500</v>
      </c>
      <c r="T8">
        <v>50</v>
      </c>
    </row>
    <row r="9" spans="4:20" x14ac:dyDescent="0.35">
      <c r="F9">
        <v>1.0900000000000001</v>
      </c>
      <c r="G9">
        <v>0.05</v>
      </c>
      <c r="H9">
        <v>300</v>
      </c>
      <c r="I9">
        <v>50</v>
      </c>
      <c r="Q9">
        <v>2.62</v>
      </c>
      <c r="R9">
        <v>0.02</v>
      </c>
      <c r="S9">
        <v>710</v>
      </c>
      <c r="T9">
        <v>50</v>
      </c>
    </row>
    <row r="10" spans="4:20" x14ac:dyDescent="0.35">
      <c r="F10">
        <v>1.3</v>
      </c>
      <c r="G10">
        <v>0.05</v>
      </c>
      <c r="H10">
        <v>250</v>
      </c>
      <c r="I10">
        <v>50</v>
      </c>
      <c r="Q10">
        <v>2.12</v>
      </c>
      <c r="R10">
        <v>0.02</v>
      </c>
      <c r="S10">
        <v>590</v>
      </c>
      <c r="T10">
        <v>50</v>
      </c>
    </row>
    <row r="11" spans="4:20" x14ac:dyDescent="0.35">
      <c r="F11">
        <v>1.66</v>
      </c>
      <c r="G11">
        <v>0.05</v>
      </c>
      <c r="H11">
        <v>190</v>
      </c>
      <c r="I11">
        <v>20</v>
      </c>
      <c r="Q11">
        <v>3.72</v>
      </c>
      <c r="R11">
        <v>0.02</v>
      </c>
      <c r="S11">
        <v>890</v>
      </c>
      <c r="T11">
        <v>50</v>
      </c>
    </row>
    <row r="12" spans="4:20" x14ac:dyDescent="0.35">
      <c r="F12">
        <v>0.96</v>
      </c>
      <c r="G12">
        <v>0.05</v>
      </c>
      <c r="H12">
        <v>310</v>
      </c>
      <c r="I12">
        <v>50</v>
      </c>
      <c r="Q12">
        <v>2.14</v>
      </c>
      <c r="R12">
        <v>0.02</v>
      </c>
      <c r="S12">
        <v>790</v>
      </c>
      <c r="T12">
        <v>50</v>
      </c>
    </row>
    <row r="13" spans="4:20" x14ac:dyDescent="0.35">
      <c r="F13">
        <v>0.48</v>
      </c>
      <c r="G13">
        <v>0.05</v>
      </c>
      <c r="H13">
        <v>450</v>
      </c>
      <c r="I13">
        <v>50</v>
      </c>
      <c r="Q13">
        <v>5.87</v>
      </c>
      <c r="R13">
        <v>0.02</v>
      </c>
      <c r="S13">
        <v>980</v>
      </c>
      <c r="T13">
        <v>50</v>
      </c>
    </row>
    <row r="14" spans="4:20" x14ac:dyDescent="0.35">
      <c r="F14">
        <v>1.88</v>
      </c>
      <c r="G14">
        <v>0.05</v>
      </c>
      <c r="H14">
        <v>100</v>
      </c>
      <c r="I14">
        <v>20</v>
      </c>
      <c r="Q14">
        <v>4.66</v>
      </c>
      <c r="R14">
        <v>0.02</v>
      </c>
      <c r="S14">
        <v>940</v>
      </c>
      <c r="T14">
        <v>50</v>
      </c>
    </row>
    <row r="15" spans="4:20" x14ac:dyDescent="0.35">
      <c r="Q15">
        <v>7.12</v>
      </c>
      <c r="R15">
        <v>0.02</v>
      </c>
      <c r="S15">
        <v>1050</v>
      </c>
      <c r="T15">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0490-5A62-46E5-A125-C05AB1514F4D}">
  <dimension ref="D2:T48"/>
  <sheetViews>
    <sheetView topLeftCell="C1" workbookViewId="0">
      <selection activeCell="Q13" sqref="Q13"/>
    </sheetView>
  </sheetViews>
  <sheetFormatPr defaultRowHeight="14.5" x14ac:dyDescent="0.35"/>
  <sheetData>
    <row r="2" spans="4:20" x14ac:dyDescent="0.35">
      <c r="D2" t="s">
        <v>3</v>
      </c>
      <c r="O2" t="s">
        <v>6</v>
      </c>
    </row>
    <row r="3" spans="4:20" x14ac:dyDescent="0.35">
      <c r="D3" t="s">
        <v>42</v>
      </c>
      <c r="F3" t="s">
        <v>15</v>
      </c>
      <c r="G3" t="s">
        <v>31</v>
      </c>
      <c r="H3" t="s">
        <v>8</v>
      </c>
      <c r="I3" t="s">
        <v>31</v>
      </c>
      <c r="O3" t="s">
        <v>4</v>
      </c>
      <c r="Q3" t="s">
        <v>14</v>
      </c>
      <c r="R3" t="s">
        <v>31</v>
      </c>
      <c r="S3" t="s">
        <v>8</v>
      </c>
      <c r="T3" t="s">
        <v>31</v>
      </c>
    </row>
    <row r="4" spans="4:20" x14ac:dyDescent="0.35">
      <c r="F4">
        <v>0.65</v>
      </c>
      <c r="G4">
        <v>0.03</v>
      </c>
      <c r="H4">
        <v>550</v>
      </c>
      <c r="I4">
        <v>50</v>
      </c>
      <c r="N4" t="s">
        <v>42</v>
      </c>
      <c r="P4">
        <v>50</v>
      </c>
      <c r="R4">
        <v>0.02</v>
      </c>
      <c r="T4">
        <v>50</v>
      </c>
    </row>
    <row r="5" spans="4:20" x14ac:dyDescent="0.35">
      <c r="F5">
        <v>0.32</v>
      </c>
      <c r="G5">
        <v>0.03</v>
      </c>
      <c r="H5">
        <v>600</v>
      </c>
      <c r="I5">
        <v>50</v>
      </c>
      <c r="Q5">
        <v>1.54</v>
      </c>
      <c r="R5">
        <v>0.02</v>
      </c>
      <c r="S5">
        <v>140</v>
      </c>
      <c r="T5">
        <v>50</v>
      </c>
    </row>
    <row r="6" spans="4:20" x14ac:dyDescent="0.35">
      <c r="F6">
        <v>0.82</v>
      </c>
      <c r="G6">
        <v>0.03</v>
      </c>
      <c r="H6">
        <v>480</v>
      </c>
      <c r="I6">
        <v>50</v>
      </c>
      <c r="Q6">
        <v>2.1</v>
      </c>
      <c r="R6">
        <v>0.02</v>
      </c>
      <c r="S6">
        <v>310</v>
      </c>
      <c r="T6">
        <v>50</v>
      </c>
    </row>
    <row r="7" spans="4:20" x14ac:dyDescent="0.35">
      <c r="F7">
        <v>1.07</v>
      </c>
      <c r="G7">
        <v>0.03</v>
      </c>
      <c r="H7">
        <v>400</v>
      </c>
      <c r="I7">
        <v>50</v>
      </c>
      <c r="Q7">
        <v>2.5</v>
      </c>
      <c r="R7">
        <v>0.02</v>
      </c>
      <c r="S7">
        <v>460</v>
      </c>
      <c r="T7">
        <v>50</v>
      </c>
    </row>
    <row r="8" spans="4:20" x14ac:dyDescent="0.35">
      <c r="F8">
        <v>1.36</v>
      </c>
      <c r="G8">
        <v>0.03</v>
      </c>
      <c r="H8">
        <v>310</v>
      </c>
      <c r="I8">
        <v>50</v>
      </c>
      <c r="Q8">
        <v>2.88</v>
      </c>
      <c r="R8">
        <v>0.02</v>
      </c>
      <c r="S8">
        <v>510</v>
      </c>
      <c r="T8">
        <v>50</v>
      </c>
    </row>
    <row r="9" spans="4:20" x14ac:dyDescent="0.35">
      <c r="F9">
        <v>1.72</v>
      </c>
      <c r="G9">
        <v>0.03</v>
      </c>
      <c r="H9">
        <v>220</v>
      </c>
      <c r="I9">
        <v>30</v>
      </c>
      <c r="Q9">
        <v>3.48</v>
      </c>
      <c r="R9">
        <v>0.02</v>
      </c>
      <c r="S9">
        <v>620</v>
      </c>
      <c r="T9">
        <v>50</v>
      </c>
    </row>
    <row r="10" spans="4:20" x14ac:dyDescent="0.35">
      <c r="F10">
        <v>2.73</v>
      </c>
      <c r="G10">
        <v>0.03</v>
      </c>
      <c r="H10">
        <v>100</v>
      </c>
      <c r="I10">
        <v>30</v>
      </c>
      <c r="Q10">
        <v>4.04</v>
      </c>
      <c r="R10">
        <v>0.02</v>
      </c>
      <c r="S10">
        <v>760</v>
      </c>
      <c r="T10">
        <v>50</v>
      </c>
    </row>
    <row r="11" spans="4:20" x14ac:dyDescent="0.35">
      <c r="F11">
        <v>2.14</v>
      </c>
      <c r="G11">
        <v>0.03</v>
      </c>
      <c r="H11">
        <v>180</v>
      </c>
      <c r="I11">
        <v>30</v>
      </c>
      <c r="Q11">
        <v>5.0599999999999996</v>
      </c>
      <c r="R11">
        <v>0.02</v>
      </c>
      <c r="S11">
        <v>840</v>
      </c>
      <c r="T11">
        <v>50</v>
      </c>
    </row>
    <row r="12" spans="4:20" x14ac:dyDescent="0.35">
      <c r="F12">
        <v>0.44</v>
      </c>
      <c r="G12">
        <v>0.03</v>
      </c>
      <c r="H12">
        <v>590</v>
      </c>
      <c r="I12">
        <v>50</v>
      </c>
      <c r="Q12">
        <v>6.02</v>
      </c>
      <c r="R12">
        <v>0.02</v>
      </c>
      <c r="S12">
        <v>840</v>
      </c>
      <c r="T12">
        <v>50</v>
      </c>
    </row>
    <row r="13" spans="4:20" x14ac:dyDescent="0.35">
      <c r="F13">
        <v>0.31</v>
      </c>
      <c r="G13">
        <v>0.03</v>
      </c>
      <c r="H13">
        <v>650</v>
      </c>
      <c r="I13">
        <v>50</v>
      </c>
      <c r="Q13">
        <v>1.8</v>
      </c>
      <c r="R13">
        <v>0.02</v>
      </c>
      <c r="S13">
        <v>180</v>
      </c>
      <c r="T13">
        <v>50</v>
      </c>
    </row>
    <row r="14" spans="4:20" x14ac:dyDescent="0.35">
      <c r="F14">
        <v>0.64</v>
      </c>
      <c r="G14">
        <v>0.03</v>
      </c>
      <c r="H14">
        <v>570</v>
      </c>
      <c r="I14">
        <v>50</v>
      </c>
      <c r="Q14">
        <v>1.92</v>
      </c>
      <c r="R14">
        <v>0.02</v>
      </c>
      <c r="S14">
        <v>220</v>
      </c>
      <c r="T14">
        <v>50</v>
      </c>
    </row>
    <row r="16" spans="4:20" x14ac:dyDescent="0.35">
      <c r="D16" t="s">
        <v>44</v>
      </c>
      <c r="N16" t="s">
        <v>44</v>
      </c>
    </row>
    <row r="17" spans="4:20" x14ac:dyDescent="0.35">
      <c r="F17" t="s">
        <v>15</v>
      </c>
      <c r="G17" t="s">
        <v>31</v>
      </c>
      <c r="H17" t="s">
        <v>8</v>
      </c>
      <c r="I17" t="s">
        <v>31</v>
      </c>
      <c r="Q17" t="s">
        <v>15</v>
      </c>
      <c r="R17" t="s">
        <v>31</v>
      </c>
      <c r="S17" t="s">
        <v>8</v>
      </c>
      <c r="T17" t="s">
        <v>31</v>
      </c>
    </row>
    <row r="18" spans="4:20" x14ac:dyDescent="0.35">
      <c r="F18">
        <v>1.04</v>
      </c>
      <c r="G18">
        <v>0.03</v>
      </c>
      <c r="H18">
        <v>600</v>
      </c>
      <c r="I18">
        <v>50</v>
      </c>
      <c r="Q18">
        <v>3.86</v>
      </c>
      <c r="R18">
        <v>0.03</v>
      </c>
      <c r="S18">
        <v>130</v>
      </c>
      <c r="T18">
        <v>50</v>
      </c>
    </row>
    <row r="19" spans="4:20" x14ac:dyDescent="0.35">
      <c r="F19">
        <v>1.28</v>
      </c>
      <c r="G19">
        <v>0.03</v>
      </c>
      <c r="H19">
        <v>550</v>
      </c>
      <c r="I19">
        <v>50</v>
      </c>
      <c r="Q19">
        <v>4.2</v>
      </c>
      <c r="R19">
        <v>0.03</v>
      </c>
      <c r="S19">
        <v>170</v>
      </c>
      <c r="T19">
        <v>50</v>
      </c>
    </row>
    <row r="20" spans="4:20" x14ac:dyDescent="0.35">
      <c r="F20">
        <v>1.7</v>
      </c>
      <c r="G20">
        <v>0.03</v>
      </c>
      <c r="H20">
        <v>490</v>
      </c>
      <c r="I20">
        <v>50</v>
      </c>
      <c r="Q20">
        <v>4.3600000000000003</v>
      </c>
      <c r="R20">
        <v>0.03</v>
      </c>
      <c r="S20">
        <v>190</v>
      </c>
      <c r="T20">
        <v>50</v>
      </c>
    </row>
    <row r="21" spans="4:20" x14ac:dyDescent="0.35">
      <c r="F21">
        <v>2.48</v>
      </c>
      <c r="G21">
        <v>0.03</v>
      </c>
      <c r="H21">
        <v>370</v>
      </c>
      <c r="I21">
        <v>50</v>
      </c>
      <c r="Q21">
        <v>4.62</v>
      </c>
      <c r="R21">
        <v>0.03</v>
      </c>
      <c r="S21">
        <v>240</v>
      </c>
      <c r="T21">
        <v>50</v>
      </c>
    </row>
    <row r="22" spans="4:20" x14ac:dyDescent="0.35">
      <c r="F22">
        <v>3.22</v>
      </c>
      <c r="G22">
        <v>0.03</v>
      </c>
      <c r="H22">
        <v>300</v>
      </c>
      <c r="I22">
        <v>50</v>
      </c>
      <c r="Q22">
        <v>5.0999999999999996</v>
      </c>
      <c r="R22">
        <v>0.03</v>
      </c>
      <c r="S22">
        <v>290</v>
      </c>
      <c r="T22">
        <v>50</v>
      </c>
    </row>
    <row r="23" spans="4:20" x14ac:dyDescent="0.35">
      <c r="F23">
        <v>4.6399999999999997</v>
      </c>
      <c r="G23">
        <v>0.03</v>
      </c>
      <c r="H23">
        <v>180</v>
      </c>
      <c r="I23">
        <v>50</v>
      </c>
      <c r="Q23">
        <v>5.82</v>
      </c>
      <c r="R23">
        <v>0.03</v>
      </c>
      <c r="S23">
        <v>390</v>
      </c>
      <c r="T23">
        <v>50</v>
      </c>
    </row>
    <row r="24" spans="4:20" x14ac:dyDescent="0.35">
      <c r="F24">
        <v>6.22</v>
      </c>
      <c r="G24">
        <v>0.03</v>
      </c>
      <c r="H24">
        <v>90</v>
      </c>
      <c r="I24">
        <v>30</v>
      </c>
      <c r="Q24">
        <v>6.48</v>
      </c>
      <c r="R24">
        <v>0.03</v>
      </c>
      <c r="S24">
        <v>460</v>
      </c>
      <c r="T24">
        <v>50</v>
      </c>
    </row>
    <row r="25" spans="4:20" x14ac:dyDescent="0.35">
      <c r="F25">
        <v>8.32</v>
      </c>
      <c r="G25">
        <v>0.03</v>
      </c>
      <c r="H25">
        <v>50</v>
      </c>
      <c r="I25">
        <v>30</v>
      </c>
      <c r="Q25">
        <v>8.3000000000000007</v>
      </c>
      <c r="R25">
        <v>0.03</v>
      </c>
      <c r="S25">
        <v>620</v>
      </c>
      <c r="T25">
        <v>50</v>
      </c>
    </row>
    <row r="26" spans="4:20" x14ac:dyDescent="0.35">
      <c r="F26">
        <v>4.96</v>
      </c>
      <c r="G26">
        <v>0.03</v>
      </c>
      <c r="H26">
        <v>150</v>
      </c>
      <c r="I26">
        <v>50</v>
      </c>
      <c r="Q26">
        <v>9.06</v>
      </c>
      <c r="R26">
        <v>0.05</v>
      </c>
      <c r="S26">
        <v>650</v>
      </c>
      <c r="T26">
        <v>50</v>
      </c>
    </row>
    <row r="27" spans="4:20" x14ac:dyDescent="0.35">
      <c r="F27">
        <v>3.32</v>
      </c>
      <c r="G27">
        <v>0.03</v>
      </c>
      <c r="H27">
        <v>280</v>
      </c>
      <c r="I27">
        <v>50</v>
      </c>
      <c r="Q27">
        <v>11.4</v>
      </c>
      <c r="R27">
        <v>0.05</v>
      </c>
      <c r="S27">
        <v>770</v>
      </c>
      <c r="T27">
        <v>50</v>
      </c>
    </row>
    <row r="28" spans="4:20" x14ac:dyDescent="0.35">
      <c r="Q28">
        <v>19.899999999999999</v>
      </c>
      <c r="R28">
        <v>0.05</v>
      </c>
      <c r="S28">
        <v>940</v>
      </c>
      <c r="T28">
        <v>50</v>
      </c>
    </row>
    <row r="29" spans="4:20" x14ac:dyDescent="0.35">
      <c r="D29" t="s">
        <v>44</v>
      </c>
      <c r="L29" t="s">
        <v>55</v>
      </c>
    </row>
    <row r="30" spans="4:20" x14ac:dyDescent="0.35">
      <c r="D30" t="s">
        <v>54</v>
      </c>
    </row>
    <row r="31" spans="4:20" x14ac:dyDescent="0.35">
      <c r="F31">
        <v>4.9800000000000004</v>
      </c>
      <c r="G31">
        <v>0.03</v>
      </c>
      <c r="H31">
        <v>250</v>
      </c>
      <c r="I31">
        <v>50</v>
      </c>
      <c r="K31">
        <v>0.97</v>
      </c>
      <c r="L31">
        <v>0.02</v>
      </c>
      <c r="M31">
        <v>520</v>
      </c>
      <c r="N31">
        <v>50</v>
      </c>
    </row>
    <row r="32" spans="4:20" x14ac:dyDescent="0.35">
      <c r="F32">
        <v>4.16</v>
      </c>
      <c r="G32">
        <v>0.03</v>
      </c>
      <c r="H32">
        <v>170</v>
      </c>
      <c r="I32">
        <v>50</v>
      </c>
      <c r="K32">
        <v>1.67</v>
      </c>
      <c r="L32">
        <v>0.02</v>
      </c>
      <c r="M32">
        <v>420</v>
      </c>
      <c r="N32">
        <v>50</v>
      </c>
    </row>
    <row r="33" spans="6:14" x14ac:dyDescent="0.35">
      <c r="F33">
        <v>3.68</v>
      </c>
      <c r="G33">
        <v>0.03</v>
      </c>
      <c r="H33">
        <v>110</v>
      </c>
      <c r="I33">
        <v>50</v>
      </c>
      <c r="K33">
        <v>2.09</v>
      </c>
      <c r="L33">
        <v>0.02</v>
      </c>
      <c r="M33">
        <v>310</v>
      </c>
      <c r="N33">
        <v>50</v>
      </c>
    </row>
    <row r="34" spans="6:14" x14ac:dyDescent="0.35">
      <c r="F34">
        <v>4.8600000000000003</v>
      </c>
      <c r="G34">
        <v>0.03</v>
      </c>
      <c r="H34">
        <v>240</v>
      </c>
      <c r="I34">
        <v>50</v>
      </c>
      <c r="K34">
        <v>3.99</v>
      </c>
      <c r="L34">
        <v>0.02</v>
      </c>
      <c r="M34">
        <v>160</v>
      </c>
      <c r="N34">
        <v>50</v>
      </c>
    </row>
    <row r="35" spans="6:14" x14ac:dyDescent="0.35">
      <c r="F35">
        <v>5.8</v>
      </c>
      <c r="G35">
        <v>0.03</v>
      </c>
      <c r="H35">
        <v>350</v>
      </c>
      <c r="I35">
        <v>50</v>
      </c>
      <c r="K35">
        <v>3.16</v>
      </c>
      <c r="L35">
        <v>0.02</v>
      </c>
      <c r="M35">
        <v>230</v>
      </c>
      <c r="N35">
        <v>50</v>
      </c>
    </row>
    <row r="36" spans="6:14" x14ac:dyDescent="0.35">
      <c r="F36">
        <v>8.3800000000000008</v>
      </c>
      <c r="G36">
        <v>0.03</v>
      </c>
      <c r="H36">
        <v>550</v>
      </c>
      <c r="I36">
        <v>50</v>
      </c>
      <c r="K36">
        <v>2.16</v>
      </c>
      <c r="L36">
        <v>0.02</v>
      </c>
      <c r="M36">
        <v>290</v>
      </c>
      <c r="N36">
        <v>50</v>
      </c>
    </row>
    <row r="37" spans="6:14" x14ac:dyDescent="0.35">
      <c r="F37">
        <v>9.1199999999999992</v>
      </c>
      <c r="G37">
        <v>0.03</v>
      </c>
      <c r="H37">
        <v>630</v>
      </c>
      <c r="I37">
        <v>50</v>
      </c>
      <c r="K37">
        <v>0.71</v>
      </c>
      <c r="L37">
        <v>0.02</v>
      </c>
      <c r="M37">
        <v>490</v>
      </c>
      <c r="N37">
        <v>50</v>
      </c>
    </row>
    <row r="38" spans="6:14" x14ac:dyDescent="0.35">
      <c r="F38">
        <v>10.48</v>
      </c>
      <c r="G38">
        <v>0.03</v>
      </c>
      <c r="H38">
        <v>680</v>
      </c>
      <c r="I38">
        <v>50</v>
      </c>
      <c r="K38">
        <v>1.36</v>
      </c>
      <c r="L38">
        <v>0.02</v>
      </c>
      <c r="M38">
        <v>390</v>
      </c>
      <c r="N38">
        <v>50</v>
      </c>
    </row>
    <row r="39" spans="6:14" x14ac:dyDescent="0.35">
      <c r="F39">
        <v>11.4</v>
      </c>
      <c r="G39">
        <v>0.03</v>
      </c>
      <c r="H39">
        <v>730</v>
      </c>
      <c r="I39">
        <v>50</v>
      </c>
    </row>
    <row r="40" spans="6:14" x14ac:dyDescent="0.35">
      <c r="F40">
        <v>7.32</v>
      </c>
      <c r="G40">
        <v>0.03</v>
      </c>
      <c r="H40">
        <v>510</v>
      </c>
      <c r="I40">
        <v>50</v>
      </c>
      <c r="K40" t="s">
        <v>56</v>
      </c>
    </row>
    <row r="41" spans="6:14" x14ac:dyDescent="0.35">
      <c r="F41">
        <v>6.44</v>
      </c>
      <c r="G41">
        <v>0.03</v>
      </c>
      <c r="H41">
        <v>440</v>
      </c>
      <c r="I41">
        <v>50</v>
      </c>
      <c r="K41">
        <v>0.78</v>
      </c>
      <c r="L41">
        <v>0.03</v>
      </c>
      <c r="M41">
        <v>520</v>
      </c>
      <c r="N41">
        <v>50</v>
      </c>
    </row>
    <row r="42" spans="6:14" x14ac:dyDescent="0.35">
      <c r="F42">
        <v>5.88</v>
      </c>
      <c r="G42">
        <v>0.03</v>
      </c>
      <c r="H42">
        <v>380</v>
      </c>
      <c r="I42">
        <v>50</v>
      </c>
      <c r="K42">
        <v>1.24</v>
      </c>
      <c r="L42">
        <v>0.03</v>
      </c>
      <c r="M42">
        <v>400</v>
      </c>
      <c r="N42">
        <v>50</v>
      </c>
    </row>
    <row r="43" spans="6:14" x14ac:dyDescent="0.35">
      <c r="K43">
        <v>1.64</v>
      </c>
      <c r="L43">
        <v>0.03</v>
      </c>
      <c r="M43">
        <v>340</v>
      </c>
      <c r="N43">
        <v>50</v>
      </c>
    </row>
    <row r="44" spans="6:14" x14ac:dyDescent="0.35">
      <c r="K44">
        <v>2.2400000000000002</v>
      </c>
      <c r="L44">
        <v>0.03</v>
      </c>
      <c r="M44">
        <v>290</v>
      </c>
      <c r="N44">
        <v>50</v>
      </c>
    </row>
    <row r="45" spans="6:14" x14ac:dyDescent="0.35">
      <c r="K45">
        <v>3.57</v>
      </c>
      <c r="L45">
        <v>0.03</v>
      </c>
      <c r="M45">
        <v>160</v>
      </c>
      <c r="N45">
        <v>50</v>
      </c>
    </row>
    <row r="46" spans="6:14" x14ac:dyDescent="0.35">
      <c r="K46">
        <v>5.15</v>
      </c>
      <c r="L46">
        <v>0.03</v>
      </c>
      <c r="M46">
        <v>100</v>
      </c>
      <c r="N46">
        <v>50</v>
      </c>
    </row>
    <row r="47" spans="6:14" x14ac:dyDescent="0.35">
      <c r="K47">
        <v>0.83</v>
      </c>
      <c r="L47">
        <v>0.03</v>
      </c>
      <c r="M47">
        <v>480</v>
      </c>
      <c r="N47">
        <v>50</v>
      </c>
    </row>
    <row r="48" spans="6:14" x14ac:dyDescent="0.35">
      <c r="K48">
        <v>1.4</v>
      </c>
      <c r="L48">
        <v>0.03</v>
      </c>
      <c r="M48">
        <v>380</v>
      </c>
      <c r="N48">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496C-A28B-4CA5-92E8-DE51BB17FF1B}">
  <dimension ref="C2:K32"/>
  <sheetViews>
    <sheetView tabSelected="1" workbookViewId="0">
      <selection activeCell="F10" sqref="F10"/>
    </sheetView>
  </sheetViews>
  <sheetFormatPr defaultRowHeight="14.5" x14ac:dyDescent="0.35"/>
  <cols>
    <col min="4" max="5" width="11.81640625" bestFit="1" customWidth="1"/>
    <col min="6" max="6" width="32.453125" customWidth="1"/>
    <col min="7" max="7" width="11.81640625" bestFit="1" customWidth="1"/>
    <col min="8" max="8" width="13.453125" customWidth="1"/>
    <col min="9" max="9" width="14" customWidth="1"/>
  </cols>
  <sheetData>
    <row r="2" spans="3:11" x14ac:dyDescent="0.35">
      <c r="C2" t="s">
        <v>66</v>
      </c>
    </row>
    <row r="4" spans="3:11" x14ac:dyDescent="0.35">
      <c r="D4" t="s">
        <v>61</v>
      </c>
      <c r="H4" t="s">
        <v>62</v>
      </c>
      <c r="K4" t="s">
        <v>62</v>
      </c>
    </row>
    <row r="5" spans="3:11" x14ac:dyDescent="0.35">
      <c r="C5" t="s">
        <v>63</v>
      </c>
      <c r="D5">
        <f>1.256637*10^-6</f>
        <v>1.2566369999999999E-6</v>
      </c>
      <c r="G5">
        <f>1/15*D5^2*D6^2*D7/D8/D9</f>
        <v>1.8625699555686962E+21</v>
      </c>
      <c r="I5" t="s">
        <v>67</v>
      </c>
      <c r="J5">
        <v>5.3</v>
      </c>
      <c r="K5">
        <v>0.1</v>
      </c>
    </row>
    <row r="6" spans="3:11" x14ac:dyDescent="0.35">
      <c r="C6" t="s">
        <v>57</v>
      </c>
      <c r="D6">
        <f>2.675222005*10^8</f>
        <v>267522200.50000003</v>
      </c>
      <c r="F6" t="s">
        <v>65</v>
      </c>
      <c r="G6">
        <f>J7/G5</f>
        <v>4.6154508045713703E-22</v>
      </c>
      <c r="H6">
        <f>G6*SQRT((K7/J7)^2+(0/G5)^2)</f>
        <v>8.7083977444742848E-24</v>
      </c>
      <c r="I6" t="s">
        <v>68</v>
      </c>
      <c r="J6">
        <f>J5/(1000000/162.2)</f>
        <v>8.5965999999999994E-4</v>
      </c>
      <c r="K6">
        <f>K5/(1000000/162.2)</f>
        <v>1.6220000000000001E-5</v>
      </c>
    </row>
    <row r="7" spans="3:11" x14ac:dyDescent="0.35">
      <c r="C7" t="s">
        <v>58</v>
      </c>
      <c r="D7">
        <v>1E-3</v>
      </c>
      <c r="F7" t="s">
        <v>64</v>
      </c>
      <c r="G7" s="2">
        <f>SQRT(G6)</f>
        <v>2.1483600267579387E-11</v>
      </c>
      <c r="H7" s="2">
        <f>0.5*G6^(-0.5)*H6</f>
        <v>2.0267547422244706E-13</v>
      </c>
      <c r="I7" t="s">
        <v>69</v>
      </c>
      <c r="J7">
        <f>J6*1000</f>
        <v>0.85965999999999998</v>
      </c>
      <c r="K7">
        <f>K6*1000</f>
        <v>1.6220000000000002E-2</v>
      </c>
    </row>
    <row r="8" spans="3:11" x14ac:dyDescent="0.35">
      <c r="C8" t="s">
        <v>59</v>
      </c>
      <c r="D8">
        <f>1.3806*10^-23</f>
        <v>1.3806000000000002E-23</v>
      </c>
    </row>
    <row r="9" spans="3:11" x14ac:dyDescent="0.35">
      <c r="C9" t="s">
        <v>60</v>
      </c>
      <c r="D9">
        <v>293</v>
      </c>
    </row>
    <row r="13" spans="3:11" x14ac:dyDescent="0.35">
      <c r="C13" t="s">
        <v>70</v>
      </c>
      <c r="E13" t="s">
        <v>62</v>
      </c>
    </row>
    <row r="14" spans="3:11" x14ac:dyDescent="0.35">
      <c r="C14" t="s">
        <v>71</v>
      </c>
      <c r="D14">
        <f>4*10^-6</f>
        <v>3.9999999999999998E-6</v>
      </c>
      <c r="E14">
        <f>0.5*10^-6</f>
        <v>4.9999999999999998E-7</v>
      </c>
    </row>
    <row r="15" spans="3:11" x14ac:dyDescent="0.35">
      <c r="C15" t="s">
        <v>72</v>
      </c>
      <c r="D15">
        <f>(8*PI()/D14/D6)</f>
        <v>2.3486593992708978E-2</v>
      </c>
      <c r="E15">
        <f>D15*SQRT((E14/D14)^2)</f>
        <v>2.9358242490886222E-3</v>
      </c>
    </row>
    <row r="17" spans="3:10" x14ac:dyDescent="0.35">
      <c r="C17" t="s">
        <v>73</v>
      </c>
    </row>
    <row r="18" spans="3:10" x14ac:dyDescent="0.35">
      <c r="C18" t="s">
        <v>74</v>
      </c>
      <c r="F18" t="s">
        <v>41</v>
      </c>
    </row>
    <row r="19" spans="3:10" x14ac:dyDescent="0.35">
      <c r="C19" t="s">
        <v>14</v>
      </c>
      <c r="E19" t="s">
        <v>8</v>
      </c>
      <c r="J19" t="s">
        <v>62</v>
      </c>
    </row>
    <row r="20" spans="3:10" x14ac:dyDescent="0.35">
      <c r="C20">
        <v>0</v>
      </c>
      <c r="D20">
        <v>5.0000000000000001E-3</v>
      </c>
      <c r="E20">
        <v>1240</v>
      </c>
      <c r="F20">
        <v>50</v>
      </c>
      <c r="H20" t="s">
        <v>75</v>
      </c>
      <c r="I20">
        <f>0.127*10^-3</f>
        <v>1.27E-4</v>
      </c>
      <c r="J20">
        <v>7.0000000000000001E-3</v>
      </c>
    </row>
    <row r="21" spans="3:10" x14ac:dyDescent="0.35">
      <c r="C21">
        <v>3.5999999999999997E-2</v>
      </c>
      <c r="D21">
        <v>5.0000000000000001E-3</v>
      </c>
      <c r="E21">
        <v>1010</v>
      </c>
      <c r="F21">
        <v>50</v>
      </c>
      <c r="H21" t="s">
        <v>76</v>
      </c>
      <c r="I21">
        <f>1/D6/I20</f>
        <v>2.9433130160094868E-5</v>
      </c>
    </row>
    <row r="22" spans="3:10" x14ac:dyDescent="0.35">
      <c r="C22">
        <v>6.8000000000000005E-2</v>
      </c>
      <c r="D22">
        <v>5.0000000000000001E-3</v>
      </c>
      <c r="E22">
        <v>840</v>
      </c>
      <c r="F22">
        <v>50</v>
      </c>
    </row>
    <row r="23" spans="3:10" x14ac:dyDescent="0.35">
      <c r="C23">
        <v>5.8000000000000003E-2</v>
      </c>
      <c r="D23">
        <v>5.0000000000000001E-3</v>
      </c>
      <c r="E23">
        <v>870</v>
      </c>
      <c r="F23">
        <v>50</v>
      </c>
    </row>
    <row r="24" spans="3:10" x14ac:dyDescent="0.35">
      <c r="C24">
        <v>7.3999999999999996E-2</v>
      </c>
      <c r="D24">
        <v>5.0000000000000001E-3</v>
      </c>
      <c r="E24">
        <v>800</v>
      </c>
      <c r="F24">
        <v>50</v>
      </c>
    </row>
    <row r="25" spans="3:10" x14ac:dyDescent="0.35">
      <c r="C25">
        <v>9.6000000000000002E-2</v>
      </c>
      <c r="D25">
        <v>5.0000000000000001E-3</v>
      </c>
      <c r="E25">
        <v>690</v>
      </c>
      <c r="F25">
        <v>50</v>
      </c>
    </row>
    <row r="26" spans="3:10" x14ac:dyDescent="0.35">
      <c r="C26">
        <v>0.14199999999999999</v>
      </c>
      <c r="D26">
        <v>5.0000000000000001E-3</v>
      </c>
      <c r="E26">
        <v>490</v>
      </c>
      <c r="F26">
        <v>50</v>
      </c>
    </row>
    <row r="27" spans="3:10" x14ac:dyDescent="0.35">
      <c r="C27">
        <v>0.17199999999999999</v>
      </c>
      <c r="D27">
        <v>5.0000000000000001E-3</v>
      </c>
      <c r="E27">
        <v>340</v>
      </c>
      <c r="F27">
        <v>50</v>
      </c>
    </row>
    <row r="28" spans="3:10" x14ac:dyDescent="0.35">
      <c r="C28">
        <v>0.23200000000000001</v>
      </c>
      <c r="D28">
        <v>5.0000000000000001E-3</v>
      </c>
      <c r="E28">
        <v>170</v>
      </c>
      <c r="F28">
        <v>50</v>
      </c>
    </row>
    <row r="29" spans="3:10" x14ac:dyDescent="0.35">
      <c r="C29">
        <v>0.25600000000000001</v>
      </c>
      <c r="D29">
        <v>5.0000000000000001E-3</v>
      </c>
      <c r="E29">
        <v>120</v>
      </c>
      <c r="F29">
        <v>50</v>
      </c>
    </row>
    <row r="30" spans="3:10" x14ac:dyDescent="0.35">
      <c r="C30">
        <v>0.34</v>
      </c>
      <c r="D30">
        <v>0.02</v>
      </c>
      <c r="E30">
        <v>60</v>
      </c>
      <c r="F30">
        <v>20</v>
      </c>
    </row>
    <row r="31" spans="3:10" x14ac:dyDescent="0.35">
      <c r="C31">
        <v>0.51</v>
      </c>
      <c r="D31">
        <v>0.02</v>
      </c>
      <c r="E31">
        <v>40</v>
      </c>
      <c r="F31">
        <v>20</v>
      </c>
    </row>
    <row r="32" spans="3:10" x14ac:dyDescent="0.35">
      <c r="C32">
        <v>0.73</v>
      </c>
      <c r="D32">
        <v>0.02</v>
      </c>
      <c r="E32">
        <v>0</v>
      </c>
      <c r="F32">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Gyro calcs and T data Sep 17</vt:lpstr>
      <vt:lpstr>Sample Prep Sep 17</vt:lpstr>
      <vt:lpstr>Measured Sep 20</vt:lpstr>
      <vt:lpstr>Measured Sep 24</vt:lpstr>
      <vt:lpstr>Summary Sep 27</vt:lpstr>
      <vt:lpstr>Measured Sep 27</vt:lpstr>
      <vt:lpstr>Measured Oct 1</vt:lpstr>
      <vt:lpstr>Magnetic Moment and 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Alexiev</dc:creator>
  <cp:lastModifiedBy>Chris Alexiev</cp:lastModifiedBy>
  <dcterms:created xsi:type="dcterms:W3CDTF">2019-09-12T17:27:23Z</dcterms:created>
  <dcterms:modified xsi:type="dcterms:W3CDTF">2019-11-12T23:28:18Z</dcterms:modified>
</cp:coreProperties>
</file>