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ground" sheetId="1" r:id="rId4"/>
    <sheet state="visible" name="Copy of Playground" sheetId="2" r:id="rId5"/>
    <sheet state="visible" name="Finalof Playground" sheetId="3" r:id="rId6"/>
    <sheet state="visible" name="Report Tables" sheetId="4" r:id="rId7"/>
    <sheet state="visible" name="Sheet1" sheetId="5" r:id="rId8"/>
    <sheet state="visible" name="Chriss Playground" sheetId="6" r:id="rId9"/>
    <sheet state="visible" name="Original" sheetId="7" r:id="rId10"/>
  </sheets>
  <definedNames/>
  <calcPr/>
</workbook>
</file>

<file path=xl/sharedStrings.xml><?xml version="1.0" encoding="utf-8"?>
<sst xmlns="http://schemas.openxmlformats.org/spreadsheetml/2006/main" count="1433" uniqueCount="285">
  <si>
    <t>Transmission Speed</t>
  </si>
  <si>
    <t>Created By: Winston Zhao, Christopher Luey, Chirag Bachani</t>
  </si>
  <si>
    <t>n1</t>
  </si>
  <si>
    <t>rpm</t>
  </si>
  <si>
    <t>given</t>
  </si>
  <si>
    <t>n3</t>
  </si>
  <si>
    <t>given, ideal</t>
  </si>
  <si>
    <t>n1/n3</t>
  </si>
  <si>
    <t>Gear Property</t>
  </si>
  <si>
    <t>m</t>
  </si>
  <si>
    <t>a</t>
  </si>
  <si>
    <t>b</t>
  </si>
  <si>
    <t>phi</t>
  </si>
  <si>
    <t>deg</t>
  </si>
  <si>
    <t>Factor of Safety</t>
  </si>
  <si>
    <t>Gearing</t>
  </si>
  <si>
    <t>N</t>
  </si>
  <si>
    <t>Pitch Diameter (d0)</t>
  </si>
  <si>
    <t>Pitch Radius (r0)</t>
  </si>
  <si>
    <t>Outer Circle (do)</t>
  </si>
  <si>
    <t>Root Circle (dr)</t>
  </si>
  <si>
    <t>Face Width (bw)</t>
  </si>
  <si>
    <t>Torque</t>
  </si>
  <si>
    <t>Wt</t>
  </si>
  <si>
    <t>Wr</t>
  </si>
  <si>
    <t>W</t>
  </si>
  <si>
    <t>Power</t>
  </si>
  <si>
    <t>Addendum</t>
  </si>
  <si>
    <t>Dedendum</t>
  </si>
  <si>
    <t>N1</t>
  </si>
  <si>
    <t>teeth</t>
  </si>
  <si>
    <t>N2</t>
  </si>
  <si>
    <t>N3</t>
  </si>
  <si>
    <t>N4</t>
  </si>
  <si>
    <t>% Error</t>
  </si>
  <si>
    <t>N1/N2</t>
  </si>
  <si>
    <t>N3/N4</t>
  </si>
  <si>
    <t>Left</t>
  </si>
  <si>
    <t>Right</t>
  </si>
  <si>
    <t>Shaft</t>
  </si>
  <si>
    <t>Diameter</t>
  </si>
  <si>
    <t>Ay</t>
  </si>
  <si>
    <t>Az</t>
  </si>
  <si>
    <t>By</t>
  </si>
  <si>
    <t>Bz</t>
  </si>
  <si>
    <t>My</t>
  </si>
  <si>
    <t>Mz</t>
  </si>
  <si>
    <t>M</t>
  </si>
  <si>
    <t>V_A</t>
  </si>
  <si>
    <t>V_B</t>
  </si>
  <si>
    <t>sigma,bs</t>
  </si>
  <si>
    <t>tau,T</t>
  </si>
  <si>
    <t>tau,S</t>
  </si>
  <si>
    <t>Shaft 1</t>
  </si>
  <si>
    <t>MPa</t>
  </si>
  <si>
    <t xml:space="preserve"> </t>
  </si>
  <si>
    <t>Shaft 2</t>
  </si>
  <si>
    <t>Shaft 3</t>
  </si>
  <si>
    <t>Material</t>
  </si>
  <si>
    <t>E</t>
  </si>
  <si>
    <t>UTS</t>
  </si>
  <si>
    <t>Poisson Ratio</t>
  </si>
  <si>
    <t>Ys</t>
  </si>
  <si>
    <t>AISI 1020 Steel</t>
  </si>
  <si>
    <t>Fatigue</t>
  </si>
  <si>
    <t>Kf</t>
  </si>
  <si>
    <t>Kfs</t>
  </si>
  <si>
    <t>kf (grinding)</t>
  </si>
  <si>
    <t>ks</t>
  </si>
  <si>
    <t>kr</t>
  </si>
  <si>
    <t>kt</t>
  </si>
  <si>
    <t>km</t>
  </si>
  <si>
    <t>Se'</t>
  </si>
  <si>
    <t>von-mises amplitude</t>
  </si>
  <si>
    <t>von-mises mean</t>
  </si>
  <si>
    <t>ns</t>
  </si>
  <si>
    <t>nsy</t>
  </si>
  <si>
    <t>Geometry</t>
  </si>
  <si>
    <t>left</t>
  </si>
  <si>
    <t>middle</t>
  </si>
  <si>
    <t>c</t>
  </si>
  <si>
    <t>right</t>
  </si>
  <si>
    <t>Ltotal</t>
  </si>
  <si>
    <t>D1</t>
  </si>
  <si>
    <t>D2</t>
  </si>
  <si>
    <t>Dtotal</t>
  </si>
  <si>
    <t>Dtotal*</t>
  </si>
  <si>
    <t>Height</t>
  </si>
  <si>
    <t>Volume</t>
  </si>
  <si>
    <t>m^3</t>
  </si>
  <si>
    <t>Cycles</t>
  </si>
  <si>
    <t>cycles</t>
  </si>
  <si>
    <t>Gear Material</t>
  </si>
  <si>
    <t>E (MPa)</t>
  </si>
  <si>
    <t>Type</t>
  </si>
  <si>
    <t>Gear 1</t>
  </si>
  <si>
    <t>AISI 1144 Carbon Steel</t>
  </si>
  <si>
    <t>pinion</t>
  </si>
  <si>
    <t>Gear 2</t>
  </si>
  <si>
    <t>AISI 1040 Carbon Steel</t>
  </si>
  <si>
    <t>gear</t>
  </si>
  <si>
    <t>Gear 3</t>
  </si>
  <si>
    <t>Gear 4</t>
  </si>
  <si>
    <t>Contact Stress</t>
  </si>
  <si>
    <t>S_c</t>
  </si>
  <si>
    <t>Z_N</t>
  </si>
  <si>
    <t>HBp/HBg</t>
  </si>
  <si>
    <t>Ch</t>
  </si>
  <si>
    <t>K_T</t>
  </si>
  <si>
    <t>K_R</t>
  </si>
  <si>
    <t>sigma,all  (MPa)</t>
  </si>
  <si>
    <t>Ke (sqrtPa)</t>
  </si>
  <si>
    <t>I</t>
  </si>
  <si>
    <t>Ka</t>
  </si>
  <si>
    <t>Ks</t>
  </si>
  <si>
    <t>Km</t>
  </si>
  <si>
    <t>Kv</t>
  </si>
  <si>
    <t>sigma. actual (Pa)</t>
  </si>
  <si>
    <t>sigma, actual (MPa)</t>
  </si>
  <si>
    <t>A</t>
  </si>
  <si>
    <t>B</t>
  </si>
  <si>
    <t>Qv</t>
  </si>
  <si>
    <t>V (m/s)</t>
  </si>
  <si>
    <t>Bending Stress</t>
  </si>
  <si>
    <t>Sb</t>
  </si>
  <si>
    <t>Yn</t>
  </si>
  <si>
    <t>Kt</t>
  </si>
  <si>
    <t>Kr</t>
  </si>
  <si>
    <t>sigma, all (MPa)</t>
  </si>
  <si>
    <t>Yj</t>
  </si>
  <si>
    <t>ka</t>
  </si>
  <si>
    <t>kv</t>
  </si>
  <si>
    <t>ki</t>
  </si>
  <si>
    <t>kb</t>
  </si>
  <si>
    <t>sigma. actual (MPa)</t>
  </si>
  <si>
    <t>Lifetime</t>
  </si>
  <si>
    <t>Hours</t>
  </si>
  <si>
    <t>Rotation Speed</t>
  </si>
  <si>
    <t>L10</t>
  </si>
  <si>
    <t>Ap</t>
  </si>
  <si>
    <t>Pr</t>
  </si>
  <si>
    <t>X</t>
  </si>
  <si>
    <t>P</t>
  </si>
  <si>
    <t>C (N)</t>
  </si>
  <si>
    <t>Bearing Spec</t>
  </si>
  <si>
    <t>Link</t>
  </si>
  <si>
    <t>C0 (N)</t>
  </si>
  <si>
    <t>d (m)</t>
  </si>
  <si>
    <t>D (m)</t>
  </si>
  <si>
    <t>W (m)</t>
  </si>
  <si>
    <t>https://www.skf.com/us/products/rolling-bearings/ball-bearings/deep-groove-ball-bearings/productid-6010</t>
  </si>
  <si>
    <t>https://www.skf.com/us/products/rolling-bearings/ball-bearings/deep-groove-ball-bearings/productid-6313</t>
  </si>
  <si>
    <t>https://www.skf.com/us/products/rolling-bearings/ball-bearings/deep-groove-ball-bearings/productid-6212</t>
  </si>
  <si>
    <t>https://www.skf.com/us/products/rolling-bearings/ball-bearings/deep-groove-ball-bearings/productid-6209</t>
  </si>
  <si>
    <t>https://www.skf.com/us/products/rolling-bearings/ball-bearings/deep-groove-ball-bearings/productid-6311</t>
  </si>
  <si>
    <t>Consider turning machine on off</t>
  </si>
  <si>
    <t>sigma,a</t>
  </si>
  <si>
    <t>tau,m</t>
  </si>
  <si>
    <t>tau,a</t>
  </si>
  <si>
    <t>AISI 1045 Medium Carbon Steel</t>
  </si>
  <si>
    <t>hrs</t>
  </si>
  <si>
    <t xml:space="preserve"> hardness</t>
  </si>
  <si>
    <t>AISI 1045 Carbon Steel</t>
  </si>
  <si>
    <t>Sb (MPa)</t>
  </si>
  <si>
    <t>https://www.skf.com/us/products/rolling-bearings/ball-bearings/deep-groove-ball-bearings/productid-6309</t>
  </si>
  <si>
    <t>Minimium Shaft D</t>
  </si>
  <si>
    <t>tau</t>
  </si>
  <si>
    <t>Table 1</t>
  </si>
  <si>
    <t>ME 315 Final Design Project Report</t>
  </si>
  <si>
    <t>(Shaft 1)</t>
  </si>
  <si>
    <t>Gear 2 (Shaft 2)</t>
  </si>
  <si>
    <t>Gear 3 (Shaft 2)</t>
  </si>
  <si>
    <t>Gear 4 (Shaft 3)</t>
  </si>
  <si>
    <t>Power (KW)</t>
  </si>
  <si>
    <t>Toque (Nm)</t>
  </si>
  <si>
    <t>Speed (rpm)</t>
  </si>
  <si>
    <t>Gear Radial Force (N)</t>
  </si>
  <si>
    <t>Gear Tangential Force (N)</t>
  </si>
  <si>
    <t>Thrust Force (N)</t>
  </si>
  <si>
    <t>Module (mm)</t>
  </si>
  <si>
    <t># of Teeth</t>
  </si>
  <si>
    <t>Pressure Angle (Degrees)</t>
  </si>
  <si>
    <t>Face Width (mm)</t>
  </si>
  <si>
    <t>Pitch Circle Diameter (mm)</t>
  </si>
  <si>
    <t>Addendum (mm)</t>
  </si>
  <si>
    <t>Dedendum (mm)</t>
  </si>
  <si>
    <t>Tooth Depth (mm)</t>
  </si>
  <si>
    <t>Clearance (mm)</t>
  </si>
  <si>
    <t>Circular Pitch (mm)</t>
  </si>
  <si>
    <t>Base Pitch (mm)</t>
  </si>
  <si>
    <t>Base Circle Diameter (mm)</t>
  </si>
  <si>
    <t>Outside Circle Diameter (mm)</t>
  </si>
  <si>
    <t>Root Circle Diameter (mm)</t>
  </si>
  <si>
    <t>Hardness</t>
  </si>
  <si>
    <t>Bending Factor of Safety</t>
  </si>
  <si>
    <t>Contact Factor of Safety</t>
  </si>
  <si>
    <t>Resultant Transmission Error</t>
  </si>
  <si>
    <t>Centerline Distance (mm)</t>
  </si>
  <si>
    <t>Total Centerline Distance (mm)</t>
  </si>
  <si>
    <t>Table 2</t>
  </si>
  <si>
    <t>Shaft 1 (Input)</t>
  </si>
  <si>
    <t>Shaft 2 (Center)</t>
  </si>
  <si>
    <t>Shaft 3 (Output)</t>
  </si>
  <si>
    <t>Max Torque (Nm)</t>
  </si>
  <si>
    <t>Max Bending Moment (Nm)</t>
  </si>
  <si>
    <t>Location of Critical Cross Section</t>
  </si>
  <si>
    <t>Goodman FoS</t>
  </si>
  <si>
    <t>Static Bending FoS</t>
  </si>
  <si>
    <t>Torsional FoS</t>
  </si>
  <si>
    <t>Expected Life (cycles)</t>
  </si>
  <si>
    <t>Table 3</t>
  </si>
  <si>
    <t>Bearing A</t>
  </si>
  <si>
    <t>Bearing B</t>
  </si>
  <si>
    <t>Bearing C</t>
  </si>
  <si>
    <t>Bearing D</t>
  </si>
  <si>
    <t>Bearing E</t>
  </si>
  <si>
    <t>Bearing F</t>
  </si>
  <si>
    <t>Radial Load (N)</t>
  </si>
  <si>
    <t>Thrust Load (N)</t>
  </si>
  <si>
    <t>Bearing Type</t>
  </si>
  <si>
    <t>Equivalent Load (N)</t>
  </si>
  <si>
    <t>Bearing Model</t>
  </si>
  <si>
    <t>Inside Diameter (mm)</t>
  </si>
  <si>
    <t>Outside Diameter (mm)</t>
  </si>
  <si>
    <t>Width (mm)</t>
  </si>
  <si>
    <t>C (KN)</t>
  </si>
  <si>
    <t>C0 (KN)</t>
  </si>
  <si>
    <t>Life Expected (Million Cycles)</t>
  </si>
  <si>
    <t>Bearing Change Service Needed?</t>
  </si>
  <si>
    <t>Table 4</t>
  </si>
  <si>
    <t>Overall Shaft System Result</t>
  </si>
  <si>
    <t>Power (W)</t>
  </si>
  <si>
    <t>Input Speed (rpm)</t>
  </si>
  <si>
    <t>Output Speed (rpm)</t>
  </si>
  <si>
    <t>Overall FoS</t>
  </si>
  <si>
    <t>Maintenance Needs</t>
  </si>
  <si>
    <t>Bearing Change</t>
  </si>
  <si>
    <t>Oil Change</t>
  </si>
  <si>
    <t>All Gears</t>
  </si>
  <si>
    <t>Module [mm]</t>
  </si>
  <si>
    <t>Pitch Angle [Deg]</t>
  </si>
  <si>
    <t>Addendum [mm]</t>
  </si>
  <si>
    <t>Dedendum [mm]</t>
  </si>
  <si>
    <t>Clearance [mm]</t>
  </si>
  <si>
    <t>Tooth Depth [mm]</t>
  </si>
  <si>
    <t>Material Grade</t>
  </si>
  <si>
    <t>Hardness [HB]</t>
  </si>
  <si>
    <t>Pitch Diameter [mm]</t>
  </si>
  <si>
    <t>Outer Circle [mm]</t>
  </si>
  <si>
    <t>Root Circle [mm]</t>
  </si>
  <si>
    <t>Face Width [mm]</t>
  </si>
  <si>
    <t>Centerline Distance [mm]</t>
  </si>
  <si>
    <t>Contact Stress Factor of Safety</t>
  </si>
  <si>
    <t>RPM [rev/min]</t>
  </si>
  <si>
    <t>Max Bending Magnitude [Nm]</t>
  </si>
  <si>
    <t>Max Torque [Nm]</t>
  </si>
  <si>
    <t>Minimium Shaft Diameter [mm]</t>
  </si>
  <si>
    <t>No pure torque</t>
  </si>
  <si>
    <t>Critical Cross Section Location</t>
  </si>
  <si>
    <t>Gear 1 Center</t>
  </si>
  <si>
    <t>Gear 3 Center</t>
  </si>
  <si>
    <t>Gear 4 Center</t>
  </si>
  <si>
    <t>Shaft Diameter at Critical Cross Section [mm]</t>
  </si>
  <si>
    <t>Goodman Factor of Safety</t>
  </si>
  <si>
    <t>Yielding Factor of Safety</t>
  </si>
  <si>
    <t>Infinite (&gt; 10^6 Cylces)</t>
  </si>
  <si>
    <t>As shown in Assembly Drawing</t>
  </si>
  <si>
    <t>Radial Load [N]</t>
  </si>
  <si>
    <t>Thrust Load [N]</t>
  </si>
  <si>
    <t>Equivalent Load Used in Calculation [N]</t>
  </si>
  <si>
    <t>C [N]</t>
  </si>
  <si>
    <t>Bearing (SKF)</t>
  </si>
  <si>
    <t>Bore [mm]</t>
  </si>
  <si>
    <t>OD [mm]</t>
  </si>
  <si>
    <t>Width [mm]</t>
  </si>
  <si>
    <t>C, bearing [N]</t>
  </si>
  <si>
    <t>C0, bearing [N]</t>
  </si>
  <si>
    <t>Expected Life [Mil Cycles]</t>
  </si>
  <si>
    <t>Expected Life [Yrs]</t>
  </si>
  <si>
    <t>C</t>
  </si>
  <si>
    <t>C0</t>
  </si>
  <si>
    <t>d</t>
  </si>
  <si>
    <t>D</t>
  </si>
  <si>
    <t>https://www.skf.com/us/products/rolling-bearings/ball-bearings/deep-groove-ball-bearings/productid-6213</t>
  </si>
  <si>
    <t xml:space="preserve"> HB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</si>
</sst>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"/>
    <numFmt numFmtId="165" formatCode="0.000"/>
    <numFmt numFmtId="166" formatCode="0.000000"/>
    <numFmt numFmtId="167" formatCode="0.00000"/>
    <numFmt numFmtId="168" formatCode="0.0000000"/>
    <numFmt numFmtId="169" formatCode="0.0000%"/>
    <numFmt numFmtId="170" formatCode="0.0"/>
  </numFmts>
  <fonts count="20">
    <font>
      <sz val="10.0"/>
      <color rgb="FF000000"/>
      <name val="Arial"/>
      <scheme val="minor"/>
    </font>
    <font>
      <b/>
      <sz val="8.0"/>
      <color theme="1"/>
      <name val="Albert Sans"/>
    </font>
    <font/>
    <font>
      <sz val="8.0"/>
      <color theme="1"/>
      <name val="Albert Sans"/>
    </font>
    <font>
      <sz val="8.0"/>
      <color rgb="FF000000"/>
      <name val="Albert Sans"/>
    </font>
    <font>
      <sz val="8.0"/>
      <color rgb="FFFF0000"/>
      <name val="Albert Sans"/>
    </font>
    <font>
      <sz val="8.0"/>
      <color rgb="FF11A9CC"/>
      <name val="Albert Sans"/>
    </font>
    <font>
      <u/>
      <sz val="8.0"/>
      <color rgb="FF0000FF"/>
      <name val="Albert Sans"/>
    </font>
    <font>
      <u/>
      <sz val="8.0"/>
      <color rgb="FF0000FF"/>
      <name val="Albert Sans"/>
    </font>
    <font>
      <u/>
      <sz val="8.0"/>
      <color rgb="FF0000FF"/>
      <name val="Albert Sans"/>
    </font>
    <font>
      <sz val="8.0"/>
      <color rgb="FF000000"/>
      <name val="&quot;docs-Albert Sans&quot;"/>
    </font>
    <font>
      <sz val="9.0"/>
      <color rgb="FF000000"/>
      <name val="&quot;Google Sans Mono&quot;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8.0"/>
      <color theme="1"/>
      <name val="&quot;Albert Sans&quot;"/>
    </font>
    <font>
      <sz val="8.0"/>
      <color theme="1"/>
      <name val="Arial"/>
      <scheme val="minor"/>
    </font>
    <font>
      <sz val="8.0"/>
      <color theme="1"/>
      <name val="Arial"/>
    </font>
    <font>
      <sz val="9.0"/>
      <color rgb="FF000000"/>
      <name val="Albert Sans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2" fontId="4" numFmtId="164" xfId="0" applyAlignment="1" applyFill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3" fontId="3" numFmtId="164" xfId="0" applyAlignment="1" applyFill="1" applyFont="1" applyNumberFormat="1">
      <alignment horizontal="center" readingOrder="0"/>
    </xf>
    <xf borderId="0" fillId="3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horizontal="center" readingOrder="0" shrinkToFit="0" wrapText="0"/>
    </xf>
    <xf borderId="1" fillId="0" fontId="1" numFmtId="164" xfId="0" applyAlignment="1" applyBorder="1" applyFont="1" applyNumberFormat="1">
      <alignment horizontal="center" shrinkToFit="0" wrapText="0"/>
    </xf>
    <xf borderId="0" fillId="0" fontId="3" numFmtId="165" xfId="0" applyAlignment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3" fontId="3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4" fontId="3" numFmtId="164" xfId="0" applyAlignment="1" applyFill="1" applyFont="1" applyNumberFormat="1">
      <alignment horizontal="center"/>
    </xf>
    <xf borderId="1" fillId="0" fontId="3" numFmtId="164" xfId="0" applyAlignment="1" applyBorder="1" applyFont="1" applyNumberFormat="1">
      <alignment horizontal="center" readingOrder="0"/>
    </xf>
    <xf borderId="1" fillId="4" fontId="3" numFmtId="10" xfId="0" applyAlignment="1" applyBorder="1" applyFont="1" applyNumberFormat="1">
      <alignment horizontal="center"/>
    </xf>
    <xf borderId="0" fillId="4" fontId="3" numFmtId="164" xfId="0" applyAlignment="1" applyFont="1" applyNumberFormat="1">
      <alignment horizontal="center" readingOrder="0"/>
    </xf>
    <xf borderId="0" fillId="5" fontId="3" numFmtId="164" xfId="0" applyAlignment="1" applyFill="1" applyFont="1" applyNumberFormat="1">
      <alignment horizontal="center" readingOrder="0"/>
    </xf>
    <xf borderId="0" fillId="0" fontId="5" numFmtId="164" xfId="0" applyAlignment="1" applyFont="1" applyNumberForma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2" fontId="6" numFmtId="164" xfId="0" applyAlignment="1" applyFont="1" applyNumberFormat="1">
      <alignment horizontal="center" vertical="bottom"/>
    </xf>
    <xf borderId="0" fillId="3" fontId="7" numFmtId="164" xfId="0" applyAlignment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 shrinkToFit="0" wrapText="1"/>
    </xf>
    <xf borderId="1" fillId="3" fontId="3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 readingOrder="0"/>
    </xf>
    <xf borderId="1" fillId="6" fontId="1" numFmtId="164" xfId="0" applyAlignment="1" applyBorder="1" applyFill="1" applyFont="1" applyNumberFormat="1">
      <alignment horizontal="center" readingOrder="0"/>
    </xf>
    <xf borderId="0" fillId="6" fontId="4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7" fontId="3" numFmtId="164" xfId="0" applyAlignment="1" applyFill="1" applyFont="1" applyNumberFormat="1">
      <alignment horizontal="center" readingOrder="0"/>
    </xf>
    <xf borderId="0" fillId="6" fontId="3" numFmtId="164" xfId="0" applyAlignment="1" applyFont="1" applyNumberFormat="1">
      <alignment horizontal="center"/>
    </xf>
    <xf borderId="0" fillId="8" fontId="3" numFmtId="164" xfId="0" applyAlignment="1" applyFill="1" applyFont="1" applyNumberFormat="1">
      <alignment horizontal="center"/>
    </xf>
    <xf borderId="0" fillId="7" fontId="3" numFmtId="164" xfId="0" applyAlignment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3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  <xf borderId="1" fillId="0" fontId="3" numFmtId="167" xfId="0" applyAlignment="1" applyBorder="1" applyFont="1" applyNumberFormat="1">
      <alignment horizontal="center"/>
    </xf>
    <xf borderId="1" fillId="4" fontId="3" numFmtId="169" xfId="0" applyAlignment="1" applyBorder="1" applyFont="1" applyNumberFormat="1">
      <alignment horizontal="center"/>
    </xf>
    <xf borderId="0" fillId="3" fontId="3" numFmtId="165" xfId="0" applyAlignment="1" applyFont="1" applyNumberFormat="1">
      <alignment horizontal="center" readingOrder="0"/>
    </xf>
    <xf borderId="0" fillId="3" fontId="4" numFmtId="164" xfId="0" applyAlignment="1" applyFont="1" applyNumberFormat="1">
      <alignment horizontal="center" readingOrder="0"/>
    </xf>
    <xf borderId="0" fillId="3" fontId="10" numFmtId="164" xfId="0" applyAlignment="1" applyFont="1" applyNumberFormat="1">
      <alignment horizontal="center" readingOrder="0"/>
    </xf>
    <xf borderId="0" fillId="2" fontId="11" numFmtId="164" xfId="0" applyFont="1" applyNumberFormat="1"/>
    <xf borderId="0" fillId="9" fontId="3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3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1" fillId="0" fontId="13" numFmtId="0" xfId="0" applyAlignment="1" applyBorder="1" applyFont="1">
      <alignment horizontal="center" readingOrder="0"/>
    </xf>
    <xf borderId="9" fillId="0" fontId="12" numFmtId="0" xfId="0" applyAlignment="1" applyBorder="1" applyFont="1">
      <alignment horizontal="center" shrinkToFit="0" vertical="bottom" wrapText="1"/>
    </xf>
    <xf borderId="10" fillId="0" fontId="14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1" fillId="0" fontId="15" numFmtId="0" xfId="0" applyAlignment="1" applyBorder="1" applyFont="1">
      <alignment horizontal="center" readingOrder="0" shrinkToFit="0" wrapText="1"/>
    </xf>
    <xf borderId="12" fillId="0" fontId="15" numFmtId="0" xfId="0" applyAlignment="1" applyBorder="1" applyFont="1">
      <alignment horizontal="center" readingOrder="0" shrinkToFit="0" wrapText="1"/>
    </xf>
    <xf borderId="13" fillId="0" fontId="15" numFmtId="0" xfId="0" applyAlignment="1" applyBorder="1" applyFont="1">
      <alignment horizontal="center" readingOrder="0" shrinkToFit="0" wrapText="1"/>
    </xf>
    <xf borderId="14" fillId="0" fontId="15" numFmtId="0" xfId="0" applyAlignment="1" applyBorder="1" applyFont="1">
      <alignment horizontal="center" readingOrder="0" shrinkToFit="0" wrapText="1"/>
    </xf>
    <xf borderId="15" fillId="0" fontId="15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wrapText="1"/>
    </xf>
    <xf borderId="15" fillId="0" fontId="15" numFmtId="170" xfId="0" applyAlignment="1" applyBorder="1" applyFont="1" applyNumberFormat="1">
      <alignment horizontal="center" readingOrder="0" shrinkToFit="0" wrapText="1"/>
    </xf>
    <xf borderId="0" fillId="0" fontId="15" numFmtId="170" xfId="0" applyAlignment="1" applyFont="1" applyNumberFormat="1">
      <alignment horizontal="center" readingOrder="0" shrinkToFit="0" wrapText="1"/>
    </xf>
    <xf borderId="9" fillId="0" fontId="15" numFmtId="0" xfId="0" applyAlignment="1" applyBorder="1" applyFont="1">
      <alignment horizontal="center" readingOrder="0" shrinkToFit="0" wrapText="1"/>
    </xf>
    <xf borderId="10" fillId="0" fontId="15" numFmtId="170" xfId="0" applyAlignment="1" applyBorder="1" applyFont="1" applyNumberFormat="1">
      <alignment horizontal="center" readingOrder="0" shrinkToFit="0" wrapText="1"/>
    </xf>
    <xf borderId="1" fillId="0" fontId="15" numFmtId="170" xfId="0" applyAlignment="1" applyBorder="1" applyFont="1" applyNumberFormat="1">
      <alignment horizontal="center" readingOrder="0" shrinkToFit="0" wrapText="1"/>
    </xf>
    <xf borderId="9" fillId="0" fontId="12" numFmtId="0" xfId="0" applyAlignment="1" applyBorder="1" applyFont="1">
      <alignment horizontal="center" readingOrder="0" shrinkToFit="0" vertical="bottom" wrapText="1"/>
    </xf>
    <xf borderId="10" fillId="0" fontId="12" numFmtId="170" xfId="0" applyAlignment="1" applyBorder="1" applyFont="1" applyNumberFormat="1">
      <alignment horizontal="center" readingOrder="0" shrinkToFit="0" vertical="bottom" wrapText="1"/>
    </xf>
    <xf borderId="9" fillId="0" fontId="2" numFmtId="0" xfId="0" applyBorder="1" applyFont="1"/>
    <xf borderId="1" fillId="0" fontId="12" numFmtId="170" xfId="0" applyAlignment="1" applyBorder="1" applyFont="1" applyNumberFormat="1">
      <alignment horizontal="center" readingOrder="0" shrinkToFit="0" vertical="bottom" wrapText="1"/>
    </xf>
    <xf borderId="14" fillId="0" fontId="12" numFmtId="0" xfId="0" applyAlignment="1" applyBorder="1" applyFont="1">
      <alignment horizontal="center" readingOrder="0"/>
    </xf>
    <xf borderId="0" fillId="0" fontId="12" numFmtId="164" xfId="0" applyAlignment="1" applyFont="1" applyNumberFormat="1">
      <alignment horizontal="center"/>
    </xf>
    <xf borderId="9" fillId="0" fontId="12" numFmtId="0" xfId="0" applyAlignment="1" applyBorder="1" applyFont="1">
      <alignment horizontal="center" readingOrder="0"/>
    </xf>
    <xf borderId="1" fillId="0" fontId="12" numFmtId="164" xfId="0" applyAlignment="1" applyBorder="1" applyFont="1" applyNumberFormat="1">
      <alignment horizontal="center"/>
    </xf>
    <xf borderId="9" fillId="0" fontId="12" numFmtId="0" xfId="0" applyAlignment="1" applyBorder="1" applyFont="1">
      <alignment horizontal="center"/>
    </xf>
    <xf borderId="1" fillId="0" fontId="13" numFmtId="164" xfId="0" applyAlignment="1" applyBorder="1" applyFont="1" applyNumberForma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0" fillId="0" fontId="12" numFmtId="165" xfId="0" applyAlignment="1" applyFont="1" applyNumberFormat="1">
      <alignment horizontal="center"/>
    </xf>
    <xf borderId="0" fillId="0" fontId="12" numFmtId="165" xfId="0" applyAlignment="1" applyFont="1" applyNumberFormat="1">
      <alignment horizontal="center" readingOrder="0"/>
    </xf>
    <xf borderId="0" fillId="4" fontId="12" numFmtId="165" xfId="0" applyAlignment="1" applyFont="1" applyNumberFormat="1">
      <alignment horizontal="center" readingOrder="0"/>
    </xf>
    <xf borderId="11" fillId="0" fontId="12" numFmtId="0" xfId="0" applyAlignment="1" applyBorder="1" applyFont="1">
      <alignment horizontal="center" readingOrder="0"/>
    </xf>
    <xf borderId="13" fillId="10" fontId="12" numFmtId="164" xfId="0" applyAlignment="1" applyBorder="1" applyFill="1" applyFont="1" applyNumberFormat="1">
      <alignment horizontal="center"/>
    </xf>
    <xf borderId="0" fillId="10" fontId="12" numFmtId="164" xfId="0" applyAlignment="1" applyFont="1" applyNumberFormat="1">
      <alignment horizontal="center"/>
    </xf>
    <xf borderId="9" fillId="0" fontId="12" numFmtId="165" xfId="0" applyAlignment="1" applyBorder="1" applyFont="1" applyNumberFormat="1">
      <alignment horizontal="center"/>
    </xf>
    <xf borderId="9" fillId="0" fontId="12" numFmtId="165" xfId="0" applyAlignment="1" applyBorder="1" applyFont="1" applyNumberFormat="1">
      <alignment horizontal="center" readingOrder="0"/>
    </xf>
    <xf borderId="1" fillId="0" fontId="12" numFmtId="0" xfId="0" applyAlignment="1" applyBorder="1" applyFont="1">
      <alignment horizontal="center" readingOrder="0"/>
    </xf>
    <xf borderId="14" fillId="0" fontId="12" numFmtId="165" xfId="0" applyAlignment="1" applyBorder="1" applyFont="1" applyNumberFormat="1">
      <alignment horizontal="center" readingOrder="0"/>
    </xf>
    <xf borderId="14" fillId="0" fontId="12" numFmtId="165" xfId="0" applyAlignment="1" applyBorder="1" applyFont="1" applyNumberFormat="1">
      <alignment horizontal="center"/>
    </xf>
    <xf borderId="0" fillId="0" fontId="12" numFmtId="3" xfId="0" applyAlignment="1" applyFont="1" applyNumberFormat="1">
      <alignment horizontal="center" readingOrder="0"/>
    </xf>
    <xf borderId="14" fillId="0" fontId="2" numFmtId="0" xfId="0" applyBorder="1" applyFont="1"/>
    <xf borderId="10" fillId="0" fontId="12" numFmtId="165" xfId="0" applyAlignment="1" applyBorder="1" applyFont="1" applyNumberFormat="1">
      <alignment horizontal="center" readingOrder="0"/>
    </xf>
    <xf borderId="1" fillId="0" fontId="12" numFmtId="165" xfId="0" applyAlignment="1" applyBorder="1" applyFont="1" applyNumberFormat="1">
      <alignment horizontal="center" readingOrder="0"/>
    </xf>
    <xf borderId="0" fillId="4" fontId="12" numFmtId="1" xfId="0" applyAlignment="1" applyFont="1" applyNumberFormat="1">
      <alignment horizontal="center" readingOrder="0"/>
    </xf>
    <xf borderId="0" fillId="0" fontId="12" numFmtId="1" xfId="0" applyAlignment="1" applyFont="1" applyNumberFormat="1">
      <alignment horizontal="center" readingOrder="0"/>
    </xf>
    <xf borderId="11" fillId="0" fontId="2" numFmtId="0" xfId="0" applyBorder="1" applyFont="1"/>
    <xf borderId="13" fillId="10" fontId="12" numFmtId="164" xfId="0" applyAlignment="1" applyBorder="1" applyFont="1" applyNumberFormat="1">
      <alignment horizontal="center" readingOrder="0"/>
    </xf>
    <xf borderId="13" fillId="0" fontId="2" numFmtId="0" xfId="0" applyBorder="1" applyFont="1"/>
    <xf borderId="0" fillId="10" fontId="12" numFmtId="164" xfId="0" applyAlignment="1" applyFont="1" applyNumberFormat="1">
      <alignment horizontal="center" readingOrder="0"/>
    </xf>
    <xf borderId="0" fillId="0" fontId="16" numFmtId="164" xfId="0" applyAlignment="1" applyFont="1" applyNumberFormat="1">
      <alignment horizontal="center" vertical="bottom"/>
    </xf>
    <xf borderId="1" fillId="0" fontId="17" numFmtId="0" xfId="0" applyAlignment="1" applyBorder="1" applyFont="1">
      <alignment readingOrder="0"/>
    </xf>
    <xf borderId="0" fillId="0" fontId="18" numFmtId="164" xfId="0" applyAlignment="1" applyFont="1" applyNumberFormat="1">
      <alignment horizontal="center" readingOrder="0" vertical="bottom"/>
    </xf>
    <xf borderId="0" fillId="0" fontId="18" numFmtId="164" xfId="0" applyAlignment="1" applyFont="1" applyNumberFormat="1">
      <alignment horizontal="center" vertical="bottom"/>
    </xf>
    <xf borderId="1" fillId="0" fontId="1" numFmtId="164" xfId="0" applyAlignment="1" applyBorder="1" applyFont="1" applyNumberFormat="1">
      <alignment horizontal="left" readingOrder="0" shrinkToFit="0" wrapText="1"/>
    </xf>
    <xf borderId="0" fillId="2" fontId="19" numFmtId="164" xfId="0" applyFont="1" applyNumberFormat="1"/>
    <xf borderId="1" fillId="0" fontId="1" numFmtId="164" xfId="0" applyAlignment="1" applyBorder="1" applyFont="1" applyNumberFormat="1">
      <alignment horizontal="left" readingOrder="0"/>
    </xf>
    <xf borderId="1" fillId="6" fontId="1" numFmtId="164" xfId="0" applyAlignment="1" applyBorder="1" applyFont="1" applyNumberFormat="1">
      <alignment horizontal="left" readingOrder="0"/>
    </xf>
    <xf borderId="0" fillId="2" fontId="19" numFmtId="164" xfId="0" applyAlignment="1" applyFont="1" applyNumberFormat="1">
      <alignment horizontal="left"/>
    </xf>
    <xf borderId="1" fillId="4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azom.com/article.aspx?ArticleID=6595" TargetMode="External"/><Relationship Id="rId3" Type="http://schemas.openxmlformats.org/officeDocument/2006/relationships/hyperlink" Target="https://www.azom.com/article.aspx?ArticleID=6525" TargetMode="External"/><Relationship Id="rId4" Type="http://schemas.openxmlformats.org/officeDocument/2006/relationships/hyperlink" Target="https://www.azom.com/article.aspx?ArticleID=6595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zom.com/article.aspx?ArticleID=6525" TargetMode="External"/><Relationship Id="rId6" Type="http://schemas.openxmlformats.org/officeDocument/2006/relationships/hyperlink" Target="https://www.skf.com/us/products/rolling-bearings/ball-bearings/deep-groove-ball-bearings/productid-6010" TargetMode="External"/><Relationship Id="rId7" Type="http://schemas.openxmlformats.org/officeDocument/2006/relationships/hyperlink" Target="https://www.skf.com/us/products/rolling-bearings/ball-bearings/deep-groove-ball-bearings/productid-6313" TargetMode="External"/><Relationship Id="rId8" Type="http://schemas.openxmlformats.org/officeDocument/2006/relationships/hyperlink" Target="https://www.skf.com/us/products/rolling-bearings/ball-bearings/deep-groove-ball-bearings/productid-621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azom.com/article.aspx?ArticleID=6595" TargetMode="External"/><Relationship Id="rId3" Type="http://schemas.openxmlformats.org/officeDocument/2006/relationships/hyperlink" Target="https://www.azom.com/article.aspx?ArticleID=6525" TargetMode="External"/><Relationship Id="rId4" Type="http://schemas.openxmlformats.org/officeDocument/2006/relationships/hyperlink" Target="https://www.azom.com/article.aspx?ArticleID=6595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azom.com/article.aspx?ArticleID=6525" TargetMode="External"/><Relationship Id="rId6" Type="http://schemas.openxmlformats.org/officeDocument/2006/relationships/hyperlink" Target="https://www.skf.com/us/products/rolling-bearings/ball-bearings/deep-groove-ball-bearings/productid-6209" TargetMode="External"/><Relationship Id="rId7" Type="http://schemas.openxmlformats.org/officeDocument/2006/relationships/hyperlink" Target="https://www.skf.com/us/products/rolling-bearings/ball-bearings/deep-groove-ball-bearings/productid-6313" TargetMode="External"/><Relationship Id="rId8" Type="http://schemas.openxmlformats.org/officeDocument/2006/relationships/hyperlink" Target="https://www.skf.com/us/products/rolling-bearings/ball-bearings/deep-groove-ball-bearings/productid-63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skf.com/us/products/rolling-bearings/ball-bearings/deep-groove-ball-bearings/productid-6309" TargetMode="External"/><Relationship Id="rId3" Type="http://schemas.openxmlformats.org/officeDocument/2006/relationships/hyperlink" Target="https://www.skf.com/us/products/rolling-bearings/ball-bearings/deep-groove-ball-bearings/productid-6313" TargetMode="External"/><Relationship Id="rId4" Type="http://schemas.openxmlformats.org/officeDocument/2006/relationships/hyperlink" Target="https://www.skf.com/us/products/rolling-bearings/ball-bearings/deep-groove-ball-bearings/productid-631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azom.com/article.aspx?ArticleID=6595" TargetMode="External"/><Relationship Id="rId3" Type="http://schemas.openxmlformats.org/officeDocument/2006/relationships/hyperlink" Target="https://www.azom.com/article.aspx?ArticleID=6525" TargetMode="External"/><Relationship Id="rId4" Type="http://schemas.openxmlformats.org/officeDocument/2006/relationships/hyperlink" Target="https://www.azom.com/article.aspx?ArticleID=6595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www.azom.com/article.aspx?ArticleID=6525" TargetMode="External"/><Relationship Id="rId6" Type="http://schemas.openxmlformats.org/officeDocument/2006/relationships/hyperlink" Target="https://www.skf.com/us/products/rolling-bearings/ball-bearings/deep-groove-ball-bearings/productid-6010" TargetMode="External"/><Relationship Id="rId7" Type="http://schemas.openxmlformats.org/officeDocument/2006/relationships/hyperlink" Target="https://www.skf.com/us/products/rolling-bearings/ball-bearings/deep-groove-ball-bearings/productid-6313" TargetMode="External"/><Relationship Id="rId8" Type="http://schemas.openxmlformats.org/officeDocument/2006/relationships/hyperlink" Target="https://www.skf.com/us/products/rolling-bearings/ball-bearings/deep-groove-ball-bearings/productid-621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azom.com/article.aspx?ArticleID=6595" TargetMode="External"/><Relationship Id="rId3" Type="http://schemas.openxmlformats.org/officeDocument/2006/relationships/hyperlink" Target="https://www.azom.com/article.aspx?ArticleID=6525" TargetMode="External"/><Relationship Id="rId4" Type="http://schemas.openxmlformats.org/officeDocument/2006/relationships/hyperlink" Target="https://www.azom.com/article.aspx?ArticleID=6595" TargetMode="External"/><Relationship Id="rId5" Type="http://schemas.openxmlformats.org/officeDocument/2006/relationships/hyperlink" Target="https://www.azom.com/article.aspx?ArticleID=6525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zom.com/article.aspx?ArticleID=6114" TargetMode="External"/><Relationship Id="rId2" Type="http://schemas.openxmlformats.org/officeDocument/2006/relationships/hyperlink" Target="https://www.azom.com/article.aspx?ArticleID=6595" TargetMode="External"/><Relationship Id="rId3" Type="http://schemas.openxmlformats.org/officeDocument/2006/relationships/hyperlink" Target="https://www.azom.com/article.aspx?ArticleID=6525" TargetMode="External"/><Relationship Id="rId4" Type="http://schemas.openxmlformats.org/officeDocument/2006/relationships/hyperlink" Target="https://www.azom.com/article.aspx?ArticleID=6595" TargetMode="External"/><Relationship Id="rId5" Type="http://schemas.openxmlformats.org/officeDocument/2006/relationships/hyperlink" Target="https://www.azom.com/article.aspx?ArticleID=6525" TargetMode="External"/><Relationship Id="rId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5.0"/>
    <col customWidth="1" min="3" max="3" width="10.5"/>
    <col customWidth="1" min="4" max="4" width="13.5"/>
    <col customWidth="1" min="5" max="5" width="11.63"/>
    <col customWidth="1" min="6" max="6" width="11.75"/>
    <col customWidth="1" min="7" max="7" width="6.5"/>
    <col customWidth="1" min="8" max="8" width="11.38"/>
    <col customWidth="1" min="9" max="9" width="7.88"/>
    <col customWidth="1" min="10" max="10" width="8.63"/>
    <col customWidth="1" min="11" max="11" width="9.13"/>
    <col customWidth="1" min="12" max="12" width="7.0"/>
    <col customWidth="1" min="13" max="13" width="8.88"/>
    <col customWidth="1" min="14" max="14" width="10.5"/>
    <col customWidth="1" min="15" max="15" width="12.25"/>
    <col customWidth="1" min="16" max="16" width="7.25"/>
    <col customWidth="1" min="17" max="17" width="8.63"/>
    <col customWidth="1" min="18" max="19" width="4.38"/>
    <col customWidth="1" min="20" max="20" width="6.0"/>
    <col customWidth="1" min="21" max="22" width="5.5"/>
    <col customWidth="1" min="23" max="23" width="5.75"/>
    <col customWidth="1" min="24" max="24" width="5.13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5"/>
      <c r="I1" s="3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 t="s">
        <v>11</v>
      </c>
      <c r="B9" s="10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3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4" t="s">
        <v>15</v>
      </c>
      <c r="B15" s="14" t="s">
        <v>16</v>
      </c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8" t="s">
        <v>27</v>
      </c>
      <c r="R15" s="8" t="s">
        <v>28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29</v>
      </c>
      <c r="B16" s="10">
        <v>19.0</v>
      </c>
      <c r="C16" s="6" t="s">
        <v>30</v>
      </c>
      <c r="D16" s="16">
        <f t="shared" ref="D16:D19" si="1">B16*$B$7</f>
        <v>0.095</v>
      </c>
      <c r="E16" s="16">
        <f t="shared" ref="E16:E19" si="2">D16/2</f>
        <v>0.0475</v>
      </c>
      <c r="F16" s="16">
        <f t="shared" ref="F16:F19" si="3">D16+2*$B$8</f>
        <v>0.105</v>
      </c>
      <c r="G16" s="16">
        <f t="shared" ref="G16:G19" si="4">D16-2*$B$9</f>
        <v>0.0825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5412.556769</v>
      </c>
      <c r="L16" s="16">
        <f t="shared" ref="L16:L19" si="7">M16*sin(RADIANS($B$10))</f>
        <v>1970.009555</v>
      </c>
      <c r="M16" s="16">
        <f t="shared" ref="M16:M19" si="8">K16/cos(RADIANS($B$10))</f>
        <v>5759.922606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31</v>
      </c>
      <c r="B17" s="10">
        <v>47.0</v>
      </c>
      <c r="C17" s="6" t="s">
        <v>30</v>
      </c>
      <c r="D17" s="16">
        <f t="shared" si="1"/>
        <v>0.235</v>
      </c>
      <c r="E17" s="16">
        <f t="shared" si="2"/>
        <v>0.1175</v>
      </c>
      <c r="F17" s="16">
        <f t="shared" si="3"/>
        <v>0.245</v>
      </c>
      <c r="G17" s="16">
        <f t="shared" si="4"/>
        <v>0.2225</v>
      </c>
      <c r="H17" s="16">
        <f>12*B7</f>
        <v>0.06</v>
      </c>
      <c r="I17" s="16" t="s">
        <v>9</v>
      </c>
      <c r="J17" s="16">
        <f t="shared" si="5"/>
        <v>635.9754204</v>
      </c>
      <c r="K17" s="16">
        <f t="shared" si="6"/>
        <v>5412.556769</v>
      </c>
      <c r="L17" s="16">
        <f t="shared" si="7"/>
        <v>1970.009555</v>
      </c>
      <c r="M17" s="16">
        <f t="shared" si="8"/>
        <v>5759.922606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32</v>
      </c>
      <c r="B18" s="10">
        <v>27.0</v>
      </c>
      <c r="C18" s="6" t="s">
        <v>30</v>
      </c>
      <c r="D18" s="16">
        <f t="shared" si="1"/>
        <v>0.135</v>
      </c>
      <c r="E18" s="16">
        <f t="shared" si="2"/>
        <v>0.0675</v>
      </c>
      <c r="F18" s="16">
        <f t="shared" si="3"/>
        <v>0.145</v>
      </c>
      <c r="G18" s="16">
        <f t="shared" si="4"/>
        <v>0.1225</v>
      </c>
      <c r="H18" s="16">
        <f>13*B7</f>
        <v>0.065</v>
      </c>
      <c r="I18" s="16" t="s">
        <v>9</v>
      </c>
      <c r="J18" s="16">
        <f t="shared" ref="J18:J19" si="9">60*O18/(2*pi()*B29)</f>
        <v>635.9754204</v>
      </c>
      <c r="K18" s="16">
        <f t="shared" si="6"/>
        <v>9421.85808</v>
      </c>
      <c r="L18" s="16">
        <f t="shared" si="7"/>
        <v>3429.275892</v>
      </c>
      <c r="M18" s="16">
        <f t="shared" si="8"/>
        <v>10026.53194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7" t="s">
        <v>33</v>
      </c>
      <c r="B19" s="18">
        <v>71.0</v>
      </c>
      <c r="C19" s="17" t="s">
        <v>30</v>
      </c>
      <c r="D19" s="19">
        <f t="shared" si="1"/>
        <v>0.355</v>
      </c>
      <c r="E19" s="19">
        <f t="shared" si="2"/>
        <v>0.1775</v>
      </c>
      <c r="F19" s="19">
        <f t="shared" si="3"/>
        <v>0.365</v>
      </c>
      <c r="G19" s="19">
        <f t="shared" si="4"/>
        <v>0.3425</v>
      </c>
      <c r="H19" s="19">
        <f>12*B7</f>
        <v>0.06</v>
      </c>
      <c r="I19" s="19" t="s">
        <v>9</v>
      </c>
      <c r="J19" s="19">
        <f t="shared" si="9"/>
        <v>1672.379809</v>
      </c>
      <c r="K19" s="19">
        <f t="shared" si="6"/>
        <v>9421.85808</v>
      </c>
      <c r="L19" s="19">
        <f t="shared" si="7"/>
        <v>3429.275892</v>
      </c>
      <c r="M19" s="19">
        <f t="shared" si="8"/>
        <v>10026.53194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7</v>
      </c>
      <c r="B20" s="6">
        <f>B19*B17/(B16*B18)</f>
        <v>6.504873294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5</v>
      </c>
      <c r="B21" s="21">
        <f>2600/B20</f>
        <v>399.7003296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2" t="s">
        <v>34</v>
      </c>
      <c r="B22" s="23">
        <f>(B21-B3)/B3</f>
        <v>-0.0007491759065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35</v>
      </c>
      <c r="B24" s="6">
        <f>B16/B17</f>
        <v>0.4042553191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36</v>
      </c>
      <c r="B25" s="6">
        <f>B18/B19</f>
        <v>0.3802816901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53</v>
      </c>
      <c r="B28" s="24">
        <f>B2</f>
        <v>2600</v>
      </c>
      <c r="C28" s="8" t="s">
        <v>3</v>
      </c>
      <c r="D28" s="25">
        <v>0.05</v>
      </c>
      <c r="E28" s="8">
        <f t="shared" ref="E28:F28" si="10">K16-G28</f>
        <v>1804.18559</v>
      </c>
      <c r="F28" s="6">
        <f t="shared" si="10"/>
        <v>656.6698517</v>
      </c>
      <c r="G28" s="6">
        <f>(B41+B42)*K16/(B44)</f>
        <v>3608.371179</v>
      </c>
      <c r="H28" s="6">
        <f>(B41+B42)*L16/(B44)</f>
        <v>1313.339703</v>
      </c>
      <c r="I28" s="13" t="s">
        <v>16</v>
      </c>
      <c r="J28" s="26">
        <f>-(F28)*(B41+B42)</f>
        <v>-131.3339703</v>
      </c>
      <c r="K28" s="26">
        <f>E28*(B41+B42)</f>
        <v>360.8371179</v>
      </c>
      <c r="L28" s="6">
        <f t="shared" ref="L28:L30" si="11">SQRT(J28^2+K28^2)</f>
        <v>383.9948404</v>
      </c>
      <c r="M28" s="6">
        <f t="shared" ref="M28:M30" si="12">SQRT(E28^2 + F28^2)</f>
        <v>1919.974202</v>
      </c>
      <c r="N28" s="6">
        <f t="shared" ref="N28:N30" si="13">SQRt(G28^2+H28^2)</f>
        <v>3839.948404</v>
      </c>
      <c r="O28" s="6">
        <f t="shared" ref="O28:O30" si="14">Convert(32*L28/(PI()*D28^3),"Pa","MPa")</f>
        <v>31.29071461</v>
      </c>
      <c r="P28" s="6">
        <f t="shared" ref="P28:P30" si="15">Convert(16*J16/(PI()*D28^3),"Pa","MPa")</f>
        <v>10.4750516</v>
      </c>
      <c r="Q28" s="6">
        <f t="shared" ref="Q28:Q30" si="16">Convert(MAX(M28,N28) * 16 / (3*Pi()*D28^2),"Pa","MPa")</f>
        <v>2.607559551</v>
      </c>
      <c r="R28" s="8" t="s">
        <v>54</v>
      </c>
      <c r="S28" s="8"/>
      <c r="T28" s="6"/>
      <c r="U28" s="8" t="s">
        <v>55</v>
      </c>
      <c r="V28" s="6"/>
      <c r="W28" s="6"/>
      <c r="X28" s="6"/>
      <c r="Y28" s="6"/>
      <c r="Z28" s="6"/>
      <c r="AA28" s="6"/>
      <c r="AB28" s="6"/>
      <c r="AC28" s="6"/>
    </row>
    <row r="29">
      <c r="A29" s="8" t="s">
        <v>56</v>
      </c>
      <c r="B29" s="24">
        <f>B2*B16/B17</f>
        <v>1051.06383</v>
      </c>
      <c r="C29" s="8" t="s">
        <v>3</v>
      </c>
      <c r="D29" s="25">
        <v>0.065</v>
      </c>
      <c r="E29" s="8">
        <f>K17+K18-G29</f>
        <v>8085.424309</v>
      </c>
      <c r="F29" s="6">
        <f>L18-L17+H29</f>
        <v>1629.514077</v>
      </c>
      <c r="G29" s="6">
        <f>(B41*K18+K17*(B41+B42))/B44</f>
        <v>6748.990539</v>
      </c>
      <c r="H29" s="6">
        <f>(L16*(B41+B42)-L18*B41)/B44</f>
        <v>170.2477393</v>
      </c>
      <c r="I29" s="13" t="s">
        <v>16</v>
      </c>
      <c r="J29" s="26">
        <f>-F29*B41</f>
        <v>-162.9514077</v>
      </c>
      <c r="K29" s="27">
        <f>-E29*B41</f>
        <v>-808.5424309</v>
      </c>
      <c r="L29" s="6">
        <f t="shared" si="11"/>
        <v>824.799384</v>
      </c>
      <c r="M29" s="6">
        <f t="shared" si="12"/>
        <v>8247.99384</v>
      </c>
      <c r="N29" s="6">
        <f t="shared" si="13"/>
        <v>6751.137504</v>
      </c>
      <c r="O29" s="6">
        <f t="shared" si="14"/>
        <v>30.59203473</v>
      </c>
      <c r="P29" s="6">
        <f t="shared" si="15"/>
        <v>11.79425114</v>
      </c>
      <c r="Q29" s="6">
        <f t="shared" si="16"/>
        <v>3.314137096</v>
      </c>
      <c r="R29" s="8" t="s">
        <v>54</v>
      </c>
      <c r="S29" s="8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 t="s">
        <v>57</v>
      </c>
      <c r="B30" s="24">
        <f>B21</f>
        <v>399.7003296</v>
      </c>
      <c r="C30" s="8" t="s">
        <v>3</v>
      </c>
      <c r="D30" s="25">
        <v>0.06</v>
      </c>
      <c r="E30" s="8">
        <f t="shared" ref="E30:F30" si="17">K18-G30</f>
        <v>6281.23872</v>
      </c>
      <c r="F30" s="6">
        <f t="shared" si="17"/>
        <v>2286.183928</v>
      </c>
      <c r="G30" s="6">
        <f>B41*K18/B44</f>
        <v>3140.61936</v>
      </c>
      <c r="H30" s="6">
        <f>B41*L18/B44</f>
        <v>1143.091964</v>
      </c>
      <c r="I30" s="13" t="s">
        <v>16</v>
      </c>
      <c r="J30" s="26">
        <f>(F30)*(B43)</f>
        <v>228.6183928</v>
      </c>
      <c r="K30" s="26">
        <f>E30*(B43)</f>
        <v>628.123872</v>
      </c>
      <c r="L30" s="6">
        <f t="shared" si="11"/>
        <v>668.4354629</v>
      </c>
      <c r="M30" s="6">
        <f t="shared" si="12"/>
        <v>6684.354629</v>
      </c>
      <c r="N30" s="6">
        <f t="shared" si="13"/>
        <v>3342.177315</v>
      </c>
      <c r="O30" s="6">
        <f t="shared" si="14"/>
        <v>31.52142461</v>
      </c>
      <c r="P30" s="6">
        <f t="shared" si="15"/>
        <v>14.99535286</v>
      </c>
      <c r="Q30" s="6">
        <f t="shared" si="16"/>
        <v>3.152142461</v>
      </c>
      <c r="R30" s="8" t="s">
        <v>54</v>
      </c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9" t="s">
        <v>63</v>
      </c>
      <c r="B33" s="10">
        <v>200000.0</v>
      </c>
      <c r="C33" s="10">
        <v>394.72</v>
      </c>
      <c r="D33" s="10">
        <v>0.29</v>
      </c>
      <c r="E33" s="10">
        <v>294.74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30" t="s">
        <v>73</v>
      </c>
      <c r="K35" s="30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53</v>
      </c>
      <c r="B36" s="25">
        <v>3.0</v>
      </c>
      <c r="C36" s="25">
        <v>2.8</v>
      </c>
      <c r="D36" s="8">
        <f t="shared" ref="D36:D38" si="18">1.58*($C$33)^-0.085</f>
        <v>0.9505446257</v>
      </c>
      <c r="E36" s="6">
        <f t="shared" ref="E36:E38" si="19">1.189*(Convert(D28,"m","mm"))^-0.112</f>
        <v>0.7671798969</v>
      </c>
      <c r="F36" s="8">
        <v>0.82</v>
      </c>
      <c r="G36" s="8">
        <v>1.0</v>
      </c>
      <c r="H36" s="8">
        <v>1.0</v>
      </c>
      <c r="I36" s="6">
        <f t="shared" ref="I36:I38" si="20">0.5*$C$33</f>
        <v>197.36</v>
      </c>
      <c r="J36" s="6">
        <f t="shared" ref="J36:J38" si="21">sqrt((B36*O28)^2+3*(C36*Q28)^2)</f>
        <v>94.72011663</v>
      </c>
      <c r="K36" s="6">
        <f t="shared" ref="K36:K38" si="22">sqrt(3*(P28)^2)</f>
        <v>18.14332159</v>
      </c>
      <c r="L36" s="6">
        <f t="shared" ref="L36:L38" si="23">((J36/(D36*E36*F36*G36*H36*I36))+(K36/$C$33))^(-1)</f>
        <v>1.178459136</v>
      </c>
      <c r="M36" s="6">
        <f t="shared" ref="M36:M38" si="24">(sqrt(O28^2+3*Q28^2)/$E$33 + sqrt(3*(P28)^2)/$E$33)^-1</f>
        <v>5.923433765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56</v>
      </c>
      <c r="B37" s="25">
        <v>3.0</v>
      </c>
      <c r="C37" s="25">
        <v>2.8</v>
      </c>
      <c r="D37" s="8">
        <f t="shared" si="18"/>
        <v>0.9505446257</v>
      </c>
      <c r="E37" s="6">
        <f t="shared" si="19"/>
        <v>0.7449644674</v>
      </c>
      <c r="F37" s="8">
        <v>0.82</v>
      </c>
      <c r="G37" s="8">
        <v>1.0</v>
      </c>
      <c r="H37" s="8">
        <v>1.0</v>
      </c>
      <c r="I37" s="6">
        <f t="shared" si="20"/>
        <v>197.36</v>
      </c>
      <c r="J37" s="6">
        <f t="shared" si="21"/>
        <v>93.17287873</v>
      </c>
      <c r="K37" s="6">
        <f t="shared" si="22"/>
        <v>20.42824221</v>
      </c>
      <c r="L37" s="6">
        <f t="shared" si="23"/>
        <v>1.156353729</v>
      </c>
      <c r="M37" s="6">
        <f t="shared" si="24"/>
        <v>5.717093797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57</v>
      </c>
      <c r="B38" s="25">
        <v>3.0</v>
      </c>
      <c r="C38" s="25">
        <v>2.8</v>
      </c>
      <c r="D38" s="8">
        <f t="shared" si="18"/>
        <v>0.9505446257</v>
      </c>
      <c r="E38" s="6">
        <f t="shared" si="19"/>
        <v>0.7516729374</v>
      </c>
      <c r="F38" s="8">
        <v>0.82</v>
      </c>
      <c r="G38" s="8">
        <v>1.0</v>
      </c>
      <c r="H38" s="8">
        <v>1.0</v>
      </c>
      <c r="I38" s="6">
        <f t="shared" si="20"/>
        <v>197.36</v>
      </c>
      <c r="J38" s="6">
        <f t="shared" si="21"/>
        <v>95.79194462</v>
      </c>
      <c r="K38" s="6">
        <f t="shared" si="22"/>
        <v>25.97271304</v>
      </c>
      <c r="L38" s="6">
        <f t="shared" si="23"/>
        <v>1.118283061</v>
      </c>
      <c r="M38" s="6">
        <f t="shared" si="24"/>
        <v>5.084927197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 t="s">
        <v>10</v>
      </c>
      <c r="B41" s="10">
        <v>0.1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11</v>
      </c>
      <c r="B42" s="10">
        <v>0.1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2" t="s">
        <v>80</v>
      </c>
      <c r="B43" s="18">
        <v>0.1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2" t="s">
        <v>82</v>
      </c>
      <c r="B44" s="17">
        <f>B41+B42+B43</f>
        <v>0.3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83</v>
      </c>
      <c r="B45" s="11">
        <f>E16+E17</f>
        <v>0.165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2" t="s">
        <v>84</v>
      </c>
      <c r="B46" s="31">
        <f>E18+E19</f>
        <v>0.245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85</v>
      </c>
      <c r="B47" s="6">
        <f>B45+B46</f>
        <v>0.41</v>
      </c>
      <c r="C47" s="8" t="s">
        <v>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 t="s">
        <v>86</v>
      </c>
      <c r="B48" s="6">
        <f>E16+E16+E17+E18+E19+E19</f>
        <v>0.635</v>
      </c>
      <c r="C48" s="8" t="s">
        <v>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8" t="s">
        <v>87</v>
      </c>
      <c r="B49" s="6">
        <f>Max(D16:D19)</f>
        <v>0.355</v>
      </c>
      <c r="C49" s="8" t="s">
        <v>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8" t="s">
        <v>88</v>
      </c>
      <c r="B50" s="6">
        <f>B48*B49*B44</f>
        <v>0.0676275</v>
      </c>
      <c r="C50" s="8" t="s">
        <v>89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1" t="s">
        <v>90</v>
      </c>
      <c r="B52" s="32">
        <v>873600.0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8"/>
      <c r="N52" s="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 t="s">
        <v>53</v>
      </c>
      <c r="B53" s="8">
        <f t="shared" ref="B53:B55" si="25">$B$52*B28</f>
        <v>2271360000</v>
      </c>
      <c r="C53" s="8" t="s">
        <v>91</v>
      </c>
      <c r="D53" s="6"/>
      <c r="E53" s="6"/>
      <c r="F53" s="6"/>
      <c r="G53" s="6"/>
      <c r="H53" s="8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8" t="s">
        <v>56</v>
      </c>
      <c r="B54" s="8">
        <f t="shared" si="25"/>
        <v>918209361.7</v>
      </c>
      <c r="C54" s="8" t="s">
        <v>91</v>
      </c>
      <c r="D54" s="6"/>
      <c r="E54" s="6"/>
      <c r="F54" s="6"/>
      <c r="G54" s="6"/>
      <c r="H54" s="7"/>
      <c r="I54" s="6"/>
      <c r="J54" s="6"/>
      <c r="K54" s="6"/>
      <c r="L54" s="6"/>
      <c r="M54" s="16"/>
      <c r="N54" s="6"/>
      <c r="O54" s="1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8" t="s">
        <v>57</v>
      </c>
      <c r="B55" s="8">
        <f t="shared" si="25"/>
        <v>349178208</v>
      </c>
      <c r="C55" s="8" t="s">
        <v>91</v>
      </c>
      <c r="D55" s="6"/>
      <c r="E55" s="6"/>
      <c r="F55" s="6"/>
      <c r="G55" s="6"/>
      <c r="H55" s="7"/>
      <c r="I55" s="6"/>
      <c r="J55" s="6"/>
      <c r="K55" s="6"/>
      <c r="L55" s="6"/>
      <c r="M55" s="16"/>
      <c r="N55" s="6"/>
      <c r="O55" s="1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/>
      <c r="B56" s="8"/>
      <c r="C56" s="6"/>
      <c r="D56" s="6"/>
      <c r="E56" s="6"/>
      <c r="F56" s="6"/>
      <c r="G56" s="6"/>
      <c r="H56" s="7"/>
      <c r="I56" s="6"/>
      <c r="J56" s="6"/>
      <c r="K56" s="6"/>
      <c r="L56" s="6"/>
      <c r="M56" s="16"/>
      <c r="N56" s="6"/>
      <c r="O56" s="1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1" t="s">
        <v>92</v>
      </c>
      <c r="B57" s="1"/>
      <c r="C57" s="1" t="s">
        <v>55</v>
      </c>
      <c r="D57" s="1" t="s">
        <v>93</v>
      </c>
      <c r="E57" s="1" t="s">
        <v>61</v>
      </c>
      <c r="F57" s="1" t="s">
        <v>94</v>
      </c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8" t="s">
        <v>95</v>
      </c>
      <c r="B58" s="29" t="s">
        <v>96</v>
      </c>
      <c r="C58" s="10">
        <v>420.0</v>
      </c>
      <c r="D58" s="11">
        <f t="shared" ref="D58:D61" si="26">Convert(200,"GPa","MPa")</f>
        <v>200000</v>
      </c>
      <c r="E58" s="10">
        <v>0.285</v>
      </c>
      <c r="F58" s="8" t="s">
        <v>97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8" t="s">
        <v>75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8" t="s">
        <v>98</v>
      </c>
      <c r="B59" s="29" t="s">
        <v>99</v>
      </c>
      <c r="C59" s="10">
        <v>375.0</v>
      </c>
      <c r="D59" s="11">
        <f t="shared" si="26"/>
        <v>200000</v>
      </c>
      <c r="E59" s="10">
        <v>0.285</v>
      </c>
      <c r="F59" s="8" t="s">
        <v>100</v>
      </c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8" t="s">
        <v>101</v>
      </c>
      <c r="B60" s="29" t="s">
        <v>96</v>
      </c>
      <c r="C60" s="10">
        <v>420.0</v>
      </c>
      <c r="D60" s="11">
        <f t="shared" si="26"/>
        <v>200000</v>
      </c>
      <c r="E60" s="10">
        <v>0.285</v>
      </c>
      <c r="F60" s="8" t="s">
        <v>97</v>
      </c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8" t="s">
        <v>102</v>
      </c>
      <c r="B61" s="29" t="s">
        <v>99</v>
      </c>
      <c r="C61" s="10">
        <v>375.0</v>
      </c>
      <c r="D61" s="11">
        <f t="shared" si="26"/>
        <v>200000</v>
      </c>
      <c r="E61" s="10">
        <v>0.285</v>
      </c>
      <c r="F61" s="8" t="s">
        <v>100</v>
      </c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8"/>
      <c r="B62" s="6"/>
      <c r="C62" s="6"/>
      <c r="D62" s="6"/>
      <c r="E62" s="6"/>
      <c r="F62" s="6"/>
      <c r="G62" s="6"/>
      <c r="H62" s="6"/>
      <c r="I62" s="6"/>
      <c r="J62" s="8"/>
      <c r="K62" s="6"/>
      <c r="L62" s="6"/>
      <c r="M62" s="6"/>
      <c r="N62" s="6"/>
      <c r="O62" s="6"/>
      <c r="P62" s="8"/>
      <c r="Q62" s="8"/>
      <c r="R62" s="6"/>
      <c r="S62" s="6"/>
      <c r="T62" s="6"/>
      <c r="U62" s="6"/>
      <c r="V62" s="6"/>
      <c r="W62" s="8"/>
      <c r="X62" s="6"/>
      <c r="Y62" s="6"/>
      <c r="Z62" s="6"/>
      <c r="AA62" s="6"/>
      <c r="AB62" s="6"/>
      <c r="AC62" s="6"/>
    </row>
    <row r="63">
      <c r="A63" s="1" t="s">
        <v>103</v>
      </c>
      <c r="B63" s="1" t="s">
        <v>104</v>
      </c>
      <c r="C63" s="1" t="s">
        <v>105</v>
      </c>
      <c r="D63" s="1" t="s">
        <v>106</v>
      </c>
      <c r="E63" s="1" t="s">
        <v>107</v>
      </c>
      <c r="F63" s="1" t="s">
        <v>108</v>
      </c>
      <c r="G63" s="1" t="s">
        <v>109</v>
      </c>
      <c r="H63" s="1" t="s">
        <v>110</v>
      </c>
      <c r="I63" s="5"/>
      <c r="J63" s="33" t="s">
        <v>111</v>
      </c>
      <c r="K63" s="1" t="s">
        <v>112</v>
      </c>
      <c r="L63" s="1" t="s">
        <v>113</v>
      </c>
      <c r="M63" s="1" t="s">
        <v>114</v>
      </c>
      <c r="N63" s="1" t="s">
        <v>115</v>
      </c>
      <c r="O63" s="1" t="s">
        <v>116</v>
      </c>
      <c r="P63" s="33" t="s">
        <v>117</v>
      </c>
      <c r="Q63" s="1" t="s">
        <v>118</v>
      </c>
      <c r="R63" s="1" t="s">
        <v>75</v>
      </c>
      <c r="S63" s="6"/>
      <c r="T63" s="1" t="s">
        <v>119</v>
      </c>
      <c r="U63" s="1" t="s">
        <v>120</v>
      </c>
      <c r="V63" s="1" t="s">
        <v>121</v>
      </c>
      <c r="W63" s="1" t="s">
        <v>122</v>
      </c>
      <c r="X63" s="1" t="s">
        <v>116</v>
      </c>
      <c r="Y63" s="6"/>
      <c r="Z63" s="8"/>
      <c r="AA63" s="8"/>
      <c r="AB63" s="6"/>
      <c r="AC63" s="6"/>
    </row>
    <row r="64">
      <c r="A64" s="8" t="s">
        <v>95</v>
      </c>
      <c r="B64" s="6">
        <f>2.4*C58+237</f>
        <v>1245</v>
      </c>
      <c r="C64" s="6">
        <f t="shared" ref="C64:C65" si="27">2.466*B53^-0.056</f>
        <v>0.7379739941</v>
      </c>
      <c r="D64" s="6">
        <f>C58/C59</f>
        <v>1.12</v>
      </c>
      <c r="E64" s="8"/>
      <c r="F64" s="8">
        <v>1.0</v>
      </c>
      <c r="G64" s="8">
        <v>1.0</v>
      </c>
      <c r="H64" s="6">
        <f>B64*C64/(F64*G64)</f>
        <v>918.7776227</v>
      </c>
      <c r="I64" s="8"/>
      <c r="J64" s="34">
        <f>sqrt(2/((1-E58^2)/Convert(D58,"MPa","Pa") + (1-E59^2)/Convert(D59,"MPa","Pa")))</f>
        <v>466563.1271</v>
      </c>
      <c r="K64" s="35">
        <f>(PI() * Cos(Radians(B10)) * sin(RADIANS(B10)))/(1+D16/D17)</f>
        <v>0.7190205388</v>
      </c>
      <c r="L64" s="36">
        <v>1.0</v>
      </c>
      <c r="M64" s="36">
        <v>1.0</v>
      </c>
      <c r="N64" s="36">
        <v>1.2</v>
      </c>
      <c r="O64" s="6">
        <f t="shared" ref="O64:O67" si="28">X64</f>
        <v>1.662309265</v>
      </c>
      <c r="P64" s="37">
        <f>J64*(K16 * L64* M64* N64* O64 / (H16*D16*K64))^(1/2)</f>
        <v>727560398.2</v>
      </c>
      <c r="Q64" s="38">
        <f t="shared" ref="Q64:Q67" si="29">Convert(P64,"Pa","MPa")</f>
        <v>727.5603982</v>
      </c>
      <c r="R64" s="21">
        <f t="shared" ref="R64:R67" si="30">H64/Q64</f>
        <v>1.262819726</v>
      </c>
      <c r="S64" s="6"/>
      <c r="T64" s="6">
        <f>50+56*(1-U64)</f>
        <v>59.77301852</v>
      </c>
      <c r="U64" s="6">
        <f>((12-V64)^(2/3))/4</f>
        <v>0.8254818122</v>
      </c>
      <c r="V64" s="8">
        <v>6.0</v>
      </c>
      <c r="W64" s="6">
        <f t="shared" ref="W64:W65" si="31">pi()*B28*D16/60</f>
        <v>12.93288976</v>
      </c>
      <c r="X64" s="6">
        <f t="shared" ref="X64:X67" si="32">((T64+SQRT(200*W64))/T64)^U64</f>
        <v>1.662309265</v>
      </c>
      <c r="Y64" s="6"/>
      <c r="Z64" s="7"/>
      <c r="AA64" s="6"/>
      <c r="AB64" s="6"/>
      <c r="AC64" s="6"/>
    </row>
    <row r="65">
      <c r="A65" s="8" t="s">
        <v>98</v>
      </c>
      <c r="B65" s="6">
        <f>2.22*C59+200</f>
        <v>1032.5</v>
      </c>
      <c r="C65" s="6">
        <f t="shared" si="27"/>
        <v>0.7763692686</v>
      </c>
      <c r="D65" s="6">
        <f>C58/C59</f>
        <v>1.12</v>
      </c>
      <c r="E65" s="6">
        <f>1+(((8.89*10^-3)*D64)-(8.29*10^-3))*(B17/B16-1)</f>
        <v>1.002456337</v>
      </c>
      <c r="F65" s="8">
        <v>1.0</v>
      </c>
      <c r="G65" s="8">
        <v>1.0</v>
      </c>
      <c r="H65" s="6">
        <f>B65*C65*E65/(F65*G65)</f>
        <v>803.5702725</v>
      </c>
      <c r="I65" s="8"/>
      <c r="J65" s="34">
        <f>sqrt(2/((1-E58^2)/Convert(D58,"MPa","Pa") + (1-E59^2)/Convert(D59,"MPa","Pa")))</f>
        <v>466563.1271</v>
      </c>
      <c r="K65" s="35">
        <f>(PI() * Cos(Radians(B10)) * sin(RADIANS(B10)))/(1+D16/D17)</f>
        <v>0.7190205388</v>
      </c>
      <c r="L65" s="36">
        <v>1.0</v>
      </c>
      <c r="M65" s="36">
        <v>1.0</v>
      </c>
      <c r="N65" s="36">
        <v>1.1</v>
      </c>
      <c r="O65" s="6">
        <f t="shared" si="28"/>
        <v>1.662309265</v>
      </c>
      <c r="P65" s="37">
        <f>J65*(K17 * L65* M65* N65* O65 / (H17*D16*K65))^(1/2)</f>
        <v>725029745.7</v>
      </c>
      <c r="Q65" s="38">
        <f t="shared" si="29"/>
        <v>725.0297457</v>
      </c>
      <c r="R65" s="21">
        <f t="shared" si="30"/>
        <v>1.108327317</v>
      </c>
      <c r="S65" s="6"/>
      <c r="T65" s="6">
        <v>59.77301851547523</v>
      </c>
      <c r="U65" s="6">
        <v>0.8254818122236567</v>
      </c>
      <c r="V65" s="8">
        <v>6.0</v>
      </c>
      <c r="W65" s="6">
        <f t="shared" si="31"/>
        <v>12.93288976</v>
      </c>
      <c r="X65" s="6">
        <f t="shared" si="32"/>
        <v>1.662309265</v>
      </c>
      <c r="Y65" s="6"/>
      <c r="Z65" s="6"/>
      <c r="AA65" s="6"/>
      <c r="AB65" s="6"/>
      <c r="AC65" s="6"/>
    </row>
    <row r="66">
      <c r="A66" s="8" t="s">
        <v>101</v>
      </c>
      <c r="B66" s="6">
        <f>2.4*C60+237</f>
        <v>1245</v>
      </c>
      <c r="C66" s="6">
        <f t="shared" ref="C66:C67" si="33">2.466*B54^-0.056</f>
        <v>0.7763692686</v>
      </c>
      <c r="D66" s="6">
        <f>C60/C61</f>
        <v>1.12</v>
      </c>
      <c r="E66" s="8"/>
      <c r="F66" s="8">
        <v>1.0</v>
      </c>
      <c r="G66" s="8">
        <v>1.0</v>
      </c>
      <c r="H66" s="6">
        <f>B66*C66/(F66*G66)</f>
        <v>966.5797394</v>
      </c>
      <c r="I66" s="8"/>
      <c r="J66" s="34">
        <f>sqrt(2/((1-E60^2)/Convert(D60,"MPa","Pa") + (1-E61^2)/Convert(D61,"MPa","Pa")))</f>
        <v>466563.1271</v>
      </c>
      <c r="K66" s="35">
        <f>(PI() * Cos(Radians(B10)) * sin(RADIANS(B10)))/(1+D18/D19)</f>
        <v>0.7315089546</v>
      </c>
      <c r="L66" s="36">
        <v>1.0</v>
      </c>
      <c r="M66" s="36">
        <v>1.0</v>
      </c>
      <c r="N66" s="36">
        <v>1.2</v>
      </c>
      <c r="O66" s="6">
        <f t="shared" si="28"/>
        <v>1.508060051</v>
      </c>
      <c r="P66" s="37">
        <f>J66*(K18 * L66* M66* N66* O66 / (H18*D18*K66))^(1/2)</f>
        <v>760405495.8</v>
      </c>
      <c r="Q66" s="38">
        <f t="shared" si="29"/>
        <v>760.4054958</v>
      </c>
      <c r="R66" s="21">
        <f t="shared" si="30"/>
        <v>1.271137235</v>
      </c>
      <c r="S66" s="6"/>
      <c r="T66" s="6">
        <v>59.77301851547523</v>
      </c>
      <c r="U66" s="6">
        <v>0.8254818122236567</v>
      </c>
      <c r="V66" s="8">
        <v>6.0</v>
      </c>
      <c r="W66" s="6">
        <f t="shared" ref="W66:W67" si="34">pi()*B29*D18/60</f>
        <v>7.429532414</v>
      </c>
      <c r="X66" s="6">
        <f t="shared" si="32"/>
        <v>1.508060051</v>
      </c>
      <c r="Y66" s="6"/>
      <c r="Z66" s="6"/>
      <c r="AA66" s="6"/>
      <c r="AB66" s="6"/>
      <c r="AC66" s="6"/>
    </row>
    <row r="67">
      <c r="A67" s="8" t="s">
        <v>102</v>
      </c>
      <c r="B67" s="6">
        <f>2.22*C59+200</f>
        <v>1032.5</v>
      </c>
      <c r="C67" s="6">
        <f t="shared" si="33"/>
        <v>0.8195631687</v>
      </c>
      <c r="D67" s="6">
        <f>C60/C61</f>
        <v>1.12</v>
      </c>
      <c r="E67" s="8">
        <f>1+(((8.89*10^-3)*D66)-(8.29*10^-3))*(B19/B18-1)</f>
        <v>1.002716267</v>
      </c>
      <c r="F67" s="8">
        <v>1.0</v>
      </c>
      <c r="G67" s="8">
        <v>1.0</v>
      </c>
      <c r="H67" s="6">
        <f>B67*C67*E67/(F67*G67)</f>
        <v>848.4974737</v>
      </c>
      <c r="I67" s="8"/>
      <c r="J67" s="34">
        <f>sqrt(2/((1-E60^2)/Convert(D60,"MPa","Pa") + (1-E61^2)/Convert(D61,"MPa","Pa")))</f>
        <v>466563.1271</v>
      </c>
      <c r="K67" s="35">
        <f>(PI() * Cos(Radians(B10)) * sin(RADIANS(B10)))/(1+D18/D19)</f>
        <v>0.7315089546</v>
      </c>
      <c r="L67" s="36">
        <v>1.0</v>
      </c>
      <c r="M67" s="36">
        <v>1.0</v>
      </c>
      <c r="N67" s="36">
        <v>1.1</v>
      </c>
      <c r="O67" s="6">
        <f t="shared" si="28"/>
        <v>1.508060051</v>
      </c>
      <c r="P67" s="37">
        <f>J67*(K19 * L67* M67* N67* O67 / (H19*D18*K67))^(1/2)</f>
        <v>757760599.1</v>
      </c>
      <c r="Q67" s="38">
        <f t="shared" si="29"/>
        <v>757.7605991</v>
      </c>
      <c r="R67" s="21">
        <f t="shared" si="30"/>
        <v>1.119743458</v>
      </c>
      <c r="S67" s="6"/>
      <c r="T67" s="6">
        <v>59.77301851547523</v>
      </c>
      <c r="U67" s="6">
        <v>0.8254818122236567</v>
      </c>
      <c r="V67" s="8">
        <v>6.0</v>
      </c>
      <c r="W67" s="6">
        <f t="shared" si="34"/>
        <v>7.429532414</v>
      </c>
      <c r="X67" s="6">
        <f t="shared" si="32"/>
        <v>1.508060051</v>
      </c>
      <c r="Y67" s="6"/>
      <c r="Z67" s="6"/>
      <c r="AA67" s="6"/>
      <c r="AB67" s="6"/>
      <c r="AC67" s="6"/>
    </row>
    <row r="68">
      <c r="A68" s="6"/>
      <c r="B68" s="6"/>
      <c r="C68" s="6"/>
      <c r="D68" s="6"/>
      <c r="E68" s="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1" t="s">
        <v>123</v>
      </c>
      <c r="B69" s="1" t="s">
        <v>124</v>
      </c>
      <c r="C69" s="1" t="s">
        <v>125</v>
      </c>
      <c r="D69" s="1" t="s">
        <v>126</v>
      </c>
      <c r="E69" s="1" t="s">
        <v>127</v>
      </c>
      <c r="F69" s="1" t="s">
        <v>128</v>
      </c>
      <c r="G69" s="5"/>
      <c r="H69" s="1" t="s">
        <v>129</v>
      </c>
      <c r="I69" s="1" t="s">
        <v>130</v>
      </c>
      <c r="J69" s="1" t="s">
        <v>68</v>
      </c>
      <c r="K69" s="1" t="s">
        <v>71</v>
      </c>
      <c r="L69" s="1" t="s">
        <v>131</v>
      </c>
      <c r="M69" s="1" t="s">
        <v>132</v>
      </c>
      <c r="N69" s="1" t="s">
        <v>133</v>
      </c>
      <c r="O69" s="1" t="s">
        <v>117</v>
      </c>
      <c r="P69" s="1" t="s">
        <v>134</v>
      </c>
      <c r="Q69" s="1" t="s">
        <v>75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95</v>
      </c>
      <c r="B70" s="6">
        <f>0.703*C58+113</f>
        <v>408.26</v>
      </c>
      <c r="C70" s="6">
        <f t="shared" ref="C70:C71" si="36">1.683*B53^(-0.0323)</f>
        <v>0.8392204904</v>
      </c>
      <c r="D70" s="8">
        <v>1.0</v>
      </c>
      <c r="E70" s="8">
        <v>1.0</v>
      </c>
      <c r="F70" s="6">
        <f t="shared" ref="F70:F73" si="37">B70*C70/(D70*E70)</f>
        <v>342.6201574</v>
      </c>
      <c r="G70" s="6"/>
      <c r="H70" s="36">
        <v>0.35</v>
      </c>
      <c r="I70" s="36">
        <v>1.0</v>
      </c>
      <c r="J70" s="36">
        <f t="shared" ref="J70:L70" si="35">M64</f>
        <v>1</v>
      </c>
      <c r="K70" s="39">
        <f t="shared" si="35"/>
        <v>1.2</v>
      </c>
      <c r="L70" s="6">
        <f t="shared" si="35"/>
        <v>1.662309265</v>
      </c>
      <c r="M70" s="36">
        <v>1.0</v>
      </c>
      <c r="N70" s="36">
        <v>1.0</v>
      </c>
      <c r="O70" s="6">
        <f t="shared" ref="O70:O73" si="39">K16/(H16*H70*$B$7) *I70*J70*K70*L70*M70*N70</f>
        <v>94917027.83</v>
      </c>
      <c r="P70" s="38">
        <f t="shared" ref="P70:P73" si="40">Convert(O70,"Pa","MPa")</f>
        <v>94.91702783</v>
      </c>
      <c r="Q70" s="21">
        <f t="shared" ref="Q70:Q73" si="41">F70/P70</f>
        <v>3.609680636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" t="s">
        <v>98</v>
      </c>
      <c r="B71" s="6">
        <f>0.533*C59+88.3</f>
        <v>288.175</v>
      </c>
      <c r="C71" s="6">
        <f t="shared" si="36"/>
        <v>0.8641340108</v>
      </c>
      <c r="D71" s="8">
        <v>1.0</v>
      </c>
      <c r="E71" s="8">
        <v>1.0</v>
      </c>
      <c r="F71" s="6">
        <f t="shared" si="37"/>
        <v>249.0218186</v>
      </c>
      <c r="G71" s="6"/>
      <c r="H71" s="36">
        <v>0.42</v>
      </c>
      <c r="I71" s="36">
        <v>1.0</v>
      </c>
      <c r="J71" s="36">
        <f t="shared" ref="J71:L71" si="38">M65</f>
        <v>1</v>
      </c>
      <c r="K71" s="39">
        <f t="shared" si="38"/>
        <v>1.1</v>
      </c>
      <c r="L71" s="6">
        <f t="shared" si="38"/>
        <v>1.662309265</v>
      </c>
      <c r="M71" s="36">
        <v>1.0</v>
      </c>
      <c r="N71" s="36">
        <v>1.0</v>
      </c>
      <c r="O71" s="6">
        <f t="shared" si="39"/>
        <v>78548234.84</v>
      </c>
      <c r="P71" s="38">
        <f t="shared" si="40"/>
        <v>78.54823484</v>
      </c>
      <c r="Q71" s="21">
        <f t="shared" si="41"/>
        <v>3.170304451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8" t="s">
        <v>101</v>
      </c>
      <c r="B72" s="6">
        <f>0.703*C60+113</f>
        <v>408.26</v>
      </c>
      <c r="C72" s="6">
        <f t="shared" ref="C72:C73" si="43">1.683*B54^(-0.0323)</f>
        <v>0.8641340108</v>
      </c>
      <c r="D72" s="8">
        <v>1.0</v>
      </c>
      <c r="E72" s="8">
        <v>1.0</v>
      </c>
      <c r="F72" s="6">
        <f t="shared" si="37"/>
        <v>352.7913512</v>
      </c>
      <c r="G72" s="6"/>
      <c r="H72" s="36">
        <v>0.35</v>
      </c>
      <c r="I72" s="36">
        <v>1.0</v>
      </c>
      <c r="J72" s="36">
        <f t="shared" ref="J72:L72" si="42">M66</f>
        <v>1</v>
      </c>
      <c r="K72" s="39">
        <f t="shared" si="42"/>
        <v>1.2</v>
      </c>
      <c r="L72" s="6">
        <f t="shared" si="42"/>
        <v>1.508060051</v>
      </c>
      <c r="M72" s="36">
        <v>1.0</v>
      </c>
      <c r="N72" s="36">
        <v>1.0</v>
      </c>
      <c r="O72" s="6">
        <f t="shared" si="39"/>
        <v>149894271.1</v>
      </c>
      <c r="P72" s="38">
        <f t="shared" si="40"/>
        <v>149.8942711</v>
      </c>
      <c r="Q72" s="21">
        <f t="shared" si="41"/>
        <v>2.3536013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8" t="s">
        <v>102</v>
      </c>
      <c r="B73" s="6">
        <f>0.533*C61+88.3</f>
        <v>288.175</v>
      </c>
      <c r="C73" s="6">
        <f t="shared" si="43"/>
        <v>0.8915458723</v>
      </c>
      <c r="D73" s="8">
        <v>1.0</v>
      </c>
      <c r="E73" s="8">
        <v>1.0</v>
      </c>
      <c r="F73" s="6">
        <f t="shared" si="37"/>
        <v>256.9212317</v>
      </c>
      <c r="G73" s="6"/>
      <c r="H73" s="36">
        <v>0.42</v>
      </c>
      <c r="I73" s="36">
        <v>1.0</v>
      </c>
      <c r="J73" s="36">
        <f t="shared" ref="J73:L73" si="44">M67</f>
        <v>1</v>
      </c>
      <c r="K73" s="39">
        <f t="shared" si="44"/>
        <v>1.1</v>
      </c>
      <c r="L73" s="6">
        <f t="shared" si="44"/>
        <v>1.508060051</v>
      </c>
      <c r="M73" s="36">
        <v>1.0</v>
      </c>
      <c r="N73" s="36">
        <v>1.0</v>
      </c>
      <c r="O73" s="6">
        <f t="shared" si="39"/>
        <v>124044448.9</v>
      </c>
      <c r="P73" s="38">
        <f t="shared" si="40"/>
        <v>124.0444489</v>
      </c>
      <c r="Q73" s="21">
        <f t="shared" si="41"/>
        <v>2.071202977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1" t="s">
        <v>135</v>
      </c>
      <c r="B75" s="1" t="s">
        <v>136</v>
      </c>
      <c r="C75" s="1" t="s">
        <v>137</v>
      </c>
      <c r="D75" s="1" t="s">
        <v>138</v>
      </c>
      <c r="E75" s="1" t="s">
        <v>139</v>
      </c>
      <c r="F75" s="1" t="s">
        <v>9</v>
      </c>
      <c r="G75" s="1" t="s">
        <v>140</v>
      </c>
      <c r="H75" s="40" t="s">
        <v>141</v>
      </c>
      <c r="I75" s="41" t="s">
        <v>142</v>
      </c>
      <c r="J75" s="40" t="s">
        <v>143</v>
      </c>
      <c r="K75" s="42" t="s">
        <v>144</v>
      </c>
      <c r="L75" s="1" t="s">
        <v>145</v>
      </c>
      <c r="M75" s="1" t="s">
        <v>143</v>
      </c>
      <c r="N75" s="1" t="s">
        <v>146</v>
      </c>
      <c r="O75" s="1" t="s">
        <v>147</v>
      </c>
      <c r="P75" s="1" t="s">
        <v>148</v>
      </c>
      <c r="Q75" s="1" t="s">
        <v>149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8" t="s">
        <v>53</v>
      </c>
      <c r="B76" s="8">
        <v>14560.0</v>
      </c>
      <c r="C76" s="6">
        <f t="shared" ref="C76:C78" si="45">B28</f>
        <v>2600</v>
      </c>
      <c r="D76" s="6">
        <f t="shared" ref="D76:D78" si="46">B76*60*C76*10^-6</f>
        <v>2271.36</v>
      </c>
      <c r="E76" s="8">
        <v>1.0</v>
      </c>
      <c r="F76" s="8">
        <v>3.0</v>
      </c>
      <c r="G76" s="6">
        <f t="shared" ref="G76:G78" si="47">MAX(L28:M28)</f>
        <v>1919.974202</v>
      </c>
      <c r="H76" s="13">
        <v>1.0</v>
      </c>
      <c r="I76" s="12">
        <f t="shared" ref="I76:I78" si="48">E76*G76</f>
        <v>1919.974202</v>
      </c>
      <c r="J76" s="12">
        <f t="shared" ref="J76:J78" si="49">I76*D76^(1/F76)</f>
        <v>25238.14228</v>
      </c>
      <c r="K76" s="43">
        <v>6010.0</v>
      </c>
      <c r="L76" s="44" t="s">
        <v>150</v>
      </c>
      <c r="M76" s="8">
        <v>37100.0</v>
      </c>
      <c r="N76" s="8">
        <v>23200.0</v>
      </c>
      <c r="O76" s="8">
        <v>0.05</v>
      </c>
      <c r="P76" s="8">
        <v>0.09</v>
      </c>
      <c r="Q76" s="8">
        <v>0.02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8" t="s">
        <v>56</v>
      </c>
      <c r="B77" s="8">
        <v>14560.0</v>
      </c>
      <c r="C77" s="6">
        <f t="shared" si="45"/>
        <v>1051.06383</v>
      </c>
      <c r="D77" s="6">
        <f t="shared" si="46"/>
        <v>918.2093617</v>
      </c>
      <c r="E77" s="8">
        <v>1.0</v>
      </c>
      <c r="F77" s="8">
        <v>3.0</v>
      </c>
      <c r="G77" s="6">
        <f t="shared" si="47"/>
        <v>8247.99384</v>
      </c>
      <c r="H77" s="13">
        <v>1.0</v>
      </c>
      <c r="I77" s="12">
        <f t="shared" si="48"/>
        <v>8247.99384</v>
      </c>
      <c r="J77" s="12">
        <f t="shared" si="49"/>
        <v>80166.98799</v>
      </c>
      <c r="K77" s="43">
        <v>6313.0</v>
      </c>
      <c r="L77" s="45" t="s">
        <v>151</v>
      </c>
      <c r="M77" s="8">
        <v>97500.0</v>
      </c>
      <c r="N77" s="8">
        <v>60000.0</v>
      </c>
      <c r="O77" s="8">
        <v>0.065</v>
      </c>
      <c r="P77" s="8">
        <v>0.14</v>
      </c>
      <c r="Q77" s="8">
        <v>0.033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8" t="s">
        <v>57</v>
      </c>
      <c r="B78" s="8">
        <v>14560.0</v>
      </c>
      <c r="C78" s="6">
        <f t="shared" si="45"/>
        <v>399.7003296</v>
      </c>
      <c r="D78" s="6">
        <f t="shared" si="46"/>
        <v>349.178208</v>
      </c>
      <c r="E78" s="8">
        <v>1.0</v>
      </c>
      <c r="F78" s="8">
        <v>3.0</v>
      </c>
      <c r="G78" s="6">
        <f t="shared" si="47"/>
        <v>6684.354629</v>
      </c>
      <c r="H78" s="13">
        <v>1.0</v>
      </c>
      <c r="I78" s="12">
        <f t="shared" si="48"/>
        <v>6684.354629</v>
      </c>
      <c r="J78" s="12">
        <f t="shared" si="49"/>
        <v>47069.74657</v>
      </c>
      <c r="K78" s="43">
        <v>6212.0</v>
      </c>
      <c r="L78" s="45" t="s">
        <v>152</v>
      </c>
      <c r="M78" s="8">
        <v>55300.0</v>
      </c>
      <c r="N78" s="8">
        <v>36000.0</v>
      </c>
      <c r="O78" s="8">
        <v>0.06</v>
      </c>
      <c r="P78" s="8">
        <v>0.11</v>
      </c>
      <c r="Q78" s="8">
        <v>0.022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B58"/>
    <hyperlink r:id="rId3" ref="B59"/>
    <hyperlink r:id="rId4" ref="B60"/>
    <hyperlink r:id="rId5" ref="B61"/>
    <hyperlink r:id="rId6" ref="L76"/>
    <hyperlink r:id="rId7" ref="L77"/>
    <hyperlink r:id="rId8" ref="L7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15.0"/>
    <col customWidth="1" min="3" max="3" width="10.5"/>
    <col customWidth="1" min="4" max="4" width="13.5"/>
    <col customWidth="1" min="5" max="5" width="11.63"/>
    <col customWidth="1" min="6" max="6" width="11.75"/>
    <col customWidth="1" min="7" max="7" width="10.38"/>
    <col customWidth="1" min="8" max="8" width="11.38"/>
    <col customWidth="1" min="9" max="9" width="7.88"/>
    <col customWidth="1" min="10" max="10" width="8.63"/>
    <col customWidth="1" min="11" max="11" width="9.13"/>
    <col customWidth="1" min="12" max="12" width="7.0"/>
    <col customWidth="1" min="13" max="13" width="8.88"/>
    <col customWidth="1" min="14" max="14" width="10.5"/>
    <col customWidth="1" min="15" max="15" width="12.25"/>
    <col customWidth="1" min="16" max="16" width="7.25"/>
    <col customWidth="1" min="17" max="17" width="8.63"/>
    <col customWidth="1" min="18" max="19" width="4.38"/>
    <col customWidth="1" min="20" max="20" width="6.0"/>
    <col customWidth="1" min="21" max="22" width="5.5"/>
    <col customWidth="1" min="23" max="23" width="5.75"/>
    <col customWidth="1" min="24" max="24" width="5.13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5"/>
      <c r="I1" s="3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 t="s">
        <v>11</v>
      </c>
      <c r="B9" s="10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3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4" t="s">
        <v>15</v>
      </c>
      <c r="B15" s="14" t="s">
        <v>16</v>
      </c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8" t="s">
        <v>27</v>
      </c>
      <c r="R15" s="8" t="s">
        <v>28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29</v>
      </c>
      <c r="B16" s="10">
        <v>17.0</v>
      </c>
      <c r="C16" s="6" t="s">
        <v>30</v>
      </c>
      <c r="D16" s="16">
        <f t="shared" ref="D16:D19" si="1">B16*$B$7</f>
        <v>0.085</v>
      </c>
      <c r="E16" s="16">
        <f t="shared" ref="E16:E19" si="2">D16/2</f>
        <v>0.0425</v>
      </c>
      <c r="F16" s="16">
        <f t="shared" ref="F16:F19" si="3">D16+2*$B$8</f>
        <v>0.095</v>
      </c>
      <c r="G16" s="16">
        <f t="shared" ref="G16:G19" si="4">D16-2*$B$9</f>
        <v>0.0725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6049.328154</v>
      </c>
      <c r="L16" s="16">
        <f t="shared" ref="L16:L19" si="7">M16*sin(RADIANS($B$10))</f>
        <v>2201.775385</v>
      </c>
      <c r="M16" s="16">
        <f t="shared" ref="M16:M19" si="8">K16/cos(RADIANS($B$10))</f>
        <v>6437.56056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31</v>
      </c>
      <c r="B17" s="10">
        <v>41.0</v>
      </c>
      <c r="C17" s="6" t="s">
        <v>30</v>
      </c>
      <c r="D17" s="16">
        <f t="shared" si="1"/>
        <v>0.205</v>
      </c>
      <c r="E17" s="16">
        <f t="shared" si="2"/>
        <v>0.1025</v>
      </c>
      <c r="F17" s="16">
        <f t="shared" si="3"/>
        <v>0.215</v>
      </c>
      <c r="G17" s="16">
        <f t="shared" si="4"/>
        <v>0.1925</v>
      </c>
      <c r="H17" s="16">
        <f>12*B7</f>
        <v>0.06</v>
      </c>
      <c r="I17" s="16" t="s">
        <v>9</v>
      </c>
      <c r="J17" s="16">
        <f t="shared" si="5"/>
        <v>620.0561358</v>
      </c>
      <c r="K17" s="16">
        <f t="shared" si="6"/>
        <v>6049.328154</v>
      </c>
      <c r="L17" s="16">
        <f t="shared" si="7"/>
        <v>2201.775385</v>
      </c>
      <c r="M17" s="16">
        <f t="shared" si="8"/>
        <v>6437.56056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32</v>
      </c>
      <c r="B18" s="10">
        <v>21.0</v>
      </c>
      <c r="C18" s="6" t="s">
        <v>30</v>
      </c>
      <c r="D18" s="16">
        <f t="shared" si="1"/>
        <v>0.105</v>
      </c>
      <c r="E18" s="16">
        <f t="shared" si="2"/>
        <v>0.0525</v>
      </c>
      <c r="F18" s="16">
        <f t="shared" si="3"/>
        <v>0.115</v>
      </c>
      <c r="G18" s="16">
        <f t="shared" si="4"/>
        <v>0.0925</v>
      </c>
      <c r="H18" s="16">
        <f>13*B7</f>
        <v>0.065</v>
      </c>
      <c r="I18" s="16" t="s">
        <v>9</v>
      </c>
      <c r="J18" s="16">
        <f t="shared" ref="J18:J19" si="9">60*O18/(2*pi()*B29)</f>
        <v>620.0561358</v>
      </c>
      <c r="K18" s="16">
        <f t="shared" si="6"/>
        <v>11810.59306</v>
      </c>
      <c r="L18" s="16">
        <f t="shared" si="7"/>
        <v>4298.704324</v>
      </c>
      <c r="M18" s="16">
        <f t="shared" si="8"/>
        <v>12568.57062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7" t="s">
        <v>33</v>
      </c>
      <c r="B19" s="18">
        <v>57.0</v>
      </c>
      <c r="C19" s="17" t="s">
        <v>30</v>
      </c>
      <c r="D19" s="19">
        <f t="shared" si="1"/>
        <v>0.285</v>
      </c>
      <c r="E19" s="19">
        <f t="shared" si="2"/>
        <v>0.1425</v>
      </c>
      <c r="F19" s="19">
        <f t="shared" si="3"/>
        <v>0.295</v>
      </c>
      <c r="G19" s="19">
        <f t="shared" si="4"/>
        <v>0.2725</v>
      </c>
      <c r="H19" s="19">
        <f>12*B7</f>
        <v>0.06</v>
      </c>
      <c r="I19" s="19" t="s">
        <v>9</v>
      </c>
      <c r="J19" s="19">
        <f t="shared" si="9"/>
        <v>1683.009511</v>
      </c>
      <c r="K19" s="19">
        <f t="shared" si="6"/>
        <v>11810.59306</v>
      </c>
      <c r="L19" s="19">
        <f t="shared" si="7"/>
        <v>4298.704324</v>
      </c>
      <c r="M19" s="19">
        <f t="shared" si="8"/>
        <v>12568.57062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7</v>
      </c>
      <c r="B20" s="6">
        <f>B19*B17/(B16*B18)</f>
        <v>6.546218487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5</v>
      </c>
      <c r="B21" s="21">
        <f>2600/B20</f>
        <v>397.1758665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2" t="s">
        <v>34</v>
      </c>
      <c r="B22" s="23">
        <f>(B21-B3)/B3</f>
        <v>-0.007060333761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35</v>
      </c>
      <c r="B24" s="6">
        <f>B16/B17</f>
        <v>0.4146341463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36</v>
      </c>
      <c r="B25" s="6">
        <f>B18/B19</f>
        <v>0.3684210526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53</v>
      </c>
      <c r="B28" s="24">
        <f>B2</f>
        <v>2600</v>
      </c>
      <c r="C28" s="8" t="s">
        <v>3</v>
      </c>
      <c r="D28" s="25">
        <v>0.045</v>
      </c>
      <c r="E28" s="8">
        <f t="shared" ref="E28:F28" si="10">K16-G28</f>
        <v>1858.732114</v>
      </c>
      <c r="F28" s="6">
        <f t="shared" si="10"/>
        <v>676.5231631</v>
      </c>
      <c r="G28" s="6">
        <f>(B41+B42)*K16/(B44)</f>
        <v>4190.596039</v>
      </c>
      <c r="H28" s="6">
        <f>(B41+B42)*L16/(B44)</f>
        <v>1525.252222</v>
      </c>
      <c r="I28" s="13" t="s">
        <v>16</v>
      </c>
      <c r="J28" s="26">
        <f>-(F28)*(B41+B42)</f>
        <v>-83.88887222</v>
      </c>
      <c r="K28" s="26">
        <f>E28*(B41+B42)</f>
        <v>230.4827822</v>
      </c>
      <c r="L28" s="6">
        <f t="shared" ref="L28:L30" si="11">SQRT(J28^2+K28^2)</f>
        <v>245.2746537</v>
      </c>
      <c r="M28" s="6">
        <f t="shared" ref="M28:M30" si="12">SQRT(E28^2 + F28^2)</f>
        <v>1978.021401</v>
      </c>
      <c r="N28" s="6">
        <f t="shared" ref="N28:N30" si="13">SQRt(G28^2+H28^2)</f>
        <v>4459.539159</v>
      </c>
      <c r="O28" s="6">
        <f t="shared" ref="O28:O30" si="14">Convert(32*L28/(PI()*D28^3),"Pa","MPa")</f>
        <v>27.41670351</v>
      </c>
      <c r="P28" s="6">
        <f t="shared" ref="P28:P30" si="15">Convert(16*J16/(PI()*D28^3),"Pa","MPa")</f>
        <v>14.36906941</v>
      </c>
      <c r="Q28" s="6">
        <f t="shared" ref="Q28:Q30" si="16">Convert(MAX(M28,N28) * 16 / (3*Pi()*D28^2),"Pa","MPa")</f>
        <v>3.738641388</v>
      </c>
      <c r="R28" s="8" t="s">
        <v>54</v>
      </c>
      <c r="S28" s="8"/>
      <c r="T28" s="6"/>
      <c r="U28" s="8" t="s">
        <v>55</v>
      </c>
      <c r="V28" s="6"/>
      <c r="W28" s="6"/>
      <c r="X28" s="6"/>
      <c r="Y28" s="6"/>
      <c r="Z28" s="6"/>
      <c r="AA28" s="6"/>
      <c r="AB28" s="6"/>
      <c r="AC28" s="6"/>
    </row>
    <row r="29">
      <c r="A29" s="8" t="s">
        <v>56</v>
      </c>
      <c r="B29" s="24">
        <f>B2*B16/B17</f>
        <v>1078.04878</v>
      </c>
      <c r="C29" s="8" t="s">
        <v>3</v>
      </c>
      <c r="D29" s="25">
        <v>0.057</v>
      </c>
      <c r="E29" s="8">
        <f>K17+K18-G29</f>
        <v>10106.35297</v>
      </c>
      <c r="F29" s="6">
        <f>L18-L17+H29</f>
        <v>2325.365331</v>
      </c>
      <c r="G29" s="6">
        <f>(B41*K18+K17*(B41+B42))/B44</f>
        <v>7753.568248</v>
      </c>
      <c r="H29" s="6">
        <f>(L16*(B41+B42)-L18*B41)/B44</f>
        <v>228.4363927</v>
      </c>
      <c r="I29" s="13" t="s">
        <v>16</v>
      </c>
      <c r="J29" s="26">
        <f>-F29*B41</f>
        <v>-125.5697279</v>
      </c>
      <c r="K29" s="27">
        <f>-E29*B41</f>
        <v>-545.7430603</v>
      </c>
      <c r="L29" s="6">
        <f t="shared" si="11"/>
        <v>560.0028968</v>
      </c>
      <c r="M29" s="6">
        <f t="shared" si="12"/>
        <v>10370.42401</v>
      </c>
      <c r="N29" s="6">
        <f t="shared" si="13"/>
        <v>7756.932626</v>
      </c>
      <c r="O29" s="6">
        <f t="shared" si="14"/>
        <v>30.80107059</v>
      </c>
      <c r="P29" s="6">
        <f t="shared" si="15"/>
        <v>17.05204823</v>
      </c>
      <c r="Q29" s="6">
        <f t="shared" si="16"/>
        <v>5.418706864</v>
      </c>
      <c r="R29" s="8" t="s">
        <v>54</v>
      </c>
      <c r="S29" s="8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 t="s">
        <v>57</v>
      </c>
      <c r="B30" s="24">
        <f>B21</f>
        <v>397.1758665</v>
      </c>
      <c r="C30" s="8" t="s">
        <v>3</v>
      </c>
      <c r="D30" s="25">
        <v>0.055</v>
      </c>
      <c r="E30" s="8">
        <f t="shared" ref="E30:F30" si="17">K18-G30</f>
        <v>8247.620853</v>
      </c>
      <c r="F30" s="6">
        <f t="shared" si="17"/>
        <v>3001.888494</v>
      </c>
      <c r="G30" s="6">
        <f>B41*K18/B44</f>
        <v>3562.972209</v>
      </c>
      <c r="H30" s="6">
        <f>B41*L18/B44</f>
        <v>1296.815829</v>
      </c>
      <c r="I30" s="13" t="s">
        <v>16</v>
      </c>
      <c r="J30" s="26">
        <f>(F30)*(B43)</f>
        <v>165.1038672</v>
      </c>
      <c r="K30" s="26">
        <f>E30*(B43)</f>
        <v>453.6191469</v>
      </c>
      <c r="L30" s="6">
        <f t="shared" si="11"/>
        <v>482.7314133</v>
      </c>
      <c r="M30" s="6">
        <f t="shared" si="12"/>
        <v>8776.934788</v>
      </c>
      <c r="N30" s="6">
        <f t="shared" si="13"/>
        <v>3791.635828</v>
      </c>
      <c r="O30" s="6">
        <f t="shared" si="14"/>
        <v>29.55409046</v>
      </c>
      <c r="P30" s="6">
        <f t="shared" si="15"/>
        <v>18.9807361</v>
      </c>
      <c r="Q30" s="6">
        <f t="shared" si="16"/>
        <v>4.925681743</v>
      </c>
      <c r="R30" s="8" t="s">
        <v>54</v>
      </c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9" t="s">
        <v>63</v>
      </c>
      <c r="B33" s="10">
        <v>200000.0</v>
      </c>
      <c r="C33" s="10">
        <v>394.72</v>
      </c>
      <c r="D33" s="10">
        <v>0.29</v>
      </c>
      <c r="E33" s="10">
        <v>294.74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30" t="s">
        <v>73</v>
      </c>
      <c r="K35" s="30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53</v>
      </c>
      <c r="B36" s="25">
        <v>3.0</v>
      </c>
      <c r="C36" s="25">
        <v>2.8</v>
      </c>
      <c r="D36" s="8">
        <f t="shared" ref="D36:D38" si="18">1.58*($C$33)^-0.085</f>
        <v>0.9505446257</v>
      </c>
      <c r="E36" s="6">
        <f t="shared" ref="E36:E38" si="19">1.189*(Convert(D28,"m","mm"))^-0.112</f>
        <v>0.7762865347</v>
      </c>
      <c r="F36" s="8">
        <v>0.82</v>
      </c>
      <c r="G36" s="8">
        <v>1.0</v>
      </c>
      <c r="H36" s="8">
        <v>1.0</v>
      </c>
      <c r="I36" s="6">
        <f t="shared" ref="I36:I38" si="20">0.5*$C$33</f>
        <v>197.36</v>
      </c>
      <c r="J36" s="6">
        <f t="shared" ref="J36:J38" si="21">sqrt((B36*O28)^2+3*(C36*Q28)^2)</f>
        <v>84.22487791</v>
      </c>
      <c r="K36" s="6">
        <f t="shared" ref="K36:K38" si="22">sqrt(3*(P28)^2)</f>
        <v>24.88795828</v>
      </c>
      <c r="L36" s="6">
        <f t="shared" ref="L36:L38" si="23">((J36/(D36*E36*F36*G36*H36*I36))+(K36/$C$33))^(-1)</f>
        <v>1.301489384</v>
      </c>
      <c r="M36" s="6">
        <f t="shared" ref="M36:M38" si="24">(sqrt(O28^2+3*Q28^2)/$E$33 + sqrt(3*(P28)^2)/$E$33)^-1</f>
        <v>5.5549476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56</v>
      </c>
      <c r="B37" s="25">
        <v>3.0</v>
      </c>
      <c r="C37" s="25">
        <v>2.8</v>
      </c>
      <c r="D37" s="8">
        <f t="shared" si="18"/>
        <v>0.9505446257</v>
      </c>
      <c r="E37" s="6">
        <f t="shared" si="19"/>
        <v>0.7560036126</v>
      </c>
      <c r="F37" s="8">
        <v>0.82</v>
      </c>
      <c r="G37" s="8">
        <v>1.0</v>
      </c>
      <c r="H37" s="8">
        <v>1.0</v>
      </c>
      <c r="I37" s="6">
        <f t="shared" si="20"/>
        <v>197.36</v>
      </c>
      <c r="J37" s="6">
        <f t="shared" si="21"/>
        <v>96.06745974</v>
      </c>
      <c r="K37" s="6">
        <f t="shared" si="22"/>
        <v>29.53501391</v>
      </c>
      <c r="L37" s="6">
        <f t="shared" si="23"/>
        <v>1.110030224</v>
      </c>
      <c r="M37" s="6">
        <f t="shared" si="24"/>
        <v>4.774332396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57</v>
      </c>
      <c r="B38" s="25">
        <v>3.0</v>
      </c>
      <c r="C38" s="25">
        <v>2.8</v>
      </c>
      <c r="D38" s="8">
        <f t="shared" si="18"/>
        <v>0.9505446257</v>
      </c>
      <c r="E38" s="6">
        <f t="shared" si="19"/>
        <v>0.7590340059</v>
      </c>
      <c r="F38" s="8">
        <v>0.82</v>
      </c>
      <c r="G38" s="8">
        <v>1.0</v>
      </c>
      <c r="H38" s="8">
        <v>1.0</v>
      </c>
      <c r="I38" s="6">
        <f t="shared" si="20"/>
        <v>197.36</v>
      </c>
      <c r="J38" s="6">
        <f t="shared" si="21"/>
        <v>91.82400893</v>
      </c>
      <c r="K38" s="6">
        <f t="shared" si="22"/>
        <v>32.87559928</v>
      </c>
      <c r="L38" s="6">
        <f t="shared" si="23"/>
        <v>1.149822715</v>
      </c>
      <c r="M38" s="6">
        <f t="shared" si="24"/>
        <v>4.631620691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 t="s">
        <v>10</v>
      </c>
      <c r="B41" s="10">
        <v>0.054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11</v>
      </c>
      <c r="B42" s="10">
        <v>0.07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2" t="s">
        <v>80</v>
      </c>
      <c r="B43" s="18">
        <v>0.055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2" t="s">
        <v>82</v>
      </c>
      <c r="B44" s="17">
        <f>B41+B42+B43</f>
        <v>0.179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83</v>
      </c>
      <c r="B45" s="11">
        <f>E16+E17</f>
        <v>0.145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2" t="s">
        <v>84</v>
      </c>
      <c r="B46" s="31">
        <f>E18+E19</f>
        <v>0.195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85</v>
      </c>
      <c r="B47" s="6">
        <f>B45+B46</f>
        <v>0.34</v>
      </c>
      <c r="C47" s="8" t="s">
        <v>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 t="s">
        <v>86</v>
      </c>
      <c r="B48" s="6">
        <f>E16+E16+E17+E18+E19+E19</f>
        <v>0.525</v>
      </c>
      <c r="C48" s="8" t="s">
        <v>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8" t="s">
        <v>87</v>
      </c>
      <c r="B49" s="6">
        <f>Max(D16:D19)</f>
        <v>0.285</v>
      </c>
      <c r="C49" s="8" t="s">
        <v>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8" t="s">
        <v>88</v>
      </c>
      <c r="B50" s="6">
        <f>B48*B49*B44</f>
        <v>0.026782875</v>
      </c>
      <c r="C50" s="8" t="s">
        <v>89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1" t="s">
        <v>90</v>
      </c>
      <c r="B52" s="32">
        <v>873600.0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8"/>
      <c r="N52" s="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 t="s">
        <v>53</v>
      </c>
      <c r="B53" s="8">
        <f t="shared" ref="B53:B55" si="25">$B$52*B28</f>
        <v>2271360000</v>
      </c>
      <c r="C53" s="8" t="s">
        <v>91</v>
      </c>
      <c r="D53" s="6"/>
      <c r="E53" s="6"/>
      <c r="F53" s="6"/>
      <c r="G53" s="6"/>
      <c r="H53" s="8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8" t="s">
        <v>56</v>
      </c>
      <c r="B54" s="8">
        <f t="shared" si="25"/>
        <v>941783414.6</v>
      </c>
      <c r="C54" s="8" t="s">
        <v>91</v>
      </c>
      <c r="D54" s="6"/>
      <c r="E54" s="6"/>
      <c r="F54" s="6"/>
      <c r="G54" s="6"/>
      <c r="H54" s="7"/>
      <c r="I54" s="6"/>
      <c r="J54" s="6"/>
      <c r="K54" s="6"/>
      <c r="L54" s="6"/>
      <c r="M54" s="16"/>
      <c r="N54" s="6"/>
      <c r="O54" s="1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8" t="s">
        <v>57</v>
      </c>
      <c r="B55" s="8">
        <f t="shared" si="25"/>
        <v>346972837</v>
      </c>
      <c r="C55" s="8" t="s">
        <v>91</v>
      </c>
      <c r="D55" s="6"/>
      <c r="E55" s="6"/>
      <c r="F55" s="6"/>
      <c r="G55" s="6"/>
      <c r="H55" s="7"/>
      <c r="I55" s="6"/>
      <c r="J55" s="6"/>
      <c r="K55" s="6"/>
      <c r="L55" s="6"/>
      <c r="M55" s="16"/>
      <c r="N55" s="6"/>
      <c r="O55" s="1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/>
      <c r="B56" s="8"/>
      <c r="C56" s="6"/>
      <c r="D56" s="6"/>
      <c r="E56" s="6"/>
      <c r="F56" s="6"/>
      <c r="G56" s="6"/>
      <c r="H56" s="7"/>
      <c r="I56" s="6"/>
      <c r="J56" s="6"/>
      <c r="K56" s="6"/>
      <c r="L56" s="6"/>
      <c r="M56" s="16"/>
      <c r="N56" s="6"/>
      <c r="O56" s="1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1" t="s">
        <v>92</v>
      </c>
      <c r="B57" s="1"/>
      <c r="C57" s="1" t="s">
        <v>55</v>
      </c>
      <c r="D57" s="1" t="s">
        <v>93</v>
      </c>
      <c r="E57" s="1" t="s">
        <v>61</v>
      </c>
      <c r="F57" s="1" t="s">
        <v>94</v>
      </c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8" t="s">
        <v>95</v>
      </c>
      <c r="B58" s="29" t="s">
        <v>96</v>
      </c>
      <c r="C58" s="10">
        <v>550.0</v>
      </c>
      <c r="D58" s="11">
        <f t="shared" ref="D58:D61" si="26">Convert(200,"GPa","MPa")</f>
        <v>200000</v>
      </c>
      <c r="E58" s="10">
        <v>0.285</v>
      </c>
      <c r="F58" s="8" t="s">
        <v>97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8" t="s">
        <v>75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8" t="s">
        <v>98</v>
      </c>
      <c r="B59" s="29" t="s">
        <v>99</v>
      </c>
      <c r="C59" s="10">
        <v>480.0</v>
      </c>
      <c r="D59" s="11">
        <f t="shared" si="26"/>
        <v>200000</v>
      </c>
      <c r="E59" s="10">
        <v>0.285</v>
      </c>
      <c r="F59" s="8" t="s">
        <v>100</v>
      </c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8" t="s">
        <v>101</v>
      </c>
      <c r="B60" s="29" t="s">
        <v>96</v>
      </c>
      <c r="C60" s="10">
        <f t="shared" ref="C60:C61" si="27">C58</f>
        <v>550</v>
      </c>
      <c r="D60" s="11">
        <f t="shared" si="26"/>
        <v>200000</v>
      </c>
      <c r="E60" s="10">
        <v>0.285</v>
      </c>
      <c r="F60" s="8" t="s">
        <v>97</v>
      </c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8" t="s">
        <v>102</v>
      </c>
      <c r="B61" s="29" t="s">
        <v>99</v>
      </c>
      <c r="C61" s="10">
        <f t="shared" si="27"/>
        <v>480</v>
      </c>
      <c r="D61" s="11">
        <f t="shared" si="26"/>
        <v>200000</v>
      </c>
      <c r="E61" s="10">
        <v>0.285</v>
      </c>
      <c r="F61" s="8" t="s">
        <v>100</v>
      </c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8"/>
      <c r="B62" s="6"/>
      <c r="C62" s="6"/>
      <c r="D62" s="6"/>
      <c r="E62" s="6"/>
      <c r="F62" s="6"/>
      <c r="G62" s="6"/>
      <c r="H62" s="6"/>
      <c r="I62" s="6"/>
      <c r="J62" s="8"/>
      <c r="K62" s="6"/>
      <c r="L62" s="6"/>
      <c r="M62" s="6"/>
      <c r="N62" s="6"/>
      <c r="O62" s="6"/>
      <c r="P62" s="8"/>
      <c r="Q62" s="8"/>
      <c r="R62" s="6"/>
      <c r="S62" s="6"/>
      <c r="T62" s="6"/>
      <c r="U62" s="6"/>
      <c r="V62" s="6"/>
      <c r="W62" s="8"/>
      <c r="X62" s="6"/>
      <c r="Y62" s="6"/>
      <c r="Z62" s="6"/>
      <c r="AA62" s="6"/>
      <c r="AB62" s="6"/>
      <c r="AC62" s="6"/>
    </row>
    <row r="63">
      <c r="A63" s="1" t="s">
        <v>103</v>
      </c>
      <c r="B63" s="1" t="s">
        <v>104</v>
      </c>
      <c r="C63" s="1" t="s">
        <v>105</v>
      </c>
      <c r="D63" s="1" t="s">
        <v>106</v>
      </c>
      <c r="E63" s="1" t="s">
        <v>107</v>
      </c>
      <c r="F63" s="1" t="s">
        <v>108</v>
      </c>
      <c r="G63" s="1" t="s">
        <v>109</v>
      </c>
      <c r="H63" s="1" t="s">
        <v>110</v>
      </c>
      <c r="I63" s="5"/>
      <c r="J63" s="33" t="s">
        <v>111</v>
      </c>
      <c r="K63" s="1" t="s">
        <v>112</v>
      </c>
      <c r="L63" s="1" t="s">
        <v>113</v>
      </c>
      <c r="M63" s="1" t="s">
        <v>114</v>
      </c>
      <c r="N63" s="1" t="s">
        <v>115</v>
      </c>
      <c r="O63" s="1" t="s">
        <v>116</v>
      </c>
      <c r="P63" s="33" t="s">
        <v>117</v>
      </c>
      <c r="Q63" s="1" t="s">
        <v>118</v>
      </c>
      <c r="R63" s="1" t="s">
        <v>75</v>
      </c>
      <c r="S63" s="6"/>
      <c r="T63" s="1" t="s">
        <v>119</v>
      </c>
      <c r="U63" s="1" t="s">
        <v>120</v>
      </c>
      <c r="V63" s="1" t="s">
        <v>121</v>
      </c>
      <c r="W63" s="1" t="s">
        <v>122</v>
      </c>
      <c r="X63" s="1" t="s">
        <v>116</v>
      </c>
      <c r="Y63" s="6"/>
      <c r="Z63" s="8"/>
      <c r="AA63" s="8"/>
      <c r="AB63" s="6"/>
      <c r="AC63" s="6"/>
    </row>
    <row r="64">
      <c r="A64" s="8" t="s">
        <v>95</v>
      </c>
      <c r="B64" s="6">
        <f>2.4*C58+237</f>
        <v>1557</v>
      </c>
      <c r="C64" s="6">
        <f t="shared" ref="C64:C65" si="28">2.466*B53^-0.056</f>
        <v>0.7379739941</v>
      </c>
      <c r="D64" s="6">
        <f>C58/C59</f>
        <v>1.145833333</v>
      </c>
      <c r="E64" s="8"/>
      <c r="F64" s="8">
        <v>1.0</v>
      </c>
      <c r="G64" s="8">
        <v>1.0</v>
      </c>
      <c r="H64" s="6">
        <f>B64*C64/(F64*G64)</f>
        <v>1149.025509</v>
      </c>
      <c r="I64" s="8"/>
      <c r="J64" s="34">
        <f>sqrt(2/((1-E58^2)/Convert(D58,"MPa","Pa") + (1-E59^2)/Convert(D59,"MPa","Pa")))</f>
        <v>466563.1271</v>
      </c>
      <c r="K64" s="35">
        <f>(PI() * Cos(Radians(B10)) * sin(RADIANS(B10)))/(1+D16/D17)</f>
        <v>0.7137452597</v>
      </c>
      <c r="L64" s="36">
        <v>1.0</v>
      </c>
      <c r="M64" s="36">
        <v>1.0</v>
      </c>
      <c r="N64" s="36">
        <v>1.2</v>
      </c>
      <c r="O64" s="6">
        <f t="shared" ref="O64:O67" si="29">X64</f>
        <v>1.628110616</v>
      </c>
      <c r="P64" s="37">
        <f>J64*(K16 * L64* M64* N64* O64 / (H16*D16*K64))^(1/2)</f>
        <v>807716217</v>
      </c>
      <c r="Q64" s="38">
        <f t="shared" ref="Q64:Q67" si="30">Convert(P64,"Pa","MPa")</f>
        <v>807.716217</v>
      </c>
      <c r="R64" s="21">
        <f t="shared" ref="R64:R67" si="31">H64/Q64</f>
        <v>1.4225609</v>
      </c>
      <c r="S64" s="6"/>
      <c r="T64" s="6">
        <f>50+56*(1-U64)</f>
        <v>59.77301852</v>
      </c>
      <c r="U64" s="6">
        <f>((12-V64)^(2/3))/4</f>
        <v>0.8254818122</v>
      </c>
      <c r="V64" s="8">
        <v>6.0</v>
      </c>
      <c r="W64" s="6">
        <f t="shared" ref="W64:W65" si="32">pi()*B28*D16/60</f>
        <v>11.57153294</v>
      </c>
      <c r="X64" s="6">
        <f t="shared" ref="X64:X67" si="33">((T64+SQRT(200*W64))/T64)^U64</f>
        <v>1.628110616</v>
      </c>
      <c r="Y64" s="6"/>
      <c r="Z64" s="7"/>
      <c r="AA64" s="6"/>
      <c r="AB64" s="6"/>
      <c r="AC64" s="6"/>
    </row>
    <row r="65">
      <c r="A65" s="8" t="s">
        <v>98</v>
      </c>
      <c r="B65" s="6">
        <f>2.22*C59+200</f>
        <v>1265.6</v>
      </c>
      <c r="C65" s="6">
        <f t="shared" si="28"/>
        <v>0.775267921</v>
      </c>
      <c r="D65" s="6">
        <f>C58/C59</f>
        <v>1.145833333</v>
      </c>
      <c r="E65" s="6">
        <f>1+(((8.89*10^-3)*D64)-(8.29*10^-3))*(B17/B16-1)</f>
        <v>1.002677353</v>
      </c>
      <c r="F65" s="8">
        <v>1.0</v>
      </c>
      <c r="G65" s="8">
        <v>1.0</v>
      </c>
      <c r="H65" s="6">
        <f>B65*C65*E65/(F65*G65)</f>
        <v>983.8060435</v>
      </c>
      <c r="I65" s="8"/>
      <c r="J65" s="34">
        <f>sqrt(2/((1-E58^2)/Convert(D58,"MPa","Pa") + (1-E59^2)/Convert(D59,"MPa","Pa")))</f>
        <v>466563.1271</v>
      </c>
      <c r="K65" s="35">
        <f>(PI() * Cos(Radians(B10)) * sin(RADIANS(B10)))/(1+D16/D17)</f>
        <v>0.7137452597</v>
      </c>
      <c r="L65" s="36">
        <v>1.0</v>
      </c>
      <c r="M65" s="36">
        <v>1.0</v>
      </c>
      <c r="N65" s="36">
        <v>1.1</v>
      </c>
      <c r="O65" s="6">
        <f t="shared" si="29"/>
        <v>1.628110616</v>
      </c>
      <c r="P65" s="37">
        <f>J65*(K17 * L65* M65* N65* O65 / (H17*D16*K65))^(1/2)</f>
        <v>804906760.7</v>
      </c>
      <c r="Q65" s="38">
        <f t="shared" si="30"/>
        <v>804.9067607</v>
      </c>
      <c r="R65" s="21">
        <f t="shared" si="31"/>
        <v>1.222260877</v>
      </c>
      <c r="S65" s="6"/>
      <c r="T65" s="6">
        <v>59.77301851547523</v>
      </c>
      <c r="U65" s="6">
        <v>0.8254818122236567</v>
      </c>
      <c r="V65" s="8">
        <v>6.0</v>
      </c>
      <c r="W65" s="6">
        <f t="shared" si="32"/>
        <v>11.57153294</v>
      </c>
      <c r="X65" s="6">
        <f t="shared" si="33"/>
        <v>1.628110616</v>
      </c>
      <c r="Y65" s="6"/>
      <c r="Z65" s="6"/>
      <c r="AA65" s="6"/>
      <c r="AB65" s="6"/>
      <c r="AC65" s="6"/>
    </row>
    <row r="66">
      <c r="A66" s="8" t="s">
        <v>101</v>
      </c>
      <c r="B66" s="6">
        <f>2.4*C60+237</f>
        <v>1557</v>
      </c>
      <c r="C66" s="6">
        <f t="shared" ref="C66:C67" si="34">2.466*B54^-0.056</f>
        <v>0.775267921</v>
      </c>
      <c r="D66" s="6">
        <f>C60/C61</f>
        <v>1.145833333</v>
      </c>
      <c r="E66" s="8"/>
      <c r="F66" s="8">
        <v>1.0</v>
      </c>
      <c r="G66" s="8">
        <v>1.0</v>
      </c>
      <c r="H66" s="6">
        <f>B66*C66/(F66*G66)</f>
        <v>1207.092153</v>
      </c>
      <c r="I66" s="8"/>
      <c r="J66" s="34">
        <f>sqrt(2/((1-E60^2)/Convert(D60,"MPa","Pa") + (1-E61^2)/Convert(D61,"MPa","Pa")))</f>
        <v>466563.1271</v>
      </c>
      <c r="K66" s="35">
        <f>(PI() * Cos(Radians(B10)) * sin(RADIANS(B10)))/(1+D18/D19)</f>
        <v>0.7378492272</v>
      </c>
      <c r="L66" s="36">
        <v>1.0</v>
      </c>
      <c r="M66" s="36">
        <v>1.0</v>
      </c>
      <c r="N66" s="36">
        <v>1.2</v>
      </c>
      <c r="O66" s="6">
        <f t="shared" si="29"/>
        <v>1.455724562</v>
      </c>
      <c r="P66" s="37">
        <f>J66*(K18 * L66* M66* N66* O66 / (H18*D18*K66))^(1/2)</f>
        <v>944368196.1</v>
      </c>
      <c r="Q66" s="38">
        <f t="shared" si="30"/>
        <v>944.3681961</v>
      </c>
      <c r="R66" s="21">
        <f t="shared" si="31"/>
        <v>1.278200767</v>
      </c>
      <c r="S66" s="6"/>
      <c r="T66" s="6">
        <v>59.77301851547523</v>
      </c>
      <c r="U66" s="6">
        <v>0.8254818122236567</v>
      </c>
      <c r="V66" s="8">
        <v>6.0</v>
      </c>
      <c r="W66" s="6">
        <f t="shared" ref="W66:W67" si="35">pi()*B29*D18/60</f>
        <v>5.926882726</v>
      </c>
      <c r="X66" s="6">
        <f t="shared" si="33"/>
        <v>1.455724562</v>
      </c>
      <c r="Y66" s="6"/>
      <c r="Z66" s="6"/>
      <c r="AA66" s="6"/>
      <c r="AB66" s="6"/>
      <c r="AC66" s="6"/>
    </row>
    <row r="67">
      <c r="A67" s="8" t="s">
        <v>102</v>
      </c>
      <c r="B67" s="6">
        <f>2.22*C59+200</f>
        <v>1265.6</v>
      </c>
      <c r="C67" s="6">
        <f t="shared" si="34"/>
        <v>0.8198540107</v>
      </c>
      <c r="D67" s="6">
        <f>C60/C61</f>
        <v>1.145833333</v>
      </c>
      <c r="E67" s="8">
        <f>1+(((8.89*10^-3)*D66)-(8.29*10^-3))*(B19/B18-1)</f>
        <v>1.003251071</v>
      </c>
      <c r="F67" s="8">
        <v>1.0</v>
      </c>
      <c r="G67" s="8">
        <v>1.0</v>
      </c>
      <c r="H67" s="6">
        <f>B67*C67*E67/(F67*G67)</f>
        <v>1040.980571</v>
      </c>
      <c r="I67" s="8"/>
      <c r="J67" s="34">
        <f>sqrt(2/((1-E60^2)/Convert(D60,"MPa","Pa") + (1-E61^2)/Convert(D61,"MPa","Pa")))</f>
        <v>466563.1271</v>
      </c>
      <c r="K67" s="35">
        <f>(PI() * Cos(Radians(B10)) * sin(RADIANS(B10)))/(1+D18/D19)</f>
        <v>0.7378492272</v>
      </c>
      <c r="L67" s="36">
        <v>1.0</v>
      </c>
      <c r="M67" s="36">
        <v>1.0</v>
      </c>
      <c r="N67" s="36">
        <v>1.1</v>
      </c>
      <c r="O67" s="6">
        <f t="shared" si="29"/>
        <v>1.455724562</v>
      </c>
      <c r="P67" s="37">
        <f>J67*(K19 * L67* M67* N67* O67 / (H19*D18*K67))^(1/2)</f>
        <v>941083427.2</v>
      </c>
      <c r="Q67" s="38">
        <f t="shared" si="30"/>
        <v>941.0834272</v>
      </c>
      <c r="R67" s="21">
        <f t="shared" si="31"/>
        <v>1.106151209</v>
      </c>
      <c r="S67" s="6"/>
      <c r="T67" s="6">
        <v>59.77301851547523</v>
      </c>
      <c r="U67" s="6">
        <v>0.8254818122236567</v>
      </c>
      <c r="V67" s="8">
        <v>6.0</v>
      </c>
      <c r="W67" s="6">
        <f t="shared" si="35"/>
        <v>5.926882726</v>
      </c>
      <c r="X67" s="6">
        <f t="shared" si="33"/>
        <v>1.455724562</v>
      </c>
      <c r="Y67" s="6"/>
      <c r="Z67" s="6"/>
      <c r="AA67" s="6"/>
      <c r="AB67" s="6"/>
      <c r="AC67" s="6"/>
    </row>
    <row r="68">
      <c r="A68" s="6"/>
      <c r="B68" s="6"/>
      <c r="C68" s="6"/>
      <c r="D68" s="6"/>
      <c r="E68" s="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1" t="s">
        <v>123</v>
      </c>
      <c r="B69" s="1" t="s">
        <v>124</v>
      </c>
      <c r="C69" s="1" t="s">
        <v>125</v>
      </c>
      <c r="D69" s="1" t="s">
        <v>126</v>
      </c>
      <c r="E69" s="1" t="s">
        <v>127</v>
      </c>
      <c r="F69" s="1" t="s">
        <v>128</v>
      </c>
      <c r="G69" s="5"/>
      <c r="H69" s="1" t="s">
        <v>129</v>
      </c>
      <c r="I69" s="1" t="s">
        <v>130</v>
      </c>
      <c r="J69" s="1" t="s">
        <v>68</v>
      </c>
      <c r="K69" s="1" t="s">
        <v>71</v>
      </c>
      <c r="L69" s="1" t="s">
        <v>131</v>
      </c>
      <c r="M69" s="1" t="s">
        <v>132</v>
      </c>
      <c r="N69" s="1" t="s">
        <v>133</v>
      </c>
      <c r="O69" s="1" t="s">
        <v>117</v>
      </c>
      <c r="P69" s="1" t="s">
        <v>134</v>
      </c>
      <c r="Q69" s="1" t="s">
        <v>75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95</v>
      </c>
      <c r="B70" s="6">
        <f>0.703*C58+113</f>
        <v>499.65</v>
      </c>
      <c r="C70" s="6">
        <f t="shared" ref="C70:C71" si="37">1.683*B53^(-0.0323)</f>
        <v>0.8392204904</v>
      </c>
      <c r="D70" s="8">
        <v>1.0</v>
      </c>
      <c r="E70" s="8">
        <v>1.0</v>
      </c>
      <c r="F70" s="6">
        <f t="shared" ref="F70:F73" si="38">B70*C70/(D70*E70)</f>
        <v>419.316518</v>
      </c>
      <c r="G70" s="6"/>
      <c r="H70" s="36">
        <v>0.35</v>
      </c>
      <c r="I70" s="36">
        <v>1.0</v>
      </c>
      <c r="J70" s="36">
        <f t="shared" ref="J70:L70" si="36">M64</f>
        <v>1</v>
      </c>
      <c r="K70" s="39">
        <f t="shared" si="36"/>
        <v>1.2</v>
      </c>
      <c r="L70" s="6">
        <f t="shared" si="36"/>
        <v>1.628110616</v>
      </c>
      <c r="M70" s="36">
        <v>1.0</v>
      </c>
      <c r="N70" s="36">
        <v>1.0</v>
      </c>
      <c r="O70" s="6">
        <f t="shared" ref="O70:O73" si="40">K16/(H16*H70*$B$7) *I70*J70*K70*L70*M70*N70</f>
        <v>103901278.8</v>
      </c>
      <c r="P70" s="38">
        <f t="shared" ref="P70:P73" si="41">Convert(O70,"Pa","MPa")</f>
        <v>103.9012788</v>
      </c>
      <c r="Q70" s="21">
        <f t="shared" ref="Q70:Q73" si="42">F70/P70</f>
        <v>4.035720473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" t="s">
        <v>98</v>
      </c>
      <c r="B71" s="6">
        <f>0.533*C59+88.3</f>
        <v>344.14</v>
      </c>
      <c r="C71" s="6">
        <f t="shared" si="37"/>
        <v>0.8634267459</v>
      </c>
      <c r="D71" s="8">
        <v>1.0</v>
      </c>
      <c r="E71" s="8">
        <v>1.0</v>
      </c>
      <c r="F71" s="6">
        <f t="shared" si="38"/>
        <v>297.1396803</v>
      </c>
      <c r="G71" s="6"/>
      <c r="H71" s="36">
        <v>0.42</v>
      </c>
      <c r="I71" s="36">
        <v>1.0</v>
      </c>
      <c r="J71" s="36">
        <f t="shared" ref="J71:L71" si="39">M65</f>
        <v>1</v>
      </c>
      <c r="K71" s="39">
        <f t="shared" si="39"/>
        <v>1.1</v>
      </c>
      <c r="L71" s="6">
        <f t="shared" si="39"/>
        <v>1.628110616</v>
      </c>
      <c r="M71" s="36">
        <v>1.0</v>
      </c>
      <c r="N71" s="36">
        <v>1.0</v>
      </c>
      <c r="O71" s="6">
        <f t="shared" si="40"/>
        <v>85983118.46</v>
      </c>
      <c r="P71" s="38">
        <f t="shared" si="41"/>
        <v>85.98311846</v>
      </c>
      <c r="Q71" s="21">
        <f t="shared" si="42"/>
        <v>3.455790924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8" t="s">
        <v>101</v>
      </c>
      <c r="B72" s="6">
        <f>0.703*C60+113</f>
        <v>499.65</v>
      </c>
      <c r="C72" s="6">
        <f t="shared" ref="C72:C73" si="44">1.683*B54^(-0.0323)</f>
        <v>0.8634267459</v>
      </c>
      <c r="D72" s="8">
        <v>1.0</v>
      </c>
      <c r="E72" s="8">
        <v>1.0</v>
      </c>
      <c r="F72" s="6">
        <f t="shared" si="38"/>
        <v>431.4111736</v>
      </c>
      <c r="G72" s="6"/>
      <c r="H72" s="36">
        <v>0.35</v>
      </c>
      <c r="I72" s="36">
        <v>1.0</v>
      </c>
      <c r="J72" s="36">
        <f t="shared" ref="J72:L72" si="43">M66</f>
        <v>1</v>
      </c>
      <c r="K72" s="39">
        <f t="shared" si="43"/>
        <v>1.2</v>
      </c>
      <c r="L72" s="6">
        <f t="shared" si="43"/>
        <v>1.455724562</v>
      </c>
      <c r="M72" s="36">
        <v>1.0</v>
      </c>
      <c r="N72" s="36">
        <v>1.0</v>
      </c>
      <c r="O72" s="6">
        <f t="shared" si="40"/>
        <v>181376391.1</v>
      </c>
      <c r="P72" s="38">
        <f t="shared" si="41"/>
        <v>181.3763911</v>
      </c>
      <c r="Q72" s="21">
        <f t="shared" si="42"/>
        <v>2.37854095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8" t="s">
        <v>102</v>
      </c>
      <c r="B73" s="6">
        <f>0.533*C61+88.3</f>
        <v>344.14</v>
      </c>
      <c r="C73" s="6">
        <f t="shared" si="44"/>
        <v>0.891728346</v>
      </c>
      <c r="D73" s="8">
        <v>1.0</v>
      </c>
      <c r="E73" s="8">
        <v>1.0</v>
      </c>
      <c r="F73" s="6">
        <f t="shared" si="38"/>
        <v>306.879393</v>
      </c>
      <c r="G73" s="6"/>
      <c r="H73" s="36">
        <v>0.42</v>
      </c>
      <c r="I73" s="36">
        <v>1.0</v>
      </c>
      <c r="J73" s="36">
        <f t="shared" ref="J73:L73" si="45">M67</f>
        <v>1</v>
      </c>
      <c r="K73" s="39">
        <f t="shared" si="45"/>
        <v>1.1</v>
      </c>
      <c r="L73" s="6">
        <f t="shared" si="45"/>
        <v>1.455724562</v>
      </c>
      <c r="M73" s="36">
        <v>1.0</v>
      </c>
      <c r="N73" s="36">
        <v>1.0</v>
      </c>
      <c r="O73" s="6">
        <f t="shared" si="40"/>
        <v>150097360.7</v>
      </c>
      <c r="P73" s="38">
        <f t="shared" si="41"/>
        <v>150.0973607</v>
      </c>
      <c r="Q73" s="21">
        <f t="shared" si="42"/>
        <v>2.04453557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1" t="s">
        <v>135</v>
      </c>
      <c r="B75" s="1" t="s">
        <v>136</v>
      </c>
      <c r="C75" s="1" t="s">
        <v>137</v>
      </c>
      <c r="D75" s="1" t="s">
        <v>138</v>
      </c>
      <c r="E75" s="1" t="s">
        <v>139</v>
      </c>
      <c r="F75" s="1" t="s">
        <v>9</v>
      </c>
      <c r="G75" s="1" t="s">
        <v>140</v>
      </c>
      <c r="H75" s="40" t="s">
        <v>141</v>
      </c>
      <c r="I75" s="41" t="s">
        <v>142</v>
      </c>
      <c r="J75" s="40" t="s">
        <v>143</v>
      </c>
      <c r="K75" s="42" t="s">
        <v>144</v>
      </c>
      <c r="L75" s="1" t="s">
        <v>145</v>
      </c>
      <c r="M75" s="1" t="s">
        <v>143</v>
      </c>
      <c r="N75" s="1" t="s">
        <v>146</v>
      </c>
      <c r="O75" s="1" t="s">
        <v>147</v>
      </c>
      <c r="P75" s="1" t="s">
        <v>148</v>
      </c>
      <c r="Q75" s="1" t="s">
        <v>149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8" t="s">
        <v>53</v>
      </c>
      <c r="B76" s="8">
        <v>14560.0</v>
      </c>
      <c r="C76" s="6">
        <f t="shared" ref="C76:C78" si="46">B28</f>
        <v>2600</v>
      </c>
      <c r="D76" s="6">
        <f t="shared" ref="D76:D78" si="47">B76*60*C76*10^-6</f>
        <v>2271.36</v>
      </c>
      <c r="E76" s="8">
        <v>1.0</v>
      </c>
      <c r="F76" s="8">
        <v>3.0</v>
      </c>
      <c r="G76" s="6">
        <f t="shared" ref="G76:G78" si="48">MAX(L28:M28)</f>
        <v>1978.021401</v>
      </c>
      <c r="H76" s="13">
        <v>1.0</v>
      </c>
      <c r="I76" s="12">
        <f t="shared" ref="I76:I78" si="49">E76*G76</f>
        <v>1978.021401</v>
      </c>
      <c r="J76" s="12">
        <f t="shared" ref="J76:J78" si="50">I76*D76^(1/F76)</f>
        <v>26001.17517</v>
      </c>
      <c r="K76" s="43">
        <v>6209.0</v>
      </c>
      <c r="L76" s="44" t="s">
        <v>153</v>
      </c>
      <c r="M76" s="8">
        <v>35100.0</v>
      </c>
      <c r="N76" s="8">
        <v>21600.0</v>
      </c>
      <c r="O76" s="8">
        <v>0.045</v>
      </c>
      <c r="P76" s="8">
        <v>0.085</v>
      </c>
      <c r="Q76" s="8">
        <v>0.019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8" t="s">
        <v>56</v>
      </c>
      <c r="B77" s="8">
        <v>14560.0</v>
      </c>
      <c r="C77" s="6">
        <f t="shared" si="46"/>
        <v>1078.04878</v>
      </c>
      <c r="D77" s="6">
        <f t="shared" si="47"/>
        <v>941.7834146</v>
      </c>
      <c r="E77" s="8">
        <v>1.0</v>
      </c>
      <c r="F77" s="8">
        <v>3.0</v>
      </c>
      <c r="G77" s="6">
        <f t="shared" si="48"/>
        <v>10370.42401</v>
      </c>
      <c r="H77" s="13">
        <v>1.0</v>
      </c>
      <c r="I77" s="12">
        <f t="shared" si="49"/>
        <v>10370.42401</v>
      </c>
      <c r="J77" s="12">
        <f t="shared" si="50"/>
        <v>101651.4379</v>
      </c>
      <c r="K77" s="43">
        <v>6313.0</v>
      </c>
      <c r="L77" s="45" t="s">
        <v>151</v>
      </c>
      <c r="M77" s="8">
        <v>97500.0</v>
      </c>
      <c r="N77" s="8">
        <v>60000.0</v>
      </c>
      <c r="O77" s="8">
        <v>0.065</v>
      </c>
      <c r="P77" s="8">
        <v>0.14</v>
      </c>
      <c r="Q77" s="8">
        <v>0.033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8" t="s">
        <v>57</v>
      </c>
      <c r="B78" s="8">
        <v>14560.0</v>
      </c>
      <c r="C78" s="6">
        <f t="shared" si="46"/>
        <v>397.1758665</v>
      </c>
      <c r="D78" s="6">
        <f t="shared" si="47"/>
        <v>346.972837</v>
      </c>
      <c r="E78" s="8">
        <v>1.0</v>
      </c>
      <c r="F78" s="8">
        <v>3.0</v>
      </c>
      <c r="G78" s="6">
        <f t="shared" si="48"/>
        <v>8776.934788</v>
      </c>
      <c r="H78" s="13">
        <v>1.0</v>
      </c>
      <c r="I78" s="12">
        <f t="shared" si="49"/>
        <v>8776.934788</v>
      </c>
      <c r="J78" s="12">
        <f t="shared" si="50"/>
        <v>61674.83987</v>
      </c>
      <c r="K78" s="43">
        <v>6311.0</v>
      </c>
      <c r="L78" s="45" t="s">
        <v>154</v>
      </c>
      <c r="M78" s="8">
        <v>74100.0</v>
      </c>
      <c r="N78" s="8">
        <v>45000.0</v>
      </c>
      <c r="O78" s="8">
        <v>0.055</v>
      </c>
      <c r="P78" s="8">
        <v>0.12</v>
      </c>
      <c r="Q78" s="8">
        <v>0.029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B58"/>
    <hyperlink r:id="rId3" ref="B59"/>
    <hyperlink r:id="rId4" ref="B60"/>
    <hyperlink r:id="rId5" ref="B61"/>
    <hyperlink r:id="rId6" ref="L76"/>
    <hyperlink r:id="rId7" ref="L77"/>
    <hyperlink r:id="rId8" ref="L7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2" max="2" width="15.0"/>
    <col customWidth="1" min="3" max="3" width="10.5"/>
    <col customWidth="1" min="4" max="4" width="13.5"/>
    <col customWidth="1" min="5" max="5" width="11.63"/>
    <col customWidth="1" min="6" max="6" width="11.75"/>
    <col customWidth="1" min="7" max="7" width="10.38"/>
    <col customWidth="1" min="8" max="8" width="11.38"/>
    <col customWidth="1" min="9" max="9" width="7.88"/>
    <col customWidth="1" min="10" max="10" width="8.63"/>
    <col customWidth="1" min="11" max="11" width="9.13"/>
    <col customWidth="1" min="12" max="12" width="7.0"/>
    <col customWidth="1" min="13" max="13" width="8.88"/>
    <col customWidth="1" min="14" max="14" width="10.5"/>
    <col customWidth="1" min="15" max="15" width="12.25"/>
    <col customWidth="1" min="16" max="17" width="13.38"/>
    <col customWidth="1" min="18" max="19" width="4.38"/>
    <col customWidth="1" min="20" max="20" width="6.0"/>
    <col customWidth="1" min="21" max="22" width="5.5"/>
    <col customWidth="1" min="23" max="23" width="5.75"/>
    <col customWidth="1" min="24" max="24" width="5.13"/>
  </cols>
  <sheetData>
    <row r="1">
      <c r="A1" s="1" t="s">
        <v>0</v>
      </c>
      <c r="B1" s="2"/>
      <c r="C1" s="2"/>
      <c r="D1" s="2"/>
      <c r="E1" s="3"/>
      <c r="F1" s="4"/>
      <c r="G1" s="5" t="s">
        <v>1</v>
      </c>
      <c r="H1" s="5"/>
      <c r="I1" s="3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 t="s">
        <v>11</v>
      </c>
      <c r="B9" s="46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3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4" t="s">
        <v>15</v>
      </c>
      <c r="B15" s="14" t="s">
        <v>16</v>
      </c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8" t="s">
        <v>27</v>
      </c>
      <c r="R15" s="8" t="s">
        <v>28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29</v>
      </c>
      <c r="B16" s="10">
        <v>19.0</v>
      </c>
      <c r="C16" s="6" t="s">
        <v>30</v>
      </c>
      <c r="D16" s="16">
        <f t="shared" ref="D16:D19" si="1">B16*$B$7</f>
        <v>0.095</v>
      </c>
      <c r="E16" s="47">
        <f t="shared" ref="E16:E19" si="2">D16/2</f>
        <v>0.0475</v>
      </c>
      <c r="F16" s="16">
        <f t="shared" ref="F16:F19" si="3">D16+2*$B$8</f>
        <v>0.105</v>
      </c>
      <c r="G16" s="16">
        <f t="shared" ref="G16:G19" si="4">D16-2*$B$9</f>
        <v>0.0825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5412.556769</v>
      </c>
      <c r="L16" s="16">
        <f t="shared" ref="L16:L19" si="7">M16*sin(RADIANS($B$10))</f>
        <v>1970.009555</v>
      </c>
      <c r="M16" s="16">
        <f t="shared" ref="M16:M19" si="8">K16/cos(RADIANS($B$10))</f>
        <v>5759.922606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31</v>
      </c>
      <c r="B17" s="10">
        <v>47.0</v>
      </c>
      <c r="C17" s="6" t="s">
        <v>30</v>
      </c>
      <c r="D17" s="16">
        <f t="shared" si="1"/>
        <v>0.235</v>
      </c>
      <c r="E17" s="48">
        <f t="shared" si="2"/>
        <v>0.1175</v>
      </c>
      <c r="F17" s="16">
        <f t="shared" si="3"/>
        <v>0.245</v>
      </c>
      <c r="G17" s="16">
        <f t="shared" si="4"/>
        <v>0.2225</v>
      </c>
      <c r="H17" s="16">
        <f>12*B7</f>
        <v>0.06</v>
      </c>
      <c r="I17" s="16" t="s">
        <v>9</v>
      </c>
      <c r="J17" s="16">
        <f t="shared" si="5"/>
        <v>635.9754204</v>
      </c>
      <c r="K17" s="16">
        <f t="shared" si="6"/>
        <v>5412.556769</v>
      </c>
      <c r="L17" s="16">
        <f t="shared" si="7"/>
        <v>1970.009555</v>
      </c>
      <c r="M17" s="16">
        <f t="shared" si="8"/>
        <v>5759.922606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32</v>
      </c>
      <c r="B18" s="10">
        <v>27.0</v>
      </c>
      <c r="C18" s="6" t="s">
        <v>30</v>
      </c>
      <c r="D18" s="16">
        <f t="shared" si="1"/>
        <v>0.135</v>
      </c>
      <c r="E18" s="48">
        <f t="shared" si="2"/>
        <v>0.0675</v>
      </c>
      <c r="F18" s="16">
        <f t="shared" si="3"/>
        <v>0.145</v>
      </c>
      <c r="G18" s="16">
        <f t="shared" si="4"/>
        <v>0.1225</v>
      </c>
      <c r="H18" s="16">
        <f>13*B7</f>
        <v>0.065</v>
      </c>
      <c r="I18" s="16" t="s">
        <v>9</v>
      </c>
      <c r="J18" s="16">
        <f t="shared" ref="J18:J19" si="9">60*O18/(2*pi()*B29)</f>
        <v>635.9754204</v>
      </c>
      <c r="K18" s="16">
        <f t="shared" si="6"/>
        <v>9421.85808</v>
      </c>
      <c r="L18" s="16">
        <f t="shared" si="7"/>
        <v>3429.275892</v>
      </c>
      <c r="M18" s="16">
        <f t="shared" si="8"/>
        <v>10026.53194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7" t="s">
        <v>33</v>
      </c>
      <c r="B19" s="18">
        <v>71.0</v>
      </c>
      <c r="C19" s="17" t="s">
        <v>30</v>
      </c>
      <c r="D19" s="17">
        <f t="shared" si="1"/>
        <v>0.355</v>
      </c>
      <c r="E19" s="49">
        <f t="shared" si="2"/>
        <v>0.1775</v>
      </c>
      <c r="F19" s="19">
        <f t="shared" si="3"/>
        <v>0.365</v>
      </c>
      <c r="G19" s="19">
        <f t="shared" si="4"/>
        <v>0.3425</v>
      </c>
      <c r="H19" s="19">
        <f>12*B7</f>
        <v>0.06</v>
      </c>
      <c r="I19" s="19" t="s">
        <v>9</v>
      </c>
      <c r="J19" s="19">
        <f t="shared" si="9"/>
        <v>1672.379809</v>
      </c>
      <c r="K19" s="17">
        <f t="shared" si="6"/>
        <v>9421.85808</v>
      </c>
      <c r="L19" s="17">
        <f t="shared" si="7"/>
        <v>3429.275892</v>
      </c>
      <c r="M19" s="19">
        <f t="shared" si="8"/>
        <v>10026.53194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7</v>
      </c>
      <c r="B20" s="6">
        <f>B19*B17/(B16*B18)</f>
        <v>6.504873294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5</v>
      </c>
      <c r="B21" s="21">
        <f>2600/B20</f>
        <v>399.7003296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2" t="s">
        <v>34</v>
      </c>
      <c r="B22" s="50">
        <f>(B21-B3)/B3</f>
        <v>-0.0007491759065</v>
      </c>
      <c r="C22" s="22"/>
      <c r="D22" s="6"/>
      <c r="E22" s="6"/>
      <c r="F22" s="6"/>
      <c r="G22" s="6">
        <f>H17/D16</f>
        <v>0.6315789474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>
        <f>B19/B18</f>
        <v>2.62962963</v>
      </c>
      <c r="G23" s="6">
        <f>H19/D18</f>
        <v>0.4444444444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35</v>
      </c>
      <c r="B24" s="6">
        <f>B16/B17</f>
        <v>0.4042553191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36</v>
      </c>
      <c r="B25" s="6">
        <f>B18/B19</f>
        <v>0.3802816901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8" t="s">
        <v>155</v>
      </c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6"/>
      <c r="T27" s="1" t="s">
        <v>156</v>
      </c>
      <c r="U27" s="1" t="s">
        <v>157</v>
      </c>
      <c r="V27" s="1" t="s">
        <v>158</v>
      </c>
      <c r="W27" s="6"/>
      <c r="X27" s="6"/>
      <c r="Y27" s="6"/>
      <c r="Z27" s="6"/>
      <c r="AA27" s="6"/>
      <c r="AB27" s="6"/>
      <c r="AC27" s="6"/>
    </row>
    <row r="28">
      <c r="A28" s="8" t="s">
        <v>53</v>
      </c>
      <c r="B28" s="24">
        <f>B2</f>
        <v>2600</v>
      </c>
      <c r="C28" s="8" t="s">
        <v>3</v>
      </c>
      <c r="D28" s="25">
        <v>0.045</v>
      </c>
      <c r="E28" s="8">
        <f t="shared" ref="E28:F28" si="10">K16-G28</f>
        <v>1546.444791</v>
      </c>
      <c r="F28" s="6">
        <f t="shared" si="10"/>
        <v>562.8598729</v>
      </c>
      <c r="G28" s="6">
        <f>(B41+B42)*K16/(B44)</f>
        <v>3866.111978</v>
      </c>
      <c r="H28" s="6">
        <f>(B41+B42)*L16/(B44)</f>
        <v>1407.149682</v>
      </c>
      <c r="I28" s="13" t="s">
        <v>16</v>
      </c>
      <c r="J28" s="26">
        <f>-(F28)*(B41+B42)</f>
        <v>-70.35748412</v>
      </c>
      <c r="K28" s="26">
        <f>E28*(B41+B42)</f>
        <v>193.3055989</v>
      </c>
      <c r="L28" s="6">
        <f t="shared" ref="L28:L30" si="11">SQRT(J28^2+K28^2)</f>
        <v>205.7115216</v>
      </c>
      <c r="M28" s="6">
        <f t="shared" ref="M28:M30" si="12">SQRT(E28^2 + F28^2)</f>
        <v>1645.692173</v>
      </c>
      <c r="N28" s="6">
        <f t="shared" ref="N28:N30" si="13">SQRt(G28^2+H28^2)</f>
        <v>4114.230433</v>
      </c>
      <c r="O28" s="6">
        <f t="shared" ref="O28:O30" si="14">Convert(32*L28/(PI()*D28^3),"Pa","MPa")</f>
        <v>22.9943523</v>
      </c>
      <c r="P28" s="6">
        <f t="shared" ref="P28:P30" si="15">Convert(16*J16/(PI()*D28^3),"Pa","MPa")</f>
        <v>14.36906941</v>
      </c>
      <c r="Q28" s="6">
        <f t="shared" ref="Q28:Q30" si="16">Convert(MAX(M28,N28) * 16 / (3*Pi()*D28^2),"Pa","MPa")</f>
        <v>3.449152845</v>
      </c>
      <c r="R28" s="8" t="s">
        <v>54</v>
      </c>
      <c r="S28" s="8"/>
      <c r="T28" s="6">
        <f t="shared" ref="T28:T30" si="17">O28</f>
        <v>22.9943523</v>
      </c>
      <c r="U28" s="8">
        <f t="shared" ref="U28:U30" si="18">P28/2</f>
        <v>7.184534706</v>
      </c>
      <c r="V28" s="6">
        <f t="shared" ref="V28:V30" si="19">Q28+P28/2</f>
        <v>10.63368755</v>
      </c>
      <c r="W28" s="6"/>
      <c r="X28" s="6"/>
      <c r="Y28" s="6"/>
      <c r="Z28" s="6"/>
      <c r="AA28" s="6"/>
      <c r="AB28" s="6"/>
      <c r="AC28" s="6"/>
    </row>
    <row r="29">
      <c r="A29" s="8" t="s">
        <v>56</v>
      </c>
      <c r="B29" s="24">
        <f>B2*B16/B17</f>
        <v>1051.06383</v>
      </c>
      <c r="C29" s="8" t="s">
        <v>3</v>
      </c>
      <c r="D29" s="25">
        <v>0.06</v>
      </c>
      <c r="E29" s="8">
        <f>K17+K18-G29</f>
        <v>8007.147474</v>
      </c>
      <c r="F29" s="6">
        <f>L18-L17+H29</f>
        <v>1788.643596</v>
      </c>
      <c r="G29" s="6">
        <f>(B41*K18+K17*(B41+B42))/B44</f>
        <v>6827.267374</v>
      </c>
      <c r="H29" s="6">
        <f>(L16*(B41+B42)-L18*B41)/B44</f>
        <v>329.377259</v>
      </c>
      <c r="I29" s="13" t="s">
        <v>16</v>
      </c>
      <c r="J29" s="26">
        <f>-F29*B41</f>
        <v>-98.37539779</v>
      </c>
      <c r="K29" s="27">
        <f>-E29*B41</f>
        <v>-440.3931111</v>
      </c>
      <c r="L29" s="6">
        <f t="shared" si="11"/>
        <v>451.2469514</v>
      </c>
      <c r="M29" s="6">
        <f t="shared" si="12"/>
        <v>8204.490026</v>
      </c>
      <c r="N29" s="6">
        <f t="shared" si="13"/>
        <v>6835.208057</v>
      </c>
      <c r="O29" s="6">
        <f t="shared" si="14"/>
        <v>21.27946159</v>
      </c>
      <c r="P29" s="6">
        <f t="shared" si="15"/>
        <v>14.99535286</v>
      </c>
      <c r="Q29" s="6">
        <f t="shared" si="16"/>
        <v>3.868993017</v>
      </c>
      <c r="R29" s="8" t="s">
        <v>54</v>
      </c>
      <c r="S29" s="8"/>
      <c r="T29" s="6">
        <f t="shared" si="17"/>
        <v>21.27946159</v>
      </c>
      <c r="U29" s="8">
        <f t="shared" si="18"/>
        <v>7.497676432</v>
      </c>
      <c r="V29" s="6">
        <f t="shared" si="19"/>
        <v>11.36666945</v>
      </c>
      <c r="W29" s="6"/>
      <c r="X29" s="6"/>
      <c r="Y29" s="6"/>
      <c r="Z29" s="6"/>
      <c r="AA29" s="6"/>
      <c r="AB29" s="6"/>
      <c r="AC29" s="6"/>
    </row>
    <row r="30">
      <c r="A30" s="8" t="s">
        <v>57</v>
      </c>
      <c r="B30" s="24">
        <f>B21</f>
        <v>399.7003296</v>
      </c>
      <c r="C30" s="8" t="s">
        <v>3</v>
      </c>
      <c r="D30" s="25">
        <v>0.055</v>
      </c>
      <c r="E30" s="8">
        <f t="shared" ref="E30:F30" si="20">K18-G30</f>
        <v>6460.702683</v>
      </c>
      <c r="F30" s="6">
        <f t="shared" si="20"/>
        <v>2351.503469</v>
      </c>
      <c r="G30" s="6">
        <f>B41*K18/B44</f>
        <v>2961.155396</v>
      </c>
      <c r="H30" s="6">
        <f>B41*L18/B44</f>
        <v>1077.772423</v>
      </c>
      <c r="I30" s="13" t="s">
        <v>16</v>
      </c>
      <c r="J30" s="26">
        <f>(F30)*(B43)</f>
        <v>117.5751735</v>
      </c>
      <c r="K30" s="26">
        <f>E30*(B43)</f>
        <v>323.0351342</v>
      </c>
      <c r="L30" s="6">
        <f t="shared" si="11"/>
        <v>343.7668095</v>
      </c>
      <c r="M30" s="6">
        <f t="shared" si="12"/>
        <v>6875.33619</v>
      </c>
      <c r="N30" s="6">
        <f t="shared" si="13"/>
        <v>3151.195754</v>
      </c>
      <c r="O30" s="6">
        <f t="shared" si="14"/>
        <v>21.04631085</v>
      </c>
      <c r="P30" s="6">
        <f t="shared" si="15"/>
        <v>19.46804639</v>
      </c>
      <c r="Q30" s="6">
        <f t="shared" si="16"/>
        <v>3.858490323</v>
      </c>
      <c r="R30" s="8" t="s">
        <v>54</v>
      </c>
      <c r="S30" s="8"/>
      <c r="T30" s="6">
        <f t="shared" si="17"/>
        <v>21.04631085</v>
      </c>
      <c r="U30" s="8">
        <f t="shared" si="18"/>
        <v>9.734023197</v>
      </c>
      <c r="V30" s="6">
        <f t="shared" si="19"/>
        <v>13.59251352</v>
      </c>
      <c r="W30" s="6"/>
      <c r="X30" s="6"/>
      <c r="Y30" s="6"/>
      <c r="Z30" s="6"/>
      <c r="AA30" s="6"/>
      <c r="AB30" s="6"/>
      <c r="AC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9" t="s">
        <v>159</v>
      </c>
      <c r="B33" s="10">
        <v>200000.0</v>
      </c>
      <c r="C33" s="10">
        <v>565.0</v>
      </c>
      <c r="D33" s="10">
        <v>0.285</v>
      </c>
      <c r="E33" s="10">
        <v>310.0</v>
      </c>
      <c r="F33" s="6"/>
      <c r="G33" s="6">
        <f>0.557*E33/1.1</f>
        <v>156.9727273</v>
      </c>
      <c r="H33" s="6">
        <f>(16*J19/(PI() * G33))^(1/3)</f>
        <v>3.785822726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30" t="s">
        <v>73</v>
      </c>
      <c r="K35" s="30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53</v>
      </c>
      <c r="B36" s="25">
        <v>3.0</v>
      </c>
      <c r="C36" s="25">
        <v>2.8</v>
      </c>
      <c r="D36" s="8">
        <f t="shared" ref="D36:D38" si="21">1.58*($C$33)^-0.085</f>
        <v>0.9220043475</v>
      </c>
      <c r="E36" s="6">
        <f t="shared" ref="E36:E38" si="22">1.189*(Convert(D28,"m","mm"))^-0.112</f>
        <v>0.7762865347</v>
      </c>
      <c r="F36" s="8">
        <v>0.82</v>
      </c>
      <c r="G36" s="8">
        <v>1.0</v>
      </c>
      <c r="H36" s="8">
        <v>1.0</v>
      </c>
      <c r="I36" s="6">
        <f t="shared" ref="I36:I38" si="23">0.5*$C$33</f>
        <v>282.5</v>
      </c>
      <c r="J36" s="6">
        <f t="shared" ref="J36:J38" si="24">sqrt((B36*T28)^2+3*(C36*V28)^2)</f>
        <v>86.12893505</v>
      </c>
      <c r="K36" s="6">
        <f t="shared" ref="K36:K38" si="25">sqrt(3*(U28)^2)</f>
        <v>12.44397914</v>
      </c>
      <c r="L36" s="6">
        <f t="shared" ref="L36:L38" si="26">((J36/(D36*E36*F36*G36*H36*I36))+(K36/$C$33))^(-1)</f>
        <v>1.846734782</v>
      </c>
      <c r="M36" s="6">
        <f t="shared" ref="M36:M38" si="27">(sqrt(T28^2+3*V28^2)/$E$33 + sqrt(3*(U28)^2)/$E$33)^-1</f>
        <v>7.397642037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56</v>
      </c>
      <c r="B37" s="25">
        <v>3.0</v>
      </c>
      <c r="C37" s="25">
        <v>2.8</v>
      </c>
      <c r="D37" s="8">
        <f t="shared" si="21"/>
        <v>0.9220043475</v>
      </c>
      <c r="E37" s="6">
        <f t="shared" si="22"/>
        <v>0.7516729374</v>
      </c>
      <c r="F37" s="8">
        <v>0.82</v>
      </c>
      <c r="G37" s="8">
        <v>1.0</v>
      </c>
      <c r="H37" s="8">
        <v>1.0</v>
      </c>
      <c r="I37" s="6">
        <f t="shared" si="23"/>
        <v>282.5</v>
      </c>
      <c r="J37" s="6">
        <f t="shared" si="24"/>
        <v>84.34542662</v>
      </c>
      <c r="K37" s="6">
        <f t="shared" si="25"/>
        <v>12.98635652</v>
      </c>
      <c r="L37" s="6">
        <f t="shared" si="26"/>
        <v>1.823628766</v>
      </c>
      <c r="M37" s="6">
        <f t="shared" si="27"/>
        <v>7.385113066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57</v>
      </c>
      <c r="B38" s="25">
        <v>3.0</v>
      </c>
      <c r="C38" s="25">
        <v>2.8</v>
      </c>
      <c r="D38" s="8">
        <f t="shared" si="21"/>
        <v>0.9220043475</v>
      </c>
      <c r="E38" s="6">
        <f t="shared" si="22"/>
        <v>0.7590340059</v>
      </c>
      <c r="F38" s="8">
        <v>0.82</v>
      </c>
      <c r="G38" s="8">
        <v>1.0</v>
      </c>
      <c r="H38" s="8">
        <v>1.0</v>
      </c>
      <c r="I38" s="6">
        <f t="shared" si="23"/>
        <v>282.5</v>
      </c>
      <c r="J38" s="6">
        <f t="shared" si="24"/>
        <v>91.27976716</v>
      </c>
      <c r="K38" s="6">
        <f t="shared" si="25"/>
        <v>16.85982274</v>
      </c>
      <c r="L38" s="6">
        <f t="shared" si="26"/>
        <v>1.686648502</v>
      </c>
      <c r="M38" s="6">
        <f t="shared" si="27"/>
        <v>6.399860313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>
        <f>(J38+K38)/E33</f>
        <v>0.3488373868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 t="s">
        <v>10</v>
      </c>
      <c r="B41" s="10">
        <v>0.055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11</v>
      </c>
      <c r="B42" s="51">
        <v>0.07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2" t="s">
        <v>80</v>
      </c>
      <c r="B43" s="18">
        <v>0.05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2" t="s">
        <v>82</v>
      </c>
      <c r="B44" s="17">
        <f>B41+B42+B43</f>
        <v>0.175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83</v>
      </c>
      <c r="B45" s="11">
        <f>E16+E17</f>
        <v>0.165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2" t="s">
        <v>84</v>
      </c>
      <c r="B46" s="31">
        <f>E18+E19</f>
        <v>0.245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85</v>
      </c>
      <c r="B47" s="6">
        <f>B45+B46</f>
        <v>0.41</v>
      </c>
      <c r="C47" s="8" t="s">
        <v>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 t="s">
        <v>86</v>
      </c>
      <c r="B48" s="6">
        <f>E16+E16+E17+E18+E19+E19</f>
        <v>0.635</v>
      </c>
      <c r="C48" s="8" t="s">
        <v>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8" t="s">
        <v>87</v>
      </c>
      <c r="B49" s="6">
        <f>Max(D16:D19)</f>
        <v>0.355</v>
      </c>
      <c r="C49" s="8" t="s">
        <v>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8" t="s">
        <v>88</v>
      </c>
      <c r="B50" s="6">
        <f>B48*B49*B44</f>
        <v>0.039449375</v>
      </c>
      <c r="C50" s="8" t="s">
        <v>89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1" t="s">
        <v>90</v>
      </c>
      <c r="B52" s="32">
        <v>873600.0</v>
      </c>
      <c r="C52" s="8" t="s">
        <v>160</v>
      </c>
      <c r="D52" s="6"/>
      <c r="E52" s="6"/>
      <c r="F52" s="6"/>
      <c r="G52" s="6"/>
      <c r="H52" s="6"/>
      <c r="I52" s="6"/>
      <c r="J52" s="6"/>
      <c r="K52" s="6"/>
      <c r="L52" s="6"/>
      <c r="M52" s="8"/>
      <c r="N52" s="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 t="s">
        <v>53</v>
      </c>
      <c r="B53" s="8">
        <f t="shared" ref="B53:B55" si="28">$B$52*B28</f>
        <v>2271360000</v>
      </c>
      <c r="C53" s="8" t="s">
        <v>91</v>
      </c>
      <c r="D53" s="6"/>
      <c r="E53" s="6"/>
      <c r="F53" s="6"/>
      <c r="G53" s="6"/>
      <c r="H53" s="8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8" t="s">
        <v>56</v>
      </c>
      <c r="B54" s="8">
        <f t="shared" si="28"/>
        <v>918209361.7</v>
      </c>
      <c r="C54" s="8" t="s">
        <v>91</v>
      </c>
      <c r="D54" s="6"/>
      <c r="E54" s="6"/>
      <c r="F54" s="6"/>
      <c r="G54" s="6"/>
      <c r="H54" s="7"/>
      <c r="I54" s="6"/>
      <c r="J54" s="6"/>
      <c r="K54" s="6"/>
      <c r="L54" s="6"/>
      <c r="M54" s="16"/>
      <c r="N54" s="6"/>
      <c r="O54" s="1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8" t="s">
        <v>57</v>
      </c>
      <c r="B55" s="8">
        <f t="shared" si="28"/>
        <v>349178208</v>
      </c>
      <c r="C55" s="8" t="s">
        <v>91</v>
      </c>
      <c r="D55" s="6"/>
      <c r="E55" s="6"/>
      <c r="F55" s="6"/>
      <c r="G55" s="6"/>
      <c r="H55" s="7"/>
      <c r="I55" s="6"/>
      <c r="J55" s="6"/>
      <c r="K55" s="6"/>
      <c r="L55" s="6"/>
      <c r="M55" s="16"/>
      <c r="N55" s="6"/>
      <c r="O55" s="1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/>
      <c r="B56" s="8"/>
      <c r="C56" s="6"/>
      <c r="D56" s="6"/>
      <c r="E56" s="6"/>
      <c r="F56" s="6"/>
      <c r="G56" s="6"/>
      <c r="H56" s="7"/>
      <c r="I56" s="6"/>
      <c r="J56" s="6"/>
      <c r="K56" s="6"/>
      <c r="L56" s="6"/>
      <c r="M56" s="16"/>
      <c r="N56" s="6"/>
      <c r="O56" s="1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1" t="s">
        <v>92</v>
      </c>
      <c r="B57" s="1"/>
      <c r="C57" s="1" t="s">
        <v>161</v>
      </c>
      <c r="D57" s="1" t="s">
        <v>93</v>
      </c>
      <c r="E57" s="1" t="s">
        <v>61</v>
      </c>
      <c r="F57" s="1" t="s">
        <v>94</v>
      </c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8" t="s">
        <v>95</v>
      </c>
      <c r="B58" s="52" t="s">
        <v>162</v>
      </c>
      <c r="C58" s="10">
        <v>500.0</v>
      </c>
      <c r="D58" s="11">
        <f t="shared" ref="D58:D61" si="29">Convert(200,"GPa","MPa")</f>
        <v>200000</v>
      </c>
      <c r="E58" s="10">
        <v>0.285</v>
      </c>
      <c r="F58" s="8" t="s">
        <v>97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8" t="s">
        <v>75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8" t="s">
        <v>98</v>
      </c>
      <c r="B59" s="53" t="s">
        <v>162</v>
      </c>
      <c r="C59" s="10">
        <v>400.0</v>
      </c>
      <c r="D59" s="11">
        <f t="shared" si="29"/>
        <v>200000</v>
      </c>
      <c r="E59" s="10">
        <v>0.285</v>
      </c>
      <c r="F59" s="8" t="s">
        <v>100</v>
      </c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8" t="s">
        <v>101</v>
      </c>
      <c r="B60" s="53" t="s">
        <v>162</v>
      </c>
      <c r="C60" s="10">
        <f t="shared" ref="C60:C61" si="30">C58</f>
        <v>500</v>
      </c>
      <c r="D60" s="11">
        <f t="shared" si="29"/>
        <v>200000</v>
      </c>
      <c r="E60" s="10">
        <v>0.285</v>
      </c>
      <c r="F60" s="8" t="s">
        <v>97</v>
      </c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8" t="s">
        <v>102</v>
      </c>
      <c r="B61" s="53" t="s">
        <v>162</v>
      </c>
      <c r="C61" s="10">
        <f t="shared" si="30"/>
        <v>400</v>
      </c>
      <c r="D61" s="11">
        <f t="shared" si="29"/>
        <v>200000</v>
      </c>
      <c r="E61" s="10">
        <v>0.285</v>
      </c>
      <c r="F61" s="8" t="s">
        <v>100</v>
      </c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8"/>
      <c r="B62" s="6"/>
      <c r="C62" s="6"/>
      <c r="D62" s="6"/>
      <c r="E62" s="6"/>
      <c r="F62" s="6"/>
      <c r="G62" s="6"/>
      <c r="H62" s="6"/>
      <c r="I62" s="6"/>
      <c r="J62" s="8"/>
      <c r="K62" s="6"/>
      <c r="L62" s="6"/>
      <c r="M62" s="6"/>
      <c r="N62" s="6"/>
      <c r="O62" s="6"/>
      <c r="P62" s="8"/>
      <c r="Q62" s="8"/>
      <c r="R62" s="6"/>
      <c r="S62" s="6"/>
      <c r="T62" s="6"/>
      <c r="U62" s="6"/>
      <c r="V62" s="6"/>
      <c r="W62" s="8"/>
      <c r="X62" s="6"/>
      <c r="Y62" s="6"/>
      <c r="Z62" s="6"/>
      <c r="AA62" s="6"/>
      <c r="AB62" s="6"/>
      <c r="AC62" s="6"/>
    </row>
    <row r="63">
      <c r="A63" s="1" t="s">
        <v>103</v>
      </c>
      <c r="B63" s="1" t="s">
        <v>104</v>
      </c>
      <c r="C63" s="1" t="s">
        <v>105</v>
      </c>
      <c r="D63" s="1" t="s">
        <v>106</v>
      </c>
      <c r="E63" s="1" t="s">
        <v>107</v>
      </c>
      <c r="F63" s="1" t="s">
        <v>108</v>
      </c>
      <c r="G63" s="1" t="s">
        <v>109</v>
      </c>
      <c r="H63" s="1" t="s">
        <v>110</v>
      </c>
      <c r="I63" s="5"/>
      <c r="J63" s="33" t="s">
        <v>111</v>
      </c>
      <c r="K63" s="1" t="s">
        <v>112</v>
      </c>
      <c r="L63" s="1" t="s">
        <v>113</v>
      </c>
      <c r="M63" s="1" t="s">
        <v>114</v>
      </c>
      <c r="N63" s="1" t="s">
        <v>115</v>
      </c>
      <c r="O63" s="1" t="s">
        <v>116</v>
      </c>
      <c r="P63" s="33" t="s">
        <v>117</v>
      </c>
      <c r="Q63" s="1" t="s">
        <v>118</v>
      </c>
      <c r="R63" s="1" t="s">
        <v>75</v>
      </c>
      <c r="S63" s="6"/>
      <c r="T63" s="1" t="s">
        <v>119</v>
      </c>
      <c r="U63" s="1" t="s">
        <v>120</v>
      </c>
      <c r="V63" s="1" t="s">
        <v>121</v>
      </c>
      <c r="W63" s="1" t="s">
        <v>122</v>
      </c>
      <c r="X63" s="1" t="s">
        <v>116</v>
      </c>
      <c r="Y63" s="6"/>
      <c r="Z63" s="8"/>
      <c r="AA63" s="8"/>
      <c r="AB63" s="6"/>
      <c r="AC63" s="6"/>
    </row>
    <row r="64">
      <c r="A64" s="8" t="s">
        <v>95</v>
      </c>
      <c r="B64" s="6">
        <f>2.4*C58+237</f>
        <v>1437</v>
      </c>
      <c r="C64" s="6">
        <f t="shared" ref="C64:C65" si="31">2.466*B53^-0.056</f>
        <v>0.7379739941</v>
      </c>
      <c r="D64" s="6">
        <f>C58/C59</f>
        <v>1.25</v>
      </c>
      <c r="E64" s="54"/>
      <c r="F64" s="8">
        <v>1.0</v>
      </c>
      <c r="G64" s="8">
        <v>1.0</v>
      </c>
      <c r="H64" s="6">
        <f>B64*C64/(F64*G64)</f>
        <v>1060.46863</v>
      </c>
      <c r="I64" s="8"/>
      <c r="J64" s="34">
        <f>sqrt(2/((1-E58^2)/Convert(D58,"MPa","Pa") + (1-E59^2)/Convert(D59,"MPa","Pa")))</f>
        <v>466563.1271</v>
      </c>
      <c r="K64" s="35">
        <f>(PI() * Cos(Radians(B10)) * sin(RADIANS(B10)))/(1+D16/D17)</f>
        <v>0.7190205388</v>
      </c>
      <c r="L64" s="36">
        <v>1.0</v>
      </c>
      <c r="M64" s="36">
        <v>1.0</v>
      </c>
      <c r="N64" s="36">
        <v>1.2</v>
      </c>
      <c r="O64" s="6">
        <f t="shared" ref="O64:O67" si="32">X64</f>
        <v>1.662309265</v>
      </c>
      <c r="P64" s="37">
        <f>J64*(K16 * L64* M64* N64* O64 / (H16*D16*K64))^(1/2)</f>
        <v>727560398.2</v>
      </c>
      <c r="Q64" s="38">
        <f t="shared" ref="Q64:Q67" si="33">Convert(P64,"Pa","MPa")</f>
        <v>727.5603982</v>
      </c>
      <c r="R64" s="21">
        <f t="shared" ref="R64:R67" si="34">H64/Q64</f>
        <v>1.457567828</v>
      </c>
      <c r="S64" s="6"/>
      <c r="T64" s="6">
        <f>50+56*(1-U64)</f>
        <v>59.77301852</v>
      </c>
      <c r="U64" s="6">
        <f>((12-V64)^(2/3))/4</f>
        <v>0.8254818122</v>
      </c>
      <c r="V64" s="8">
        <v>6.0</v>
      </c>
      <c r="W64" s="6">
        <f t="shared" ref="W64:W65" si="35">pi()*B28*D16/60</f>
        <v>12.93288976</v>
      </c>
      <c r="X64" s="6">
        <f t="shared" ref="X64:X67" si="36">((T64+SQRT(200*W64))/T64)^U64</f>
        <v>1.662309265</v>
      </c>
      <c r="Y64" s="6"/>
      <c r="Z64" s="7"/>
      <c r="AA64" s="6"/>
      <c r="AB64" s="6"/>
      <c r="AC64" s="6"/>
    </row>
    <row r="65">
      <c r="A65" s="8" t="s">
        <v>98</v>
      </c>
      <c r="B65" s="6">
        <f>2.22*C59+200</f>
        <v>1088</v>
      </c>
      <c r="C65" s="6">
        <f t="shared" si="31"/>
        <v>0.7763692686</v>
      </c>
      <c r="D65" s="6">
        <f>C58/C59</f>
        <v>1.25</v>
      </c>
      <c r="E65" s="6">
        <f>1+(((8.89*10^-3)*D64)-(8.29*10^-3))*(B17/B16-1)</f>
        <v>1.004159474</v>
      </c>
      <c r="F65" s="8">
        <v>1.0</v>
      </c>
      <c r="G65" s="8">
        <v>1.0</v>
      </c>
      <c r="H65" s="6">
        <f>B65*C65*E65/(F65*G65)</f>
        <v>848.203229</v>
      </c>
      <c r="I65" s="8"/>
      <c r="J65" s="34">
        <f>sqrt(2/((1-E58^2)/Convert(D58,"MPa","Pa") + (1-E59^2)/Convert(D59,"MPa","Pa")))</f>
        <v>466563.1271</v>
      </c>
      <c r="K65" s="35">
        <f>(PI() * Cos(Radians(B10)) * sin(RADIANS(B10)))/(1+D16/D17)</f>
        <v>0.7190205388</v>
      </c>
      <c r="L65" s="36">
        <v>1.0</v>
      </c>
      <c r="M65" s="36">
        <v>1.0</v>
      </c>
      <c r="N65" s="36">
        <v>1.2</v>
      </c>
      <c r="O65" s="6">
        <f t="shared" si="32"/>
        <v>1.662309265</v>
      </c>
      <c r="P65" s="37">
        <f>J65*(K17 * L65* M65* N65* O65 / (H17*D16*K65))^(1/2)</f>
        <v>757268871.8</v>
      </c>
      <c r="Q65" s="38">
        <f t="shared" si="33"/>
        <v>757.2688718</v>
      </c>
      <c r="R65" s="21">
        <f t="shared" si="34"/>
        <v>1.120081996</v>
      </c>
      <c r="S65" s="6"/>
      <c r="T65" s="6">
        <v>59.77301851547523</v>
      </c>
      <c r="U65" s="6">
        <v>0.8254818122236567</v>
      </c>
      <c r="V65" s="8">
        <v>6.0</v>
      </c>
      <c r="W65" s="6">
        <f t="shared" si="35"/>
        <v>12.93288976</v>
      </c>
      <c r="X65" s="6">
        <f t="shared" si="36"/>
        <v>1.662309265</v>
      </c>
      <c r="Y65" s="6"/>
      <c r="Z65" s="6"/>
      <c r="AA65" s="6"/>
      <c r="AB65" s="6"/>
      <c r="AC65" s="6"/>
    </row>
    <row r="66">
      <c r="A66" s="8" t="s">
        <v>101</v>
      </c>
      <c r="B66" s="6">
        <f>2.4*C60+237</f>
        <v>1437</v>
      </c>
      <c r="C66" s="6">
        <f t="shared" ref="C66:C67" si="37">2.466*B54^-0.056</f>
        <v>0.7763692686</v>
      </c>
      <c r="D66" s="6">
        <f>C60/C61</f>
        <v>1.25</v>
      </c>
      <c r="E66" s="8"/>
      <c r="F66" s="8">
        <v>1.0</v>
      </c>
      <c r="G66" s="8">
        <v>1.0</v>
      </c>
      <c r="H66" s="6">
        <f>B66*C66/(F66*G66)</f>
        <v>1115.642639</v>
      </c>
      <c r="I66" s="8"/>
      <c r="J66" s="34">
        <f>sqrt(2/((1-E60^2)/Convert(D60,"MPa","Pa") + (1-E61^2)/Convert(D61,"MPa","Pa")))</f>
        <v>466563.1271</v>
      </c>
      <c r="K66" s="35">
        <f>(PI() * Cos(Radians(B10)) * sin(RADIANS(B10)))/(1+D18/D19)</f>
        <v>0.7315089546</v>
      </c>
      <c r="L66" s="36">
        <v>1.0</v>
      </c>
      <c r="M66" s="36">
        <v>1.0</v>
      </c>
      <c r="N66" s="36">
        <v>1.17</v>
      </c>
      <c r="O66" s="6">
        <f t="shared" si="32"/>
        <v>1.508060051</v>
      </c>
      <c r="P66" s="37">
        <f>J66*(K18 * L66* M66* N66* O66 / (H18*D18*K66))^(1/2)</f>
        <v>750840266</v>
      </c>
      <c r="Q66" s="38">
        <f t="shared" si="33"/>
        <v>750.840266</v>
      </c>
      <c r="R66" s="21">
        <f t="shared" si="34"/>
        <v>1.48585883</v>
      </c>
      <c r="S66" s="6"/>
      <c r="T66" s="6">
        <v>59.77301851547523</v>
      </c>
      <c r="U66" s="6">
        <v>0.8254818122236567</v>
      </c>
      <c r="V66" s="8">
        <v>6.0</v>
      </c>
      <c r="W66" s="6">
        <f t="shared" ref="W66:W67" si="38">pi()*B29*D18/60</f>
        <v>7.429532414</v>
      </c>
      <c r="X66" s="6">
        <f t="shared" si="36"/>
        <v>1.508060051</v>
      </c>
      <c r="Y66" s="6"/>
      <c r="Z66" s="6"/>
      <c r="AA66" s="6"/>
      <c r="AB66" s="6"/>
      <c r="AC66" s="6"/>
    </row>
    <row r="67">
      <c r="A67" s="8" t="s">
        <v>102</v>
      </c>
      <c r="B67" s="6">
        <f>2.22*C59+200</f>
        <v>1088</v>
      </c>
      <c r="C67" s="6">
        <f t="shared" si="37"/>
        <v>0.8195631687</v>
      </c>
      <c r="D67" s="6">
        <f>C60/C61</f>
        <v>1.25</v>
      </c>
      <c r="E67" s="8">
        <f>1+(((8.89*10^-3)*D66)-(8.29*10^-3))*(B19/B18-1)</f>
        <v>1.00459963</v>
      </c>
      <c r="F67" s="8">
        <v>1.0</v>
      </c>
      <c r="G67" s="8">
        <v>1.0</v>
      </c>
      <c r="H67" s="6">
        <f>B67*C67*E67/(F67*G67)</f>
        <v>895.786147</v>
      </c>
      <c r="I67" s="8"/>
      <c r="J67" s="34">
        <f>sqrt(2/((1-E60^2)/Convert(D60,"MPa","Pa") + (1-E61^2)/Convert(D61,"MPa","Pa")))</f>
        <v>466563.1271</v>
      </c>
      <c r="K67" s="35">
        <f>(PI() * Cos(Radians(B10)) * sin(RADIANS(B10)))/(1+D18/D19)</f>
        <v>0.7315089546</v>
      </c>
      <c r="L67" s="36">
        <v>1.0</v>
      </c>
      <c r="M67" s="36">
        <v>1.0</v>
      </c>
      <c r="N67" s="36">
        <v>1.17</v>
      </c>
      <c r="O67" s="6">
        <f t="shared" si="32"/>
        <v>1.508060051</v>
      </c>
      <c r="P67" s="37">
        <f>J67*(K19 * L67* M67* N67* O67 / (H19*D18*K67))^(1/2)</f>
        <v>781499326.4</v>
      </c>
      <c r="Q67" s="38">
        <f t="shared" si="33"/>
        <v>781.4993264</v>
      </c>
      <c r="R67" s="21">
        <f t="shared" si="34"/>
        <v>1.146240459</v>
      </c>
      <c r="S67" s="6"/>
      <c r="T67" s="6">
        <v>59.77301851547523</v>
      </c>
      <c r="U67" s="6">
        <v>0.8254818122236567</v>
      </c>
      <c r="V67" s="8">
        <v>6.0</v>
      </c>
      <c r="W67" s="6">
        <f t="shared" si="38"/>
        <v>7.429532414</v>
      </c>
      <c r="X67" s="6">
        <f t="shared" si="36"/>
        <v>1.508060051</v>
      </c>
      <c r="Y67" s="6"/>
      <c r="Z67" s="6"/>
      <c r="AA67" s="6"/>
      <c r="AB67" s="6"/>
      <c r="AC67" s="6"/>
    </row>
    <row r="68">
      <c r="A68" s="6"/>
      <c r="B68" s="6"/>
      <c r="C68" s="6"/>
      <c r="D68" s="6"/>
      <c r="E68" s="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1" t="s">
        <v>123</v>
      </c>
      <c r="B69" s="1" t="s">
        <v>163</v>
      </c>
      <c r="C69" s="1" t="s">
        <v>125</v>
      </c>
      <c r="D69" s="1" t="s">
        <v>126</v>
      </c>
      <c r="E69" s="1" t="s">
        <v>127</v>
      </c>
      <c r="F69" s="1" t="s">
        <v>128</v>
      </c>
      <c r="G69" s="5"/>
      <c r="H69" s="1" t="s">
        <v>129</v>
      </c>
      <c r="I69" s="1" t="s">
        <v>130</v>
      </c>
      <c r="J69" s="1" t="s">
        <v>68</v>
      </c>
      <c r="K69" s="1" t="s">
        <v>71</v>
      </c>
      <c r="L69" s="1" t="s">
        <v>131</v>
      </c>
      <c r="M69" s="1" t="s">
        <v>132</v>
      </c>
      <c r="N69" s="1" t="s">
        <v>133</v>
      </c>
      <c r="O69" s="1" t="s">
        <v>117</v>
      </c>
      <c r="P69" s="1" t="s">
        <v>134</v>
      </c>
      <c r="Q69" s="1" t="s">
        <v>75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95</v>
      </c>
      <c r="B70" s="6">
        <f>0.703*C58+113</f>
        <v>464.5</v>
      </c>
      <c r="C70" s="6">
        <f t="shared" ref="C70:C71" si="40">1.683*B53^(-0.0323)</f>
        <v>0.8392204904</v>
      </c>
      <c r="D70" s="8">
        <v>1.0</v>
      </c>
      <c r="E70" s="8">
        <v>1.0</v>
      </c>
      <c r="F70" s="6">
        <f t="shared" ref="F70:F73" si="41">B70*C70/(D70*E70)</f>
        <v>389.8179178</v>
      </c>
      <c r="G70" s="6"/>
      <c r="H70" s="36">
        <v>0.35</v>
      </c>
      <c r="I70" s="36">
        <v>1.0</v>
      </c>
      <c r="J70" s="36">
        <f t="shared" ref="J70:L70" si="39">M64</f>
        <v>1</v>
      </c>
      <c r="K70" s="39">
        <f t="shared" si="39"/>
        <v>1.2</v>
      </c>
      <c r="L70" s="6">
        <f t="shared" si="39"/>
        <v>1.662309265</v>
      </c>
      <c r="M70" s="36">
        <v>1.0</v>
      </c>
      <c r="N70" s="36">
        <v>1.0</v>
      </c>
      <c r="O70" s="6">
        <f t="shared" ref="O70:O73" si="43">K16/(H16*H70*$B$7) *I70*J70*K70*L70*M70*N70</f>
        <v>94917027.83</v>
      </c>
      <c r="P70" s="38">
        <f t="shared" ref="P70:P73" si="44">Convert(O70,"Pa","MPa")</f>
        <v>94.91702783</v>
      </c>
      <c r="Q70" s="21">
        <f t="shared" ref="Q70:Q73" si="45">F70/P70</f>
        <v>4.106933463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" t="s">
        <v>98</v>
      </c>
      <c r="B71" s="6">
        <f>0.533*C59+88.3</f>
        <v>301.5</v>
      </c>
      <c r="C71" s="6">
        <f t="shared" si="40"/>
        <v>0.8641340108</v>
      </c>
      <c r="D71" s="8">
        <v>1.0</v>
      </c>
      <c r="E71" s="8">
        <v>1.0</v>
      </c>
      <c r="F71" s="6">
        <f t="shared" si="41"/>
        <v>260.5364043</v>
      </c>
      <c r="G71" s="6"/>
      <c r="H71" s="36">
        <v>0.42</v>
      </c>
      <c r="I71" s="36">
        <v>1.0</v>
      </c>
      <c r="J71" s="36">
        <f t="shared" ref="J71:L71" si="42">M65</f>
        <v>1</v>
      </c>
      <c r="K71" s="39">
        <f t="shared" si="42"/>
        <v>1.2</v>
      </c>
      <c r="L71" s="6">
        <f t="shared" si="42"/>
        <v>1.662309265</v>
      </c>
      <c r="M71" s="36">
        <v>1.0</v>
      </c>
      <c r="N71" s="36">
        <v>1.0</v>
      </c>
      <c r="O71" s="6">
        <f t="shared" si="43"/>
        <v>85688983.46</v>
      </c>
      <c r="P71" s="38">
        <f t="shared" si="44"/>
        <v>85.68898346</v>
      </c>
      <c r="Q71" s="21">
        <f t="shared" si="45"/>
        <v>3.040488914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8" t="s">
        <v>101</v>
      </c>
      <c r="B72" s="6">
        <f>0.703*C60+113</f>
        <v>464.5</v>
      </c>
      <c r="C72" s="6">
        <f t="shared" ref="C72:C73" si="47">1.683*B54^(-0.0323)</f>
        <v>0.8641340108</v>
      </c>
      <c r="D72" s="8">
        <v>1.0</v>
      </c>
      <c r="E72" s="8">
        <v>1.0</v>
      </c>
      <c r="F72" s="6">
        <f t="shared" si="41"/>
        <v>401.390248</v>
      </c>
      <c r="G72" s="6"/>
      <c r="H72" s="36">
        <v>0.35</v>
      </c>
      <c r="I72" s="36">
        <v>1.0</v>
      </c>
      <c r="J72" s="36">
        <f t="shared" ref="J72:L72" si="46">M66</f>
        <v>1</v>
      </c>
      <c r="K72" s="39">
        <f t="shared" si="46"/>
        <v>1.17</v>
      </c>
      <c r="L72" s="6">
        <f t="shared" si="46"/>
        <v>1.508060051</v>
      </c>
      <c r="M72" s="36">
        <v>1.0</v>
      </c>
      <c r="N72" s="36">
        <v>1.0</v>
      </c>
      <c r="O72" s="6">
        <f t="shared" si="43"/>
        <v>146146914.3</v>
      </c>
      <c r="P72" s="38">
        <f t="shared" si="44"/>
        <v>146.1469143</v>
      </c>
      <c r="Q72" s="21">
        <f t="shared" si="45"/>
        <v>2.74648459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8" t="s">
        <v>102</v>
      </c>
      <c r="B73" s="6">
        <f>0.533*C61+88.3</f>
        <v>301.5</v>
      </c>
      <c r="C73" s="6">
        <f t="shared" si="47"/>
        <v>0.8915458723</v>
      </c>
      <c r="D73" s="8">
        <v>1.0</v>
      </c>
      <c r="E73" s="8">
        <v>1.0</v>
      </c>
      <c r="F73" s="6">
        <f t="shared" si="41"/>
        <v>268.8010805</v>
      </c>
      <c r="G73" s="6"/>
      <c r="H73" s="36">
        <v>0.42</v>
      </c>
      <c r="I73" s="36">
        <v>1.0</v>
      </c>
      <c r="J73" s="36">
        <f t="shared" ref="J73:L73" si="48">M67</f>
        <v>1</v>
      </c>
      <c r="K73" s="39">
        <f t="shared" si="48"/>
        <v>1.17</v>
      </c>
      <c r="L73" s="6">
        <f t="shared" si="48"/>
        <v>1.508060051</v>
      </c>
      <c r="M73" s="36">
        <v>1.0</v>
      </c>
      <c r="N73" s="36">
        <v>1.0</v>
      </c>
      <c r="O73" s="6">
        <f t="shared" si="43"/>
        <v>131938186.5</v>
      </c>
      <c r="P73" s="38">
        <f t="shared" si="44"/>
        <v>131.9381865</v>
      </c>
      <c r="Q73" s="21">
        <f t="shared" si="45"/>
        <v>2.037325869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1" t="s">
        <v>135</v>
      </c>
      <c r="B75" s="1" t="s">
        <v>136</v>
      </c>
      <c r="C75" s="1" t="s">
        <v>137</v>
      </c>
      <c r="D75" s="1" t="s">
        <v>138</v>
      </c>
      <c r="E75" s="1" t="s">
        <v>139</v>
      </c>
      <c r="F75" s="1" t="s">
        <v>9</v>
      </c>
      <c r="G75" s="1" t="s">
        <v>140</v>
      </c>
      <c r="H75" s="40" t="s">
        <v>141</v>
      </c>
      <c r="I75" s="41" t="s">
        <v>142</v>
      </c>
      <c r="J75" s="40" t="s">
        <v>143</v>
      </c>
      <c r="K75" s="42" t="s">
        <v>144</v>
      </c>
      <c r="L75" s="1" t="s">
        <v>145</v>
      </c>
      <c r="M75" s="1" t="s">
        <v>143</v>
      </c>
      <c r="N75" s="1" t="s">
        <v>146</v>
      </c>
      <c r="O75" s="1" t="s">
        <v>147</v>
      </c>
      <c r="P75" s="1" t="s">
        <v>148</v>
      </c>
      <c r="Q75" s="1" t="s">
        <v>149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8" t="s">
        <v>53</v>
      </c>
      <c r="B76" s="8">
        <v>14560.0</v>
      </c>
      <c r="C76" s="6">
        <f t="shared" ref="C76:C78" si="49">B28</f>
        <v>2600</v>
      </c>
      <c r="D76" s="6">
        <f t="shared" ref="D76:D78" si="50">B76*60*C76*10^-6</f>
        <v>2271.36</v>
      </c>
      <c r="E76" s="8">
        <v>1.0</v>
      </c>
      <c r="F76" s="8">
        <v>3.0</v>
      </c>
      <c r="G76" s="6">
        <f t="shared" ref="G76:G78" si="51">MAX(M28:N28)</f>
        <v>4114.230433</v>
      </c>
      <c r="H76" s="13">
        <v>1.0</v>
      </c>
      <c r="I76" s="12">
        <f t="shared" ref="I76:I78" si="52">E76*G76</f>
        <v>4114.230433</v>
      </c>
      <c r="J76" s="12">
        <f t="shared" ref="J76:J78" si="53">I76*D76^(1/F76)</f>
        <v>54081.73346</v>
      </c>
      <c r="K76" s="55">
        <v>6309.0</v>
      </c>
      <c r="L76" s="44" t="s">
        <v>164</v>
      </c>
      <c r="M76" s="8">
        <v>55300.0</v>
      </c>
      <c r="N76" s="8">
        <v>31500.0</v>
      </c>
      <c r="O76" s="8">
        <v>0.045</v>
      </c>
      <c r="P76" s="8">
        <v>0.1</v>
      </c>
      <c r="Q76" s="8">
        <v>0.025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8" t="s">
        <v>56</v>
      </c>
      <c r="B77" s="8">
        <v>14560.0</v>
      </c>
      <c r="C77" s="6">
        <f t="shared" si="49"/>
        <v>1051.06383</v>
      </c>
      <c r="D77" s="6">
        <f t="shared" si="50"/>
        <v>918.2093617</v>
      </c>
      <c r="E77" s="8">
        <v>1.0</v>
      </c>
      <c r="F77" s="8">
        <v>3.0</v>
      </c>
      <c r="G77" s="6">
        <f t="shared" si="51"/>
        <v>8204.490026</v>
      </c>
      <c r="H77" s="13">
        <v>1.0</v>
      </c>
      <c r="I77" s="12">
        <f t="shared" si="52"/>
        <v>8204.490026</v>
      </c>
      <c r="J77" s="12">
        <f t="shared" si="53"/>
        <v>79744.14944</v>
      </c>
      <c r="K77" s="43">
        <v>6312.0</v>
      </c>
      <c r="L77" s="45" t="s">
        <v>151</v>
      </c>
      <c r="M77" s="8">
        <v>97500.0</v>
      </c>
      <c r="N77" s="8">
        <v>60000.0</v>
      </c>
      <c r="O77" s="8">
        <v>0.065</v>
      </c>
      <c r="P77" s="8">
        <v>0.14</v>
      </c>
      <c r="Q77" s="8">
        <v>0.033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8" t="s">
        <v>57</v>
      </c>
      <c r="B78" s="8">
        <v>14560.0</v>
      </c>
      <c r="C78" s="6">
        <f t="shared" si="49"/>
        <v>399.7003296</v>
      </c>
      <c r="D78" s="6">
        <f t="shared" si="50"/>
        <v>349.178208</v>
      </c>
      <c r="E78" s="8">
        <v>1.0</v>
      </c>
      <c r="F78" s="8">
        <v>3.0</v>
      </c>
      <c r="G78" s="6">
        <f t="shared" si="51"/>
        <v>6875.33619</v>
      </c>
      <c r="H78" s="13">
        <v>1.0</v>
      </c>
      <c r="I78" s="12">
        <f t="shared" si="52"/>
        <v>6875.33619</v>
      </c>
      <c r="J78" s="12">
        <f t="shared" si="53"/>
        <v>48414.59647</v>
      </c>
      <c r="K78" s="43">
        <v>6311.0</v>
      </c>
      <c r="L78" s="45" t="s">
        <v>154</v>
      </c>
      <c r="M78" s="8">
        <v>74100.0</v>
      </c>
      <c r="N78" s="8">
        <v>45000.0</v>
      </c>
      <c r="O78" s="8">
        <v>0.055</v>
      </c>
      <c r="P78" s="8">
        <v>0.12</v>
      </c>
      <c r="Q78" s="8">
        <v>0.029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>
        <f>Q78/2</f>
        <v>0.0145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8" t="s">
        <v>165</v>
      </c>
      <c r="B80" s="6">
        <f>5*52*7*8</f>
        <v>14560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8" t="s">
        <v>166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>
        <f>0.577*E33/1.1</f>
        <v>162.6090909</v>
      </c>
      <c r="B82" s="6">
        <f>10*(16*J19/(PI() * A82))^(1/3)</f>
        <v>37.41565921</v>
      </c>
      <c r="C82" s="6">
        <f>(16*228.183/(PI() * 160))^(1/3)</f>
        <v>1.93662026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>
        <f>B82*1.05</f>
        <v>39.28644217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8">
        <v>40.0</v>
      </c>
      <c r="C84" s="6"/>
      <c r="D84" s="6"/>
      <c r="E84" s="6"/>
      <c r="F84" s="6"/>
      <c r="G84" s="6"/>
      <c r="H84" s="6"/>
      <c r="I84" s="6"/>
      <c r="J84" s="6">
        <f>500/400</f>
        <v>1.25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>
        <f>0.577*E33/1.1</f>
        <v>162.6090909</v>
      </c>
      <c r="B85" s="6">
        <f>10*(16*J16/(PI() * A85))^(1/3)</f>
        <v>20.04351048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>CONVERT(O73,"Pa","MPa")</f>
        <v>131.9381865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>
        <f>B85*1.05</f>
        <v>21.045686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>
        <f>5*52*7*8</f>
        <v>14560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f>(M78/I78)^3</f>
        <v>1251.90913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>
        <f>5*52*7*8*60</f>
        <v>873600</v>
      </c>
      <c r="D90" s="6"/>
      <c r="E90" s="6"/>
      <c r="F90" s="6"/>
      <c r="G90" s="6"/>
      <c r="H90" s="6"/>
      <c r="I90" s="6"/>
      <c r="J90" s="6"/>
      <c r="K90" s="6"/>
      <c r="L90" s="6"/>
      <c r="M90" s="6">
        <f>M89*10^6/B30/60/8/7/52</f>
        <v>17.92650717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>
        <f>C90*B30</f>
        <v>349178208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L76"/>
    <hyperlink r:id="rId3" ref="L77"/>
    <hyperlink r:id="rId4" ref="L78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7.38"/>
    <col customWidth="1" min="2" max="2" width="19.0"/>
    <col customWidth="1" min="3" max="3" width="15.88"/>
    <col customWidth="1" min="4" max="4" width="16.13"/>
    <col customWidth="1" min="5" max="5" width="15.75"/>
  </cols>
  <sheetData>
    <row r="1">
      <c r="A1" s="56" t="s">
        <v>167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56" t="s">
        <v>168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58"/>
      <c r="B3" s="59" t="s">
        <v>169</v>
      </c>
      <c r="C3" s="59" t="s">
        <v>170</v>
      </c>
      <c r="D3" s="59" t="s">
        <v>171</v>
      </c>
      <c r="E3" s="59" t="s">
        <v>172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">
        <v>173</v>
      </c>
      <c r="B4" s="60"/>
      <c r="C4" s="60"/>
      <c r="D4" s="60"/>
      <c r="E4" s="60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9" t="s">
        <v>174</v>
      </c>
      <c r="B5" s="60"/>
      <c r="C5" s="60"/>
      <c r="D5" s="60"/>
      <c r="E5" s="60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9" t="s">
        <v>175</v>
      </c>
      <c r="B6" s="60"/>
      <c r="C6" s="60"/>
      <c r="D6" s="60"/>
      <c r="E6" s="60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9" t="s">
        <v>176</v>
      </c>
      <c r="B7" s="60"/>
      <c r="C7" s="60"/>
      <c r="D7" s="60"/>
      <c r="E7" s="60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9" t="s">
        <v>177</v>
      </c>
      <c r="B8" s="60"/>
      <c r="C8" s="60"/>
      <c r="D8" s="60"/>
      <c r="E8" s="60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9" t="s">
        <v>178</v>
      </c>
      <c r="B9" s="60"/>
      <c r="C9" s="60"/>
      <c r="D9" s="60"/>
      <c r="E9" s="60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9" t="s">
        <v>179</v>
      </c>
      <c r="B10" s="60"/>
      <c r="C10" s="60"/>
      <c r="D10" s="60"/>
      <c r="E10" s="60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9" t="s">
        <v>180</v>
      </c>
      <c r="B11" s="60"/>
      <c r="C11" s="60"/>
      <c r="D11" s="60"/>
      <c r="E11" s="60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9" t="s">
        <v>181</v>
      </c>
      <c r="B12" s="60"/>
      <c r="C12" s="60"/>
      <c r="D12" s="60"/>
      <c r="E12" s="60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9" t="s">
        <v>182</v>
      </c>
      <c r="B13" s="60"/>
      <c r="C13" s="60"/>
      <c r="D13" s="60"/>
      <c r="E13" s="60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9" t="s">
        <v>183</v>
      </c>
      <c r="B14" s="60"/>
      <c r="C14" s="60"/>
      <c r="D14" s="60"/>
      <c r="E14" s="60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9" t="s">
        <v>184</v>
      </c>
      <c r="B15" s="60"/>
      <c r="C15" s="60"/>
      <c r="D15" s="60"/>
      <c r="E15" s="60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9" t="s">
        <v>185</v>
      </c>
      <c r="B16" s="60"/>
      <c r="C16" s="60"/>
      <c r="D16" s="60"/>
      <c r="E16" s="60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9" t="s">
        <v>186</v>
      </c>
      <c r="B17" s="60"/>
      <c r="C17" s="60"/>
      <c r="D17" s="60"/>
      <c r="E17" s="60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9" t="s">
        <v>187</v>
      </c>
      <c r="B18" s="60"/>
      <c r="C18" s="60"/>
      <c r="D18" s="60"/>
      <c r="E18" s="60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9" t="s">
        <v>188</v>
      </c>
      <c r="B19" s="60"/>
      <c r="C19" s="60"/>
      <c r="D19" s="60"/>
      <c r="E19" s="60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9" t="s">
        <v>189</v>
      </c>
      <c r="B20" s="60"/>
      <c r="C20" s="60"/>
      <c r="D20" s="60"/>
      <c r="E20" s="60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9" t="s">
        <v>190</v>
      </c>
      <c r="B21" s="60"/>
      <c r="C21" s="60"/>
      <c r="D21" s="60"/>
      <c r="E21" s="60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60" t="s">
        <v>191</v>
      </c>
      <c r="B22" s="58"/>
      <c r="C22" s="58"/>
      <c r="D22" s="58"/>
      <c r="E22" s="58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9" t="s">
        <v>192</v>
      </c>
      <c r="B23" s="60"/>
      <c r="C23" s="60"/>
      <c r="D23" s="60"/>
      <c r="E23" s="60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9" t="s">
        <v>193</v>
      </c>
      <c r="B24" s="60"/>
      <c r="C24" s="60"/>
      <c r="D24" s="60"/>
      <c r="E24" s="60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9" t="s">
        <v>58</v>
      </c>
      <c r="B25" s="60"/>
      <c r="C25" s="60"/>
      <c r="D25" s="60"/>
      <c r="E25" s="60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9" t="s">
        <v>194</v>
      </c>
      <c r="B26" s="60"/>
      <c r="C26" s="60"/>
      <c r="D26" s="60"/>
      <c r="E26" s="60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9" t="s">
        <v>195</v>
      </c>
      <c r="B27" s="60"/>
      <c r="C27" s="60"/>
      <c r="D27" s="60"/>
      <c r="E27" s="60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9" t="s">
        <v>196</v>
      </c>
      <c r="B28" s="61"/>
      <c r="C28" s="62"/>
      <c r="D28" s="62"/>
      <c r="E28" s="63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9" t="s">
        <v>197</v>
      </c>
      <c r="B29" s="61"/>
      <c r="C29" s="63"/>
      <c r="D29" s="61"/>
      <c r="E29" s="63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9" t="s">
        <v>198</v>
      </c>
      <c r="B30" s="61"/>
      <c r="C30" s="62"/>
      <c r="D30" s="62"/>
      <c r="E30" s="63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6" t="s">
        <v>199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8"/>
      <c r="B33" s="59" t="s">
        <v>200</v>
      </c>
      <c r="C33" s="59" t="s">
        <v>201</v>
      </c>
      <c r="D33" s="59" t="s">
        <v>202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9" t="s">
        <v>58</v>
      </c>
      <c r="B34" s="60"/>
      <c r="C34" s="60"/>
      <c r="D34" s="60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9" t="s">
        <v>175</v>
      </c>
      <c r="B35" s="60"/>
      <c r="C35" s="60"/>
      <c r="D35" s="60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9" t="s">
        <v>203</v>
      </c>
      <c r="B36" s="60"/>
      <c r="C36" s="60"/>
      <c r="D36" s="60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9" t="s">
        <v>204</v>
      </c>
      <c r="B37" s="60"/>
      <c r="C37" s="60"/>
      <c r="D37" s="60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9" t="s">
        <v>205</v>
      </c>
      <c r="B38" s="60"/>
      <c r="C38" s="60"/>
      <c r="D38" s="60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9" t="s">
        <v>206</v>
      </c>
      <c r="B39" s="60"/>
      <c r="C39" s="60"/>
      <c r="D39" s="60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9" t="s">
        <v>207</v>
      </c>
      <c r="B40" s="60"/>
      <c r="C40" s="60"/>
      <c r="D40" s="60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9" t="s">
        <v>208</v>
      </c>
      <c r="B41" s="60"/>
      <c r="C41" s="60"/>
      <c r="D41" s="60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9" t="s">
        <v>209</v>
      </c>
      <c r="B42" s="60"/>
      <c r="C42" s="60"/>
      <c r="D42" s="60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6" t="s">
        <v>210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8"/>
      <c r="B45" s="64" t="s">
        <v>53</v>
      </c>
      <c r="C45" s="63"/>
      <c r="D45" s="64" t="s">
        <v>56</v>
      </c>
      <c r="E45" s="63"/>
      <c r="F45" s="64" t="s">
        <v>57</v>
      </c>
      <c r="G45" s="63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8"/>
      <c r="B46" s="59" t="s">
        <v>211</v>
      </c>
      <c r="C46" s="59" t="s">
        <v>212</v>
      </c>
      <c r="D46" s="59" t="s">
        <v>213</v>
      </c>
      <c r="E46" s="59" t="s">
        <v>214</v>
      </c>
      <c r="F46" s="59" t="s">
        <v>215</v>
      </c>
      <c r="G46" s="59" t="s">
        <v>216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9" t="s">
        <v>217</v>
      </c>
      <c r="B47" s="60"/>
      <c r="C47" s="60"/>
      <c r="D47" s="60"/>
      <c r="E47" s="60"/>
      <c r="F47" s="60"/>
      <c r="G47" s="60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9" t="s">
        <v>218</v>
      </c>
      <c r="B48" s="60"/>
      <c r="C48" s="60"/>
      <c r="D48" s="60"/>
      <c r="E48" s="60"/>
      <c r="F48" s="60"/>
      <c r="G48" s="60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9" t="s">
        <v>219</v>
      </c>
      <c r="B49" s="60"/>
      <c r="C49" s="60"/>
      <c r="D49" s="60"/>
      <c r="E49" s="60"/>
      <c r="F49" s="60"/>
      <c r="G49" s="60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9" t="s">
        <v>220</v>
      </c>
      <c r="B50" s="60"/>
      <c r="C50" s="60"/>
      <c r="D50" s="60"/>
      <c r="E50" s="60"/>
      <c r="F50" s="60"/>
      <c r="G50" s="60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9" t="s">
        <v>221</v>
      </c>
      <c r="B51" s="60"/>
      <c r="C51" s="60"/>
      <c r="D51" s="60"/>
      <c r="E51" s="60"/>
      <c r="F51" s="60"/>
      <c r="G51" s="60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9" t="s">
        <v>222</v>
      </c>
      <c r="B52" s="60"/>
      <c r="C52" s="60"/>
      <c r="D52" s="60"/>
      <c r="E52" s="60"/>
      <c r="F52" s="60"/>
      <c r="G52" s="60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9" t="s">
        <v>223</v>
      </c>
      <c r="B53" s="60"/>
      <c r="C53" s="60"/>
      <c r="D53" s="60"/>
      <c r="E53" s="60"/>
      <c r="F53" s="60"/>
      <c r="G53" s="60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9" t="s">
        <v>224</v>
      </c>
      <c r="B54" s="60"/>
      <c r="C54" s="60"/>
      <c r="D54" s="60"/>
      <c r="E54" s="60"/>
      <c r="F54" s="60"/>
      <c r="G54" s="60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9" t="s">
        <v>225</v>
      </c>
      <c r="B55" s="60"/>
      <c r="C55" s="60"/>
      <c r="D55" s="60"/>
      <c r="E55" s="60"/>
      <c r="F55" s="60"/>
      <c r="G55" s="60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9" t="s">
        <v>226</v>
      </c>
      <c r="B56" s="60"/>
      <c r="C56" s="60"/>
      <c r="D56" s="60"/>
      <c r="E56" s="60"/>
      <c r="F56" s="60"/>
      <c r="G56" s="60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9" t="s">
        <v>227</v>
      </c>
      <c r="B57" s="60"/>
      <c r="C57" s="60"/>
      <c r="D57" s="60"/>
      <c r="E57" s="60"/>
      <c r="F57" s="60"/>
      <c r="G57" s="60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9" t="s">
        <v>228</v>
      </c>
      <c r="B58" s="60"/>
      <c r="C58" s="60"/>
      <c r="D58" s="60"/>
      <c r="E58" s="60"/>
      <c r="F58" s="60"/>
      <c r="G58" s="60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6" t="s">
        <v>229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6" t="s">
        <v>168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65" t="s">
        <v>230</v>
      </c>
      <c r="B62" s="59" t="s">
        <v>231</v>
      </c>
      <c r="C62" s="60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66"/>
      <c r="B63" s="59" t="s">
        <v>232</v>
      </c>
      <c r="C63" s="60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66"/>
      <c r="B64" s="59" t="s">
        <v>233</v>
      </c>
      <c r="C64" s="60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67"/>
      <c r="B65" s="59" t="s">
        <v>234</v>
      </c>
      <c r="C65" s="60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65" t="s">
        <v>235</v>
      </c>
      <c r="B66" s="59" t="s">
        <v>236</v>
      </c>
      <c r="C66" s="59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67"/>
      <c r="B67" s="59" t="s">
        <v>237</v>
      </c>
      <c r="C67" s="60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68" t="s">
        <v>238</v>
      </c>
      <c r="B76" s="2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6" t="s">
        <v>239</v>
      </c>
      <c r="B77" s="56">
        <v>5.0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6" t="s">
        <v>240</v>
      </c>
      <c r="B78" s="56">
        <v>20.0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6" t="s">
        <v>241</v>
      </c>
      <c r="B79" s="56">
        <v>5.0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6" t="s">
        <v>242</v>
      </c>
      <c r="B80" s="56">
        <v>6.25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6" t="s">
        <v>243</v>
      </c>
      <c r="B81" s="56">
        <v>1.25</v>
      </c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6" t="s">
        <v>244</v>
      </c>
      <c r="B82" s="56">
        <v>11.25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69"/>
      <c r="B88" s="70" t="s">
        <v>95</v>
      </c>
      <c r="C88" s="71" t="s">
        <v>98</v>
      </c>
      <c r="D88" s="71" t="s">
        <v>101</v>
      </c>
      <c r="E88" s="71" t="s">
        <v>102</v>
      </c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72" t="s">
        <v>245</v>
      </c>
      <c r="B89" s="73">
        <v>2.0</v>
      </c>
      <c r="C89" s="74">
        <v>1.0</v>
      </c>
      <c r="D89" s="74">
        <v>2.0</v>
      </c>
      <c r="E89" s="74">
        <v>1.0</v>
      </c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75" t="s">
        <v>246</v>
      </c>
      <c r="B90" s="76">
        <v>500.0</v>
      </c>
      <c r="C90" s="77">
        <v>400.0</v>
      </c>
      <c r="D90" s="77">
        <v>500.0</v>
      </c>
      <c r="E90" s="77">
        <v>400.0</v>
      </c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75" t="s">
        <v>247</v>
      </c>
      <c r="B91" s="78">
        <v>95.0</v>
      </c>
      <c r="C91" s="79">
        <v>235.0</v>
      </c>
      <c r="D91" s="79">
        <v>135.0</v>
      </c>
      <c r="E91" s="79">
        <v>355.0</v>
      </c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75" t="s">
        <v>248</v>
      </c>
      <c r="B92" s="78">
        <v>105.0</v>
      </c>
      <c r="C92" s="79">
        <v>245.0</v>
      </c>
      <c r="D92" s="79">
        <v>145.0</v>
      </c>
      <c r="E92" s="79">
        <v>365.0</v>
      </c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75" t="s">
        <v>249</v>
      </c>
      <c r="B93" s="78">
        <v>83.0</v>
      </c>
      <c r="C93" s="79">
        <v>223.0</v>
      </c>
      <c r="D93" s="79">
        <v>123.0</v>
      </c>
      <c r="E93" s="79">
        <v>343.0</v>
      </c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80" t="s">
        <v>250</v>
      </c>
      <c r="B94" s="81">
        <v>65.0</v>
      </c>
      <c r="C94" s="82">
        <v>60.0</v>
      </c>
      <c r="D94" s="82">
        <v>65.0</v>
      </c>
      <c r="E94" s="82">
        <v>60.0</v>
      </c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83" t="s">
        <v>251</v>
      </c>
      <c r="B95" s="84">
        <v>165.0</v>
      </c>
      <c r="C95" s="85"/>
      <c r="D95" s="86">
        <v>245.0</v>
      </c>
      <c r="E95" s="2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87" t="s">
        <v>194</v>
      </c>
      <c r="B96" s="88">
        <v>4.106933462667581</v>
      </c>
      <c r="C96" s="88">
        <v>3.0404889138998863</v>
      </c>
      <c r="D96" s="88">
        <v>2.7464845901312693</v>
      </c>
      <c r="E96" s="88">
        <v>2.0373258688620224</v>
      </c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89" t="s">
        <v>252</v>
      </c>
      <c r="B97" s="90">
        <v>1.4575678282737237</v>
      </c>
      <c r="C97" s="90">
        <v>1.1200819955258992</v>
      </c>
      <c r="D97" s="90">
        <v>1.4858588296160615</v>
      </c>
      <c r="E97" s="90">
        <v>1.1462404594723095</v>
      </c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91"/>
      <c r="B101" s="92" t="s">
        <v>53</v>
      </c>
      <c r="C101" s="68" t="s">
        <v>56</v>
      </c>
      <c r="D101" s="68" t="s">
        <v>57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87" t="s">
        <v>58</v>
      </c>
      <c r="B102" s="93" t="s">
        <v>162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87" t="s">
        <v>253</v>
      </c>
      <c r="B103" s="93">
        <v>2600.0</v>
      </c>
      <c r="C103" s="93">
        <v>1051.063829787234</v>
      </c>
      <c r="D103" s="93">
        <v>399.70032963739885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87" t="s">
        <v>254</v>
      </c>
      <c r="B104" s="88">
        <v>205.71152164137297</v>
      </c>
      <c r="C104" s="88">
        <v>451.2469514394602</v>
      </c>
      <c r="D104" s="88">
        <v>343.76680949847224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87" t="s">
        <v>255</v>
      </c>
      <c r="B105" s="94">
        <v>257.09644653306174</v>
      </c>
      <c r="C105" s="94">
        <v>635.975420371258</v>
      </c>
      <c r="D105" s="94">
        <v>1672.379809124419</v>
      </c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87" t="s">
        <v>256</v>
      </c>
      <c r="B106" s="95">
        <v>17.0</v>
      </c>
      <c r="C106" s="95" t="s">
        <v>257</v>
      </c>
      <c r="D106" s="95">
        <v>40.0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87" t="s">
        <v>258</v>
      </c>
      <c r="B107" s="56" t="s">
        <v>259</v>
      </c>
      <c r="C107" s="56" t="s">
        <v>260</v>
      </c>
      <c r="D107" s="56" t="s">
        <v>261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87" t="s">
        <v>262</v>
      </c>
      <c r="B108" s="96">
        <v>45.0</v>
      </c>
      <c r="C108" s="96">
        <v>60.0</v>
      </c>
      <c r="D108" s="96">
        <v>55.0</v>
      </c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97" t="s">
        <v>263</v>
      </c>
      <c r="B109" s="98">
        <v>1.8467347824162978</v>
      </c>
      <c r="C109" s="98">
        <v>1.8236287660251411</v>
      </c>
      <c r="D109" s="98">
        <v>1.6866485021009057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87" t="s">
        <v>264</v>
      </c>
      <c r="B110" s="99">
        <v>7.3976420365871345</v>
      </c>
      <c r="C110" s="99">
        <v>7.385113065855262</v>
      </c>
      <c r="D110" s="99">
        <v>6.399860312580282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87" t="s">
        <v>135</v>
      </c>
      <c r="B111" s="93" t="s">
        <v>265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100"/>
      <c r="B114" s="68" t="s">
        <v>53</v>
      </c>
      <c r="C114" s="85"/>
      <c r="D114" s="68" t="s">
        <v>56</v>
      </c>
      <c r="E114" s="85"/>
      <c r="F114" s="68" t="s">
        <v>57</v>
      </c>
      <c r="G114" s="2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101" t="s">
        <v>266</v>
      </c>
      <c r="B115" s="102" t="s">
        <v>37</v>
      </c>
      <c r="C115" s="89" t="s">
        <v>38</v>
      </c>
      <c r="D115" s="102" t="s">
        <v>37</v>
      </c>
      <c r="E115" s="89" t="s">
        <v>38</v>
      </c>
      <c r="F115" s="102" t="s">
        <v>37</v>
      </c>
      <c r="G115" s="102" t="s">
        <v>38</v>
      </c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103" t="s">
        <v>267</v>
      </c>
      <c r="B116" s="94">
        <v>1645.6921731309837</v>
      </c>
      <c r="C116" s="104">
        <v>4114.23043282746</v>
      </c>
      <c r="D116" s="94">
        <v>8204.490026172003</v>
      </c>
      <c r="E116" s="104">
        <v>6835.2080568171705</v>
      </c>
      <c r="F116" s="94">
        <v>6875.336189969445</v>
      </c>
      <c r="G116" s="94">
        <v>3151.1957537359954</v>
      </c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103" t="s">
        <v>268</v>
      </c>
      <c r="B117" s="105">
        <v>0.0</v>
      </c>
      <c r="C117" s="106"/>
      <c r="D117" s="56">
        <v>0.0</v>
      </c>
      <c r="E117" s="106"/>
      <c r="F117" s="56">
        <v>0.0</v>
      </c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87" t="s">
        <v>269</v>
      </c>
      <c r="B118" s="94">
        <v>4114.23043282746</v>
      </c>
      <c r="C118" s="106"/>
      <c r="D118" s="95">
        <v>8204.49</v>
      </c>
      <c r="E118" s="106"/>
      <c r="F118" s="95">
        <v>6875.3362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102" t="s">
        <v>270</v>
      </c>
      <c r="B119" s="107">
        <v>54081.7335</v>
      </c>
      <c r="C119" s="85"/>
      <c r="D119" s="108">
        <v>79744.1494</v>
      </c>
      <c r="E119" s="85"/>
      <c r="F119" s="108">
        <v>48414.5965</v>
      </c>
      <c r="G119" s="2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87" t="s">
        <v>271</v>
      </c>
      <c r="B120" s="109">
        <v>6309.0</v>
      </c>
      <c r="C120" s="106"/>
      <c r="D120" s="109">
        <v>6312.0</v>
      </c>
      <c r="E120" s="106"/>
      <c r="F120" s="109">
        <v>6311.0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87" t="s">
        <v>272</v>
      </c>
      <c r="B121" s="110">
        <v>45.0</v>
      </c>
      <c r="C121" s="106"/>
      <c r="D121" s="110">
        <v>65.0</v>
      </c>
      <c r="E121" s="106"/>
      <c r="F121" s="110">
        <v>55.0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87" t="s">
        <v>273</v>
      </c>
      <c r="B122" s="110">
        <v>100.0</v>
      </c>
      <c r="C122" s="106"/>
      <c r="D122" s="110">
        <v>140.0</v>
      </c>
      <c r="E122" s="106"/>
      <c r="F122" s="110">
        <v>120.0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87" t="s">
        <v>274</v>
      </c>
      <c r="B123" s="110">
        <v>25.0</v>
      </c>
      <c r="C123" s="106"/>
      <c r="D123" s="110">
        <v>33.0</v>
      </c>
      <c r="E123" s="106"/>
      <c r="F123" s="110">
        <v>29.0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87" t="s">
        <v>275</v>
      </c>
      <c r="B124" s="110">
        <v>55300.0</v>
      </c>
      <c r="C124" s="106"/>
      <c r="D124" s="110">
        <v>97500.0</v>
      </c>
      <c r="E124" s="106"/>
      <c r="F124" s="110">
        <v>74100.0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87" t="s">
        <v>276</v>
      </c>
      <c r="B125" s="110">
        <v>31500.0</v>
      </c>
      <c r="C125" s="106"/>
      <c r="D125" s="110">
        <v>60000.0</v>
      </c>
      <c r="E125" s="106"/>
      <c r="F125" s="110">
        <v>45000.0</v>
      </c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97" t="s">
        <v>277</v>
      </c>
      <c r="B126" s="98"/>
      <c r="C126" s="111"/>
      <c r="D126" s="98"/>
      <c r="E126" s="111"/>
      <c r="F126" s="112">
        <v>1251.9091</v>
      </c>
      <c r="G126" s="113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87" t="s">
        <v>278</v>
      </c>
      <c r="B127" s="99"/>
      <c r="C127" s="106"/>
      <c r="D127" s="99"/>
      <c r="E127" s="106"/>
      <c r="F127" s="114">
        <v>17.9265</v>
      </c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115"/>
      <c r="B132" s="93">
        <v>54081.7335</v>
      </c>
      <c r="C132" s="88"/>
      <c r="D132" s="88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115"/>
      <c r="B133" s="93">
        <v>79744.1494</v>
      </c>
      <c r="C133" s="88"/>
      <c r="D133" s="88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115"/>
      <c r="B134" s="93">
        <v>48414.5965</v>
      </c>
      <c r="C134" s="88"/>
      <c r="D134" s="88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</sheetData>
  <mergeCells count="50">
    <mergeCell ref="D124:E124"/>
    <mergeCell ref="F124:G124"/>
    <mergeCell ref="B122:C122"/>
    <mergeCell ref="D122:E122"/>
    <mergeCell ref="F122:G122"/>
    <mergeCell ref="B123:C123"/>
    <mergeCell ref="D123:E123"/>
    <mergeCell ref="F123:G123"/>
    <mergeCell ref="B124:C124"/>
    <mergeCell ref="B28:E28"/>
    <mergeCell ref="B29:C29"/>
    <mergeCell ref="D29:E29"/>
    <mergeCell ref="B30:E30"/>
    <mergeCell ref="B45:C45"/>
    <mergeCell ref="D45:E45"/>
    <mergeCell ref="F45:G45"/>
    <mergeCell ref="A62:A65"/>
    <mergeCell ref="A66:A67"/>
    <mergeCell ref="A76:B76"/>
    <mergeCell ref="B95:C95"/>
    <mergeCell ref="D95:E95"/>
    <mergeCell ref="B102:D102"/>
    <mergeCell ref="B111:D111"/>
    <mergeCell ref="D118:E118"/>
    <mergeCell ref="F118:G118"/>
    <mergeCell ref="B114:C114"/>
    <mergeCell ref="D114:E114"/>
    <mergeCell ref="F114:G114"/>
    <mergeCell ref="B117:C117"/>
    <mergeCell ref="D117:E117"/>
    <mergeCell ref="F117:G117"/>
    <mergeCell ref="B118:C118"/>
    <mergeCell ref="D121:E121"/>
    <mergeCell ref="F121:G121"/>
    <mergeCell ref="B119:C119"/>
    <mergeCell ref="D119:E119"/>
    <mergeCell ref="F119:G119"/>
    <mergeCell ref="B120:C120"/>
    <mergeCell ref="D120:E120"/>
    <mergeCell ref="F120:G120"/>
    <mergeCell ref="B121:C121"/>
    <mergeCell ref="D127:E127"/>
    <mergeCell ref="F127:G127"/>
    <mergeCell ref="B125:C125"/>
    <mergeCell ref="D125:E125"/>
    <mergeCell ref="F125:G125"/>
    <mergeCell ref="B126:C126"/>
    <mergeCell ref="D126:E126"/>
    <mergeCell ref="F126:G126"/>
    <mergeCell ref="B127:C1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88"/>
    <col customWidth="1" min="2" max="2" width="25.0"/>
    <col customWidth="1" min="3" max="3" width="10.38"/>
    <col customWidth="1" min="4" max="4" width="13.5"/>
    <col customWidth="1" min="5" max="5" width="11.63"/>
    <col customWidth="1" min="6" max="6" width="11.75"/>
    <col customWidth="1" min="7" max="7" width="10.88"/>
    <col customWidth="1" min="8" max="8" width="10.0"/>
    <col customWidth="1" min="9" max="9" width="8.88"/>
    <col customWidth="1" min="10" max="10" width="10.0"/>
    <col customWidth="1" min="11" max="11" width="7.5"/>
    <col customWidth="1" min="12" max="12" width="7.0"/>
    <col customWidth="1" min="13" max="13" width="8.0"/>
    <col customWidth="1" min="14" max="14" width="7.0"/>
    <col customWidth="1" min="15" max="15" width="11.63"/>
    <col customWidth="1" min="16" max="16" width="7.25"/>
    <col customWidth="1" min="17" max="17" width="8.63"/>
    <col customWidth="1" min="18" max="19" width="4.38"/>
    <col customWidth="1" min="20" max="20" width="6.0"/>
    <col customWidth="1" min="21" max="22" width="5.5"/>
    <col customWidth="1" min="23" max="23" width="5.75"/>
    <col customWidth="1" min="24" max="24" width="5.13"/>
  </cols>
  <sheetData>
    <row r="1">
      <c r="A1" s="1" t="s">
        <v>0</v>
      </c>
      <c r="B1" s="2"/>
      <c r="C1" s="2"/>
      <c r="D1" s="2"/>
      <c r="E1" s="6"/>
      <c r="F1" s="6"/>
      <c r="G1" s="6"/>
      <c r="H1" s="8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 t="s">
        <v>11</v>
      </c>
      <c r="B9" s="10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3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4" t="s">
        <v>15</v>
      </c>
      <c r="B15" s="15"/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29</v>
      </c>
      <c r="B16" s="10">
        <v>23.0</v>
      </c>
      <c r="C16" s="6" t="s">
        <v>30</v>
      </c>
      <c r="D16" s="16">
        <f t="shared" ref="D16:D19" si="1">B16*$B$7</f>
        <v>0.115</v>
      </c>
      <c r="E16" s="16">
        <f t="shared" ref="E16:E19" si="2">D16/2</f>
        <v>0.0575</v>
      </c>
      <c r="F16" s="16">
        <f t="shared" ref="F16:F19" si="3">D16+2*$B$8</f>
        <v>0.125</v>
      </c>
      <c r="G16" s="16">
        <f t="shared" ref="G16:G19" si="4">D16-2*$B$9</f>
        <v>0.1025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4471.242548</v>
      </c>
      <c r="L16" s="16">
        <f t="shared" ref="L16:L19" si="7">M16*sin(RADIANS($B$10))</f>
        <v>1627.399198</v>
      </c>
      <c r="M16" s="16">
        <f t="shared" ref="M16:M19" si="8">K16/cos(RADIANS($B$10))</f>
        <v>4758.196935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31</v>
      </c>
      <c r="B17" s="11">
        <v>51.0</v>
      </c>
      <c r="C17" s="6" t="s">
        <v>30</v>
      </c>
      <c r="D17" s="16">
        <f t="shared" si="1"/>
        <v>0.255</v>
      </c>
      <c r="E17" s="16">
        <f t="shared" si="2"/>
        <v>0.1275</v>
      </c>
      <c r="F17" s="16">
        <f t="shared" si="3"/>
        <v>0.265</v>
      </c>
      <c r="G17" s="16">
        <f t="shared" si="4"/>
        <v>0.2425</v>
      </c>
      <c r="H17" s="16">
        <f>12*B7</f>
        <v>0.06</v>
      </c>
      <c r="I17" s="16" t="s">
        <v>9</v>
      </c>
      <c r="J17" s="16">
        <f t="shared" si="5"/>
        <v>570.0834249</v>
      </c>
      <c r="K17" s="16">
        <f t="shared" si="6"/>
        <v>4471.242548</v>
      </c>
      <c r="L17" s="16">
        <f t="shared" si="7"/>
        <v>1627.399198</v>
      </c>
      <c r="M17" s="16">
        <f t="shared" si="8"/>
        <v>4758.196935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32</v>
      </c>
      <c r="B18" s="10">
        <v>33.0</v>
      </c>
      <c r="C18" s="6" t="s">
        <v>30</v>
      </c>
      <c r="D18" s="16">
        <f t="shared" si="1"/>
        <v>0.165</v>
      </c>
      <c r="E18" s="16">
        <f t="shared" si="2"/>
        <v>0.0825</v>
      </c>
      <c r="F18" s="16">
        <f t="shared" si="3"/>
        <v>0.175</v>
      </c>
      <c r="G18" s="16">
        <f t="shared" si="4"/>
        <v>0.1525</v>
      </c>
      <c r="H18" s="16">
        <f>13*B7</f>
        <v>0.065</v>
      </c>
      <c r="I18" s="16" t="s">
        <v>9</v>
      </c>
      <c r="J18" s="16">
        <f t="shared" ref="J18:J19" si="9">60*O18/(2*pi()*B29)</f>
        <v>570.0834249</v>
      </c>
      <c r="K18" s="16">
        <f t="shared" si="6"/>
        <v>6910.10212</v>
      </c>
      <c r="L18" s="16">
        <f t="shared" si="7"/>
        <v>2515.071488</v>
      </c>
      <c r="M18" s="16">
        <f t="shared" si="8"/>
        <v>7353.577082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7" t="s">
        <v>33</v>
      </c>
      <c r="B19" s="18">
        <v>61.0</v>
      </c>
      <c r="C19" s="17" t="s">
        <v>30</v>
      </c>
      <c r="D19" s="19">
        <f t="shared" si="1"/>
        <v>0.305</v>
      </c>
      <c r="E19" s="19">
        <f t="shared" si="2"/>
        <v>0.1525</v>
      </c>
      <c r="F19" s="19">
        <f t="shared" si="3"/>
        <v>0.315</v>
      </c>
      <c r="G19" s="19">
        <f t="shared" si="4"/>
        <v>0.2925</v>
      </c>
      <c r="H19" s="19">
        <f>12*B7</f>
        <v>0.06</v>
      </c>
      <c r="I19" s="19" t="s">
        <v>9</v>
      </c>
      <c r="J19" s="19">
        <f t="shared" si="9"/>
        <v>1053.790573</v>
      </c>
      <c r="K19" s="19">
        <f t="shared" si="6"/>
        <v>6910.10212</v>
      </c>
      <c r="L19" s="19">
        <f t="shared" si="7"/>
        <v>2515.071488</v>
      </c>
      <c r="M19" s="19">
        <f t="shared" si="8"/>
        <v>7353.577082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7</v>
      </c>
      <c r="B20" s="6">
        <f>B19*B17/(B16*B18)</f>
        <v>4.098814229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5</v>
      </c>
      <c r="B21" s="21">
        <f>2600/B20</f>
        <v>634.3297975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2" t="s">
        <v>34</v>
      </c>
      <c r="B22" s="23">
        <f>(B21-B3)/B3</f>
        <v>0.5858244937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35</v>
      </c>
      <c r="B24" s="6">
        <f>B16/B17</f>
        <v>0.4509803922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36</v>
      </c>
      <c r="B25" s="6">
        <f>B18/B19</f>
        <v>0.5409836066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53</v>
      </c>
      <c r="B28" s="24">
        <f>B2</f>
        <v>2600</v>
      </c>
      <c r="C28" s="8" t="s">
        <v>3</v>
      </c>
      <c r="D28" s="25">
        <v>0.05</v>
      </c>
      <c r="E28" s="8">
        <f t="shared" ref="E28:F28" si="10">K16-G28</f>
        <v>1490.414183</v>
      </c>
      <c r="F28" s="6">
        <f t="shared" si="10"/>
        <v>542.4663993</v>
      </c>
      <c r="G28" s="6">
        <f>(B41+B42)*K16/(B44)</f>
        <v>2980.828366</v>
      </c>
      <c r="H28" s="6">
        <f>(B41+B42)*L16/(B44)</f>
        <v>1084.932799</v>
      </c>
      <c r="I28" s="13" t="s">
        <v>16</v>
      </c>
      <c r="J28" s="26">
        <f>-(F28)*(B41+B42)</f>
        <v>-108.4932799</v>
      </c>
      <c r="K28" s="26">
        <f>E28*(B41+B42)</f>
        <v>298.0828366</v>
      </c>
      <c r="L28" s="6">
        <f t="shared" ref="L28:L30" si="11">SQRT(J28^2+K28^2)</f>
        <v>317.213129</v>
      </c>
      <c r="M28" s="6">
        <f t="shared" ref="M28:M30" si="12">SQRT(E28^2 + F28^2)</f>
        <v>1586.065645</v>
      </c>
      <c r="N28" s="6">
        <f t="shared" ref="N28:N30" si="13">SQRt(G28^2+H28^2)</f>
        <v>3172.13129</v>
      </c>
      <c r="O28" s="6">
        <f t="shared" ref="O28:O30" si="14">Convert(32*L28/(PI()*D28^3),"Pa","MPa")</f>
        <v>25.8488512</v>
      </c>
      <c r="P28" s="6">
        <f t="shared" ref="P28:P30" si="15">Convert(16*J16/(PI()*D28^3),"Pa","MPa")</f>
        <v>10.4750516</v>
      </c>
      <c r="Q28" s="6">
        <f t="shared" ref="Q28:Q30" si="16">Convert(MAX(M28,N28) * 16 / (3*Pi()*D28^2),"Pa","MPa")</f>
        <v>2.154070933</v>
      </c>
      <c r="R28" s="8" t="s">
        <v>54</v>
      </c>
      <c r="S28" s="8"/>
      <c r="T28" s="6"/>
      <c r="U28" s="8" t="s">
        <v>55</v>
      </c>
      <c r="V28" s="6"/>
      <c r="W28" s="6"/>
      <c r="X28" s="6"/>
      <c r="Y28" s="6"/>
      <c r="Z28" s="6"/>
      <c r="AA28" s="6"/>
      <c r="AB28" s="6"/>
      <c r="AC28" s="6"/>
    </row>
    <row r="29">
      <c r="A29" s="8" t="s">
        <v>56</v>
      </c>
      <c r="B29" s="24">
        <f>B2*B16/B17</f>
        <v>1172.54902</v>
      </c>
      <c r="C29" s="8" t="s">
        <v>3</v>
      </c>
      <c r="D29" s="25">
        <v>0.065</v>
      </c>
      <c r="E29" s="8">
        <f>K17+K18-G29</f>
        <v>6097.14893</v>
      </c>
      <c r="F29" s="6">
        <f>L18-L17+H29</f>
        <v>1134.247926</v>
      </c>
      <c r="G29" s="6">
        <f>(B41*K18+K17*(B41+B42))/B44</f>
        <v>5284.195739</v>
      </c>
      <c r="H29" s="6">
        <f>(L16*(B41+B42)-L18*B41)/B44</f>
        <v>246.575636</v>
      </c>
      <c r="I29" s="13" t="s">
        <v>16</v>
      </c>
      <c r="J29" s="26">
        <f>-F29*B41</f>
        <v>-113.4247926</v>
      </c>
      <c r="K29" s="27">
        <f>-E29*B41</f>
        <v>-609.714893</v>
      </c>
      <c r="L29" s="6">
        <f t="shared" si="11"/>
        <v>620.1753254</v>
      </c>
      <c r="M29" s="6">
        <f t="shared" si="12"/>
        <v>6201.753254</v>
      </c>
      <c r="N29" s="6">
        <f t="shared" si="13"/>
        <v>5289.945572</v>
      </c>
      <c r="O29" s="6">
        <f t="shared" si="14"/>
        <v>23.00247243</v>
      </c>
      <c r="P29" s="6">
        <f t="shared" si="15"/>
        <v>10.57227507</v>
      </c>
      <c r="Q29" s="6">
        <f t="shared" si="16"/>
        <v>2.491934514</v>
      </c>
      <c r="R29" s="8" t="s">
        <v>54</v>
      </c>
      <c r="S29" s="8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 t="s">
        <v>57</v>
      </c>
      <c r="B30" s="24">
        <f>B21</f>
        <v>634.3297975</v>
      </c>
      <c r="C30" s="8" t="s">
        <v>3</v>
      </c>
      <c r="D30" s="25">
        <v>0.065</v>
      </c>
      <c r="E30" s="8">
        <f t="shared" ref="E30:F30" si="17">K18-G30</f>
        <v>4606.734747</v>
      </c>
      <c r="F30" s="6">
        <f t="shared" si="17"/>
        <v>1676.714325</v>
      </c>
      <c r="G30" s="6">
        <f>B41*K18/B44</f>
        <v>2303.367373</v>
      </c>
      <c r="H30" s="6">
        <f>B41*L18/B44</f>
        <v>838.3571625</v>
      </c>
      <c r="I30" s="13" t="s">
        <v>16</v>
      </c>
      <c r="J30" s="26">
        <f>(F30)*(B43)</f>
        <v>167.6714325</v>
      </c>
      <c r="K30" s="26">
        <f>E30*(B43)</f>
        <v>460.6734747</v>
      </c>
      <c r="L30" s="6">
        <f t="shared" si="11"/>
        <v>490.2384721</v>
      </c>
      <c r="M30" s="6">
        <f t="shared" si="12"/>
        <v>4902.384721</v>
      </c>
      <c r="N30" s="6">
        <f t="shared" si="13"/>
        <v>2451.192361</v>
      </c>
      <c r="O30" s="6">
        <f t="shared" si="14"/>
        <v>18.18307901</v>
      </c>
      <c r="P30" s="6">
        <f t="shared" si="15"/>
        <v>10.57227507</v>
      </c>
      <c r="Q30" s="6">
        <f t="shared" si="16"/>
        <v>1.969833559</v>
      </c>
      <c r="R30" s="8" t="s">
        <v>54</v>
      </c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9" t="s">
        <v>63</v>
      </c>
      <c r="B33" s="10">
        <v>200000.0</v>
      </c>
      <c r="C33" s="10">
        <v>394.72</v>
      </c>
      <c r="D33" s="10">
        <v>0.29</v>
      </c>
      <c r="E33" s="10">
        <v>294.74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30" t="s">
        <v>73</v>
      </c>
      <c r="K35" s="30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53</v>
      </c>
      <c r="B36" s="25">
        <v>3.0</v>
      </c>
      <c r="C36" s="25">
        <v>2.8</v>
      </c>
      <c r="D36" s="8">
        <f t="shared" ref="D36:D38" si="18">1.58*($C$33)^-0.085</f>
        <v>0.9505446257</v>
      </c>
      <c r="E36" s="6">
        <f t="shared" ref="E36:E38" si="19">1.189*(Convert(D28,"m","mm"))^-0.112</f>
        <v>0.7671798969</v>
      </c>
      <c r="F36" s="8">
        <v>0.82</v>
      </c>
      <c r="G36" s="8">
        <v>1.0</v>
      </c>
      <c r="H36" s="8">
        <v>1.0</v>
      </c>
      <c r="I36" s="6">
        <f t="shared" ref="I36:I38" si="20">0.5*$C$33</f>
        <v>197.36</v>
      </c>
      <c r="J36" s="6">
        <f t="shared" ref="J36:J38" si="21">sqrt((B36*O28)^2+3*(C36*Q28)^2)</f>
        <v>78.24705287</v>
      </c>
      <c r="K36" s="6">
        <f t="shared" ref="K36:K38" si="22">sqrt(3*(P28)^2)</f>
        <v>18.14332159</v>
      </c>
      <c r="L36" s="6">
        <f t="shared" ref="L36:L38" si="23">((J36/(D36*E36*F36*G36*H36*I36))+(K36/$C$33))^(-1)</f>
        <v>1.410471103</v>
      </c>
      <c r="M36" s="6">
        <f t="shared" ref="M36:M38" si="24">(sqrt(O28^2+3*Q28^2)/$E$33 + sqrt(3*(P28)^2)/$E$33)^-1</f>
        <v>6.659279465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56</v>
      </c>
      <c r="B37" s="25">
        <v>3.0</v>
      </c>
      <c r="C37" s="25">
        <v>2.8</v>
      </c>
      <c r="D37" s="8">
        <f t="shared" si="18"/>
        <v>0.9505446257</v>
      </c>
      <c r="E37" s="6">
        <f t="shared" si="19"/>
        <v>0.7449644674</v>
      </c>
      <c r="F37" s="8">
        <v>0.82</v>
      </c>
      <c r="G37" s="8">
        <v>1.0</v>
      </c>
      <c r="H37" s="8">
        <v>1.0</v>
      </c>
      <c r="I37" s="6">
        <f t="shared" si="20"/>
        <v>197.36</v>
      </c>
      <c r="J37" s="6">
        <f t="shared" si="21"/>
        <v>70.05766676</v>
      </c>
      <c r="K37" s="6">
        <f t="shared" si="22"/>
        <v>18.31171758</v>
      </c>
      <c r="L37" s="6">
        <f t="shared" si="23"/>
        <v>1.520403545</v>
      </c>
      <c r="M37" s="6">
        <f t="shared" si="24"/>
        <v>7.06545784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57</v>
      </c>
      <c r="B38" s="25">
        <v>3.0</v>
      </c>
      <c r="C38" s="25">
        <v>2.8</v>
      </c>
      <c r="D38" s="8">
        <f t="shared" si="18"/>
        <v>0.9505446257</v>
      </c>
      <c r="E38" s="6">
        <f t="shared" si="19"/>
        <v>0.7449644674</v>
      </c>
      <c r="F38" s="8">
        <v>0.82</v>
      </c>
      <c r="G38" s="8">
        <v>1.0</v>
      </c>
      <c r="H38" s="8">
        <v>1.0</v>
      </c>
      <c r="I38" s="6">
        <f t="shared" si="20"/>
        <v>197.36</v>
      </c>
      <c r="J38" s="6">
        <f t="shared" si="21"/>
        <v>55.37944208</v>
      </c>
      <c r="K38" s="6">
        <f t="shared" si="22"/>
        <v>18.31171758</v>
      </c>
      <c r="L38" s="6">
        <f t="shared" si="23"/>
        <v>1.888086222</v>
      </c>
      <c r="M38" s="6">
        <f t="shared" si="24"/>
        <v>8.006600968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 t="s">
        <v>10</v>
      </c>
      <c r="B41" s="10">
        <v>0.1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11</v>
      </c>
      <c r="B42" s="10">
        <v>0.1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2" t="s">
        <v>80</v>
      </c>
      <c r="B43" s="18">
        <v>0.1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2" t="s">
        <v>82</v>
      </c>
      <c r="B44" s="17">
        <f>B41+B42+B43</f>
        <v>0.3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83</v>
      </c>
      <c r="B45" s="11">
        <f>E16+E17</f>
        <v>0.185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2" t="s">
        <v>84</v>
      </c>
      <c r="B46" s="31">
        <f>E18+E19</f>
        <v>0.235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85</v>
      </c>
      <c r="B47" s="6">
        <f>B45+B46</f>
        <v>0.42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1" t="s">
        <v>90</v>
      </c>
      <c r="B49" s="32">
        <v>873600.0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8"/>
      <c r="N49" s="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8" t="s">
        <v>53</v>
      </c>
      <c r="B50" s="8">
        <f t="shared" ref="B50:B52" si="25">$B$49*B28</f>
        <v>2271360000</v>
      </c>
      <c r="C50" s="8" t="s">
        <v>91</v>
      </c>
      <c r="D50" s="6"/>
      <c r="E50" s="6"/>
      <c r="F50" s="6"/>
      <c r="G50" s="6"/>
      <c r="H50" s="8"/>
      <c r="I50" s="6"/>
      <c r="J50" s="6"/>
      <c r="K50" s="6"/>
      <c r="L50" s="6"/>
      <c r="M50" s="16"/>
      <c r="N50" s="6"/>
      <c r="O50" s="1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 t="s">
        <v>56</v>
      </c>
      <c r="B51" s="8">
        <f t="shared" si="25"/>
        <v>1024338824</v>
      </c>
      <c r="C51" s="8" t="s">
        <v>91</v>
      </c>
      <c r="D51" s="6"/>
      <c r="E51" s="6"/>
      <c r="F51" s="6"/>
      <c r="G51" s="6"/>
      <c r="H51" s="7"/>
      <c r="I51" s="6"/>
      <c r="J51" s="6"/>
      <c r="K51" s="6"/>
      <c r="L51" s="6"/>
      <c r="M51" s="16"/>
      <c r="N51" s="6"/>
      <c r="O51" s="1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8" t="s">
        <v>57</v>
      </c>
      <c r="B52" s="8">
        <f t="shared" si="25"/>
        <v>554150511.1</v>
      </c>
      <c r="C52" s="8" t="s">
        <v>91</v>
      </c>
      <c r="D52" s="6"/>
      <c r="E52" s="6"/>
      <c r="F52" s="6"/>
      <c r="G52" s="6"/>
      <c r="H52" s="7"/>
      <c r="I52" s="6"/>
      <c r="J52" s="6"/>
      <c r="K52" s="6"/>
      <c r="L52" s="6"/>
      <c r="M52" s="16"/>
      <c r="N52" s="6"/>
      <c r="O52" s="1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/>
      <c r="B53" s="8"/>
      <c r="C53" s="6"/>
      <c r="D53" s="6"/>
      <c r="E53" s="6"/>
      <c r="F53" s="6"/>
      <c r="G53" s="6"/>
      <c r="H53" s="7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1" t="s">
        <v>92</v>
      </c>
      <c r="B54" s="1"/>
      <c r="C54" s="1" t="s">
        <v>55</v>
      </c>
      <c r="D54" s="1" t="s">
        <v>93</v>
      </c>
      <c r="E54" s="1" t="s">
        <v>61</v>
      </c>
      <c r="F54" s="1" t="s">
        <v>94</v>
      </c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8" t="s">
        <v>95</v>
      </c>
      <c r="B55" s="29" t="s">
        <v>96</v>
      </c>
      <c r="C55" s="10">
        <v>360.0</v>
      </c>
      <c r="D55" s="11">
        <f t="shared" ref="D55:D58" si="26">Convert(200,"GPa","MPa")</f>
        <v>200000</v>
      </c>
      <c r="E55" s="10">
        <v>0.285</v>
      </c>
      <c r="F55" s="8" t="s">
        <v>97</v>
      </c>
      <c r="G55" s="8"/>
      <c r="H55" s="6"/>
      <c r="I55" s="6"/>
      <c r="J55" s="6"/>
      <c r="K55" s="6"/>
      <c r="L55" s="6"/>
      <c r="M55" s="6"/>
      <c r="N55" s="6"/>
      <c r="O55" s="6"/>
      <c r="P55" s="6"/>
      <c r="Q55" s="8" t="s">
        <v>75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 t="s">
        <v>98</v>
      </c>
      <c r="B56" s="29" t="s">
        <v>99</v>
      </c>
      <c r="C56" s="10">
        <v>310.0</v>
      </c>
      <c r="D56" s="11">
        <f t="shared" si="26"/>
        <v>200000</v>
      </c>
      <c r="E56" s="10">
        <v>0.285</v>
      </c>
      <c r="F56" s="8" t="s">
        <v>100</v>
      </c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8" t="s">
        <v>101</v>
      </c>
      <c r="B57" s="29" t="s">
        <v>96</v>
      </c>
      <c r="C57" s="10">
        <v>360.0</v>
      </c>
      <c r="D57" s="11">
        <f t="shared" si="26"/>
        <v>200000</v>
      </c>
      <c r="E57" s="10">
        <v>0.285</v>
      </c>
      <c r="F57" s="8" t="s">
        <v>97</v>
      </c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8" t="s">
        <v>102</v>
      </c>
      <c r="B58" s="29" t="s">
        <v>99</v>
      </c>
      <c r="C58" s="10">
        <v>310.0</v>
      </c>
      <c r="D58" s="11">
        <f t="shared" si="26"/>
        <v>200000</v>
      </c>
      <c r="E58" s="10">
        <v>0.285</v>
      </c>
      <c r="F58" s="8" t="s">
        <v>100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8"/>
      <c r="B59" s="6"/>
      <c r="C59" s="6"/>
      <c r="D59" s="6"/>
      <c r="E59" s="6"/>
      <c r="F59" s="6"/>
      <c r="G59" s="6"/>
      <c r="H59" s="6"/>
      <c r="I59" s="6"/>
      <c r="J59" s="8"/>
      <c r="K59" s="6"/>
      <c r="L59" s="6"/>
      <c r="M59" s="6"/>
      <c r="N59" s="6"/>
      <c r="O59" s="6"/>
      <c r="P59" s="8"/>
      <c r="Q59" s="8"/>
      <c r="R59" s="6"/>
      <c r="S59" s="6"/>
      <c r="T59" s="6"/>
      <c r="U59" s="6"/>
      <c r="V59" s="6"/>
      <c r="W59" s="8"/>
      <c r="X59" s="6"/>
      <c r="Y59" s="6"/>
      <c r="Z59" s="6"/>
      <c r="AA59" s="6"/>
      <c r="AB59" s="6"/>
      <c r="AC59" s="6"/>
    </row>
    <row r="60">
      <c r="A60" s="1" t="s">
        <v>103</v>
      </c>
      <c r="B60" s="1" t="s">
        <v>104</v>
      </c>
      <c r="C60" s="1" t="s">
        <v>105</v>
      </c>
      <c r="D60" s="1" t="s">
        <v>106</v>
      </c>
      <c r="E60" s="1" t="s">
        <v>107</v>
      </c>
      <c r="F60" s="1" t="s">
        <v>108</v>
      </c>
      <c r="G60" s="1" t="s">
        <v>109</v>
      </c>
      <c r="H60" s="1" t="s">
        <v>110</v>
      </c>
      <c r="I60" s="5"/>
      <c r="J60" s="33" t="s">
        <v>111</v>
      </c>
      <c r="K60" s="1" t="s">
        <v>112</v>
      </c>
      <c r="L60" s="1" t="s">
        <v>113</v>
      </c>
      <c r="M60" s="1" t="s">
        <v>114</v>
      </c>
      <c r="N60" s="1" t="s">
        <v>115</v>
      </c>
      <c r="O60" s="1" t="s">
        <v>116</v>
      </c>
      <c r="P60" s="33" t="s">
        <v>117</v>
      </c>
      <c r="Q60" s="1" t="s">
        <v>118</v>
      </c>
      <c r="R60" s="1" t="s">
        <v>75</v>
      </c>
      <c r="S60" s="6"/>
      <c r="T60" s="1" t="s">
        <v>119</v>
      </c>
      <c r="U60" s="1" t="s">
        <v>120</v>
      </c>
      <c r="V60" s="1" t="s">
        <v>121</v>
      </c>
      <c r="W60" s="1" t="s">
        <v>122</v>
      </c>
      <c r="X60" s="1" t="s">
        <v>116</v>
      </c>
      <c r="Y60" s="6"/>
      <c r="Z60" s="8"/>
      <c r="AA60" s="8"/>
      <c r="AB60" s="6"/>
      <c r="AC60" s="6"/>
    </row>
    <row r="61">
      <c r="A61" s="8" t="s">
        <v>95</v>
      </c>
      <c r="B61" s="6">
        <f>2.4*C55+237</f>
        <v>1101</v>
      </c>
      <c r="C61" s="6">
        <f t="shared" ref="C61:C62" si="27">2.466*B50^-0.056</f>
        <v>0.7379739941</v>
      </c>
      <c r="D61" s="6">
        <f>C55/C56</f>
        <v>1.161290323</v>
      </c>
      <c r="E61" s="8"/>
      <c r="F61" s="8">
        <v>1.0</v>
      </c>
      <c r="G61" s="8">
        <v>1.0</v>
      </c>
      <c r="H61" s="6">
        <f>B61*C61/(F61*G61)</f>
        <v>812.5093675</v>
      </c>
      <c r="I61" s="8"/>
      <c r="J61" s="34">
        <f>sqrt(2/((1-E55^2)/Convert(D55,"MPa","Pa") + (1-E56^2)/Convert(D56,"MPa","Pa")))</f>
        <v>466563.1271</v>
      </c>
      <c r="K61" s="35">
        <f>(PI() * Cos(Radians(B10)) * sin(RADIANS(B10)))/(1+D16/D17)</f>
        <v>0.6958663409</v>
      </c>
      <c r="L61" s="36">
        <v>1.0</v>
      </c>
      <c r="M61" s="36">
        <v>1.0</v>
      </c>
      <c r="N61" s="36">
        <v>1.2</v>
      </c>
      <c r="O61" s="6">
        <f t="shared" ref="O61:O64" si="28">X61</f>
        <v>1.72529211</v>
      </c>
      <c r="P61" s="37">
        <f>J61*(K16 * L61* M61* N61* O61 / (H16*D16*K61))^(1/2)</f>
        <v>622411997.3</v>
      </c>
      <c r="Q61" s="38">
        <f t="shared" ref="Q61:Q64" si="29">Convert(P61,"Pa","MPa")</f>
        <v>622.4119973</v>
      </c>
      <c r="R61" s="21">
        <f t="shared" ref="R61:R64" si="30">H61/Q61</f>
        <v>1.305420479</v>
      </c>
      <c r="S61" s="6"/>
      <c r="T61" s="6">
        <f>50+56*(1-U61)</f>
        <v>59.77301852</v>
      </c>
      <c r="U61" s="6">
        <f>((12-V61)^(2/3))/4</f>
        <v>0.8254818122</v>
      </c>
      <c r="V61" s="8">
        <v>6.0</v>
      </c>
      <c r="W61" s="6">
        <f t="shared" ref="W61:W62" si="31">pi()*B28*D16/60</f>
        <v>15.65560339</v>
      </c>
      <c r="X61" s="6">
        <f t="shared" ref="X61:X64" si="32">((T61+SQRT(200*W61))/T61)^U61</f>
        <v>1.72529211</v>
      </c>
      <c r="Y61" s="6"/>
      <c r="Z61" s="7"/>
      <c r="AA61" s="6"/>
      <c r="AB61" s="6"/>
      <c r="AC61" s="6"/>
    </row>
    <row r="62">
      <c r="A62" s="8" t="s">
        <v>98</v>
      </c>
      <c r="B62" s="6">
        <f>2.22*C56+200</f>
        <v>888.2</v>
      </c>
      <c r="C62" s="6">
        <f t="shared" si="27"/>
        <v>0.7716284448</v>
      </c>
      <c r="D62" s="6">
        <f>C55/C56</f>
        <v>1.161290323</v>
      </c>
      <c r="E62" s="6">
        <f>1+(((8.89*10^-3)*D61)-(8.29*10^-3))*(B17/B16-1)</f>
        <v>1.002476017</v>
      </c>
      <c r="F62" s="8">
        <v>1.0</v>
      </c>
      <c r="G62" s="8">
        <v>1.0</v>
      </c>
      <c r="H62" s="6">
        <f>B62*C62*E62/(F62*G62)</f>
        <v>687.0573485</v>
      </c>
      <c r="I62" s="8"/>
      <c r="J62" s="34">
        <f>sqrt(2/((1-E55^2)/Convert(D55,"MPa","Pa") + (1-E56^2)/Convert(D56,"MPa","Pa")))</f>
        <v>466563.1271</v>
      </c>
      <c r="K62" s="35">
        <f>(PI() * Cos(Radians(B10)) * sin(RADIANS(B10)))/(1+D16/D17)</f>
        <v>0.6958663409</v>
      </c>
      <c r="L62" s="36">
        <v>1.0</v>
      </c>
      <c r="M62" s="36">
        <v>1.0</v>
      </c>
      <c r="N62" s="36">
        <v>1.1</v>
      </c>
      <c r="O62" s="6">
        <f t="shared" si="28"/>
        <v>1.72529211</v>
      </c>
      <c r="P62" s="37">
        <f>J62*(K17 * L62* M62* N62* O62 / (H17*D16*K62))^(1/2)</f>
        <v>620247079.5</v>
      </c>
      <c r="Q62" s="38">
        <f t="shared" si="29"/>
        <v>620.2470795</v>
      </c>
      <c r="R62" s="21">
        <f t="shared" si="30"/>
        <v>1.107715572</v>
      </c>
      <c r="S62" s="6"/>
      <c r="T62" s="6">
        <v>59.77301851547523</v>
      </c>
      <c r="U62" s="6">
        <v>0.8254818122236567</v>
      </c>
      <c r="V62" s="8">
        <v>6.0</v>
      </c>
      <c r="W62" s="6">
        <f t="shared" si="31"/>
        <v>15.65560339</v>
      </c>
      <c r="X62" s="6">
        <f t="shared" si="32"/>
        <v>1.72529211</v>
      </c>
      <c r="Y62" s="6"/>
      <c r="Z62" s="6"/>
      <c r="AA62" s="6"/>
      <c r="AB62" s="6"/>
      <c r="AC62" s="6"/>
    </row>
    <row r="63">
      <c r="A63" s="8" t="s">
        <v>101</v>
      </c>
      <c r="B63" s="6">
        <f>2.4*C57+237</f>
        <v>1101</v>
      </c>
      <c r="C63" s="6">
        <f t="shared" ref="C63:C64" si="33">2.466*B51^-0.056</f>
        <v>0.7716284448</v>
      </c>
      <c r="D63" s="6">
        <f>C57/C58</f>
        <v>1.161290323</v>
      </c>
      <c r="E63" s="8"/>
      <c r="F63" s="8">
        <v>1.0</v>
      </c>
      <c r="G63" s="8">
        <v>1.0</v>
      </c>
      <c r="H63" s="6">
        <f>B63*C63/(F63*G63)</f>
        <v>849.5629177</v>
      </c>
      <c r="I63" s="8"/>
      <c r="J63" s="34">
        <f>sqrt(2/((1-E57^2)/Convert(D57,"MPa","Pa") + (1-E58^2)/Convert(D58,"MPa","Pa")))</f>
        <v>466563.1271</v>
      </c>
      <c r="K63" s="35">
        <f>(PI() * Cos(Radians(B10)) * sin(RADIANS(B10)))/(1+D18/D19)</f>
        <v>0.6552233339</v>
      </c>
      <c r="L63" s="36">
        <v>1.0</v>
      </c>
      <c r="M63" s="36">
        <v>1.0</v>
      </c>
      <c r="N63" s="36">
        <v>1.2</v>
      </c>
      <c r="O63" s="6">
        <f t="shared" si="28"/>
        <v>1.589443902</v>
      </c>
      <c r="P63" s="37">
        <f>J63*(K18 * L63* M63* N63* O63 / (H18*D18*K63))^(1/2)</f>
        <v>638958339.9</v>
      </c>
      <c r="Q63" s="38">
        <f t="shared" si="29"/>
        <v>638.9583399</v>
      </c>
      <c r="R63" s="21">
        <f t="shared" si="30"/>
        <v>1.329606118</v>
      </c>
      <c r="S63" s="6"/>
      <c r="T63" s="6">
        <v>59.77301851547523</v>
      </c>
      <c r="U63" s="6">
        <v>0.8254818122236567</v>
      </c>
      <c r="V63" s="8">
        <v>6.0</v>
      </c>
      <c r="W63" s="6">
        <f t="shared" ref="W63:W64" si="34">pi()*B29*D18/60</f>
        <v>10.13009631</v>
      </c>
      <c r="X63" s="6">
        <f t="shared" si="32"/>
        <v>1.589443902</v>
      </c>
      <c r="Y63" s="6"/>
      <c r="Z63" s="6"/>
      <c r="AA63" s="6"/>
      <c r="AB63" s="6"/>
      <c r="AC63" s="6"/>
    </row>
    <row r="64">
      <c r="A64" s="8" t="s">
        <v>102</v>
      </c>
      <c r="B64" s="6">
        <f>2.22*C56+200</f>
        <v>888.2</v>
      </c>
      <c r="C64" s="6">
        <f t="shared" si="33"/>
        <v>0.7986379051</v>
      </c>
      <c r="D64" s="6">
        <f>C57/C58</f>
        <v>1.161290323</v>
      </c>
      <c r="E64" s="8">
        <f>1+(((8.89*10^-3)*D63)-(8.29*10^-3))*(B19/B18-1)</f>
        <v>1.001725709</v>
      </c>
      <c r="F64" s="8">
        <v>1.0</v>
      </c>
      <c r="G64" s="8">
        <v>1.0</v>
      </c>
      <c r="H64" s="6">
        <f>B64*C64*E64/(F64*G64)</f>
        <v>710.5743191</v>
      </c>
      <c r="I64" s="8"/>
      <c r="J64" s="34">
        <f>sqrt(2/((1-E57^2)/Convert(D57,"MPa","Pa") + (1-E58^2)/Convert(D58,"MPa","Pa")))</f>
        <v>466563.1271</v>
      </c>
      <c r="K64" s="35">
        <f>(PI() * Cos(Radians(B10)) * sin(RADIANS(B10)))/(1+D18/D19)</f>
        <v>0.6552233339</v>
      </c>
      <c r="L64" s="36">
        <v>1.0</v>
      </c>
      <c r="M64" s="36">
        <v>1.0</v>
      </c>
      <c r="N64" s="36">
        <v>1.1</v>
      </c>
      <c r="O64" s="6">
        <f t="shared" si="28"/>
        <v>1.589443902</v>
      </c>
      <c r="P64" s="37">
        <f>J64*(K19 * L64* M64* N64* O64 / (H19*D18*K64))^(1/2)</f>
        <v>636735869.4</v>
      </c>
      <c r="Q64" s="38">
        <f t="shared" si="29"/>
        <v>636.7358694</v>
      </c>
      <c r="R64" s="21">
        <f t="shared" si="30"/>
        <v>1.115964018</v>
      </c>
      <c r="S64" s="6"/>
      <c r="T64" s="6">
        <v>59.77301851547523</v>
      </c>
      <c r="U64" s="6">
        <v>0.8254818122236567</v>
      </c>
      <c r="V64" s="8">
        <v>6.0</v>
      </c>
      <c r="W64" s="6">
        <f t="shared" si="34"/>
        <v>10.13009631</v>
      </c>
      <c r="X64" s="6">
        <f t="shared" si="32"/>
        <v>1.589443902</v>
      </c>
      <c r="Y64" s="6"/>
      <c r="Z64" s="6"/>
      <c r="AA64" s="6"/>
      <c r="AB64" s="6"/>
      <c r="AC64" s="6"/>
    </row>
    <row r="65">
      <c r="A65" s="6"/>
      <c r="B65" s="6"/>
      <c r="C65" s="6"/>
      <c r="D65" s="6"/>
      <c r="E65" s="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1" t="s">
        <v>123</v>
      </c>
      <c r="B66" s="1" t="s">
        <v>124</v>
      </c>
      <c r="C66" s="1" t="s">
        <v>125</v>
      </c>
      <c r="D66" s="1" t="s">
        <v>126</v>
      </c>
      <c r="E66" s="1" t="s">
        <v>127</v>
      </c>
      <c r="F66" s="1" t="s">
        <v>128</v>
      </c>
      <c r="G66" s="5"/>
      <c r="H66" s="1" t="s">
        <v>129</v>
      </c>
      <c r="I66" s="1" t="s">
        <v>130</v>
      </c>
      <c r="J66" s="1" t="s">
        <v>68</v>
      </c>
      <c r="K66" s="1" t="s">
        <v>71</v>
      </c>
      <c r="L66" s="1" t="s">
        <v>131</v>
      </c>
      <c r="M66" s="1" t="s">
        <v>132</v>
      </c>
      <c r="N66" s="1" t="s">
        <v>133</v>
      </c>
      <c r="O66" s="1" t="s">
        <v>117</v>
      </c>
      <c r="P66" s="1" t="s">
        <v>134</v>
      </c>
      <c r="Q66" s="1" t="s">
        <v>75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8" t="s">
        <v>95</v>
      </c>
      <c r="B67" s="6">
        <f>0.703*C55+113</f>
        <v>366.08</v>
      </c>
      <c r="C67" s="6">
        <f t="shared" ref="C67:C68" si="36">1.683*B50^(-0.0323)</f>
        <v>0.8392204904</v>
      </c>
      <c r="D67" s="8">
        <v>1.0</v>
      </c>
      <c r="E67" s="8">
        <v>1.0</v>
      </c>
      <c r="F67" s="6">
        <f t="shared" ref="F67:F70" si="37">B67*C67/(D67*E67)</f>
        <v>307.2218371</v>
      </c>
      <c r="G67" s="6"/>
      <c r="H67" s="36">
        <v>0.35</v>
      </c>
      <c r="I67" s="36">
        <v>1.0</v>
      </c>
      <c r="J67" s="36">
        <f t="shared" ref="J67:L67" si="35">M61</f>
        <v>1</v>
      </c>
      <c r="K67" s="39">
        <f t="shared" si="35"/>
        <v>1.2</v>
      </c>
      <c r="L67" s="6">
        <f t="shared" si="35"/>
        <v>1.72529211</v>
      </c>
      <c r="M67" s="36">
        <v>1.0</v>
      </c>
      <c r="N67" s="36">
        <v>1.0</v>
      </c>
      <c r="O67" s="6">
        <f t="shared" ref="O67:O70" si="39">K16/(H16*H67*$B$7) *I67*J67*K67*L67*M67*N67</f>
        <v>81380566.04</v>
      </c>
      <c r="P67" s="38">
        <f t="shared" ref="P67:P70" si="40">Convert(O67,"Pa","MPa")</f>
        <v>81.38056604</v>
      </c>
      <c r="Q67" s="21">
        <f t="shared" ref="Q67:Q70" si="41">F67/P67</f>
        <v>3.775125341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8" t="s">
        <v>98</v>
      </c>
      <c r="B68" s="6">
        <f>0.533*C56+88.3</f>
        <v>253.53</v>
      </c>
      <c r="C68" s="6">
        <f t="shared" si="36"/>
        <v>0.8610865122</v>
      </c>
      <c r="D68" s="8">
        <v>1.0</v>
      </c>
      <c r="E68" s="8">
        <v>1.0</v>
      </c>
      <c r="F68" s="6">
        <f t="shared" si="37"/>
        <v>218.3112634</v>
      </c>
      <c r="G68" s="6"/>
      <c r="H68" s="36">
        <v>0.42</v>
      </c>
      <c r="I68" s="36">
        <v>1.0</v>
      </c>
      <c r="J68" s="36">
        <f t="shared" ref="J68:L68" si="38">M62</f>
        <v>1</v>
      </c>
      <c r="K68" s="39">
        <f t="shared" si="38"/>
        <v>1.1</v>
      </c>
      <c r="L68" s="6">
        <f t="shared" si="38"/>
        <v>1.72529211</v>
      </c>
      <c r="M68" s="36">
        <v>1.0</v>
      </c>
      <c r="N68" s="36">
        <v>1.0</v>
      </c>
      <c r="O68" s="6">
        <f t="shared" si="39"/>
        <v>67346186.02</v>
      </c>
      <c r="P68" s="38">
        <f t="shared" si="40"/>
        <v>67.34618602</v>
      </c>
      <c r="Q68" s="21">
        <f t="shared" si="41"/>
        <v>3.24162772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8" t="s">
        <v>101</v>
      </c>
      <c r="B69" s="6">
        <f>0.703*C57+113</f>
        <v>366.08</v>
      </c>
      <c r="C69" s="6">
        <f t="shared" ref="C69:C70" si="43">1.683*B51^(-0.0323)</f>
        <v>0.8610865122</v>
      </c>
      <c r="D69" s="8">
        <v>1.0</v>
      </c>
      <c r="E69" s="8">
        <v>1.0</v>
      </c>
      <c r="F69" s="6">
        <f t="shared" si="37"/>
        <v>315.2265504</v>
      </c>
      <c r="G69" s="6"/>
      <c r="H69" s="36">
        <v>0.35</v>
      </c>
      <c r="I69" s="36">
        <v>1.0</v>
      </c>
      <c r="J69" s="36">
        <f t="shared" ref="J69:L69" si="42">M63</f>
        <v>1</v>
      </c>
      <c r="K69" s="39">
        <f t="shared" si="42"/>
        <v>1.2</v>
      </c>
      <c r="L69" s="6">
        <f t="shared" si="42"/>
        <v>1.589443902</v>
      </c>
      <c r="M69" s="36">
        <v>1.0</v>
      </c>
      <c r="N69" s="36">
        <v>1.0</v>
      </c>
      <c r="O69" s="6">
        <f t="shared" si="39"/>
        <v>115866932.8</v>
      </c>
      <c r="P69" s="38">
        <f t="shared" si="40"/>
        <v>115.8669328</v>
      </c>
      <c r="Q69" s="21">
        <f t="shared" si="41"/>
        <v>2.720591136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102</v>
      </c>
      <c r="B70" s="6">
        <f>0.533*C58+88.3</f>
        <v>253.53</v>
      </c>
      <c r="C70" s="6">
        <f t="shared" si="43"/>
        <v>0.8783446089</v>
      </c>
      <c r="D70" s="8">
        <v>1.0</v>
      </c>
      <c r="E70" s="8">
        <v>1.0</v>
      </c>
      <c r="F70" s="6">
        <f t="shared" si="37"/>
        <v>222.6867087</v>
      </c>
      <c r="G70" s="6"/>
      <c r="H70" s="36">
        <v>0.42</v>
      </c>
      <c r="I70" s="36">
        <v>1.0</v>
      </c>
      <c r="J70" s="36">
        <f t="shared" ref="J70:L70" si="44">M64</f>
        <v>1</v>
      </c>
      <c r="K70" s="39">
        <f t="shared" si="44"/>
        <v>1.1</v>
      </c>
      <c r="L70" s="6">
        <f t="shared" si="44"/>
        <v>1.589443902</v>
      </c>
      <c r="M70" s="36">
        <v>1.0</v>
      </c>
      <c r="N70" s="36">
        <v>1.0</v>
      </c>
      <c r="O70" s="6">
        <f t="shared" si="39"/>
        <v>95885251.13</v>
      </c>
      <c r="P70" s="38">
        <f t="shared" si="40"/>
        <v>95.88525113</v>
      </c>
      <c r="Q70" s="21">
        <f t="shared" si="41"/>
        <v>2.322429217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1" t="s">
        <v>135</v>
      </c>
      <c r="B72" s="1" t="s">
        <v>136</v>
      </c>
      <c r="C72" s="1" t="s">
        <v>137</v>
      </c>
      <c r="D72" s="1" t="s">
        <v>138</v>
      </c>
      <c r="E72" s="1" t="s">
        <v>139</v>
      </c>
      <c r="F72" s="1" t="s">
        <v>9</v>
      </c>
      <c r="G72" s="1" t="s">
        <v>140</v>
      </c>
      <c r="H72" s="40" t="s">
        <v>141</v>
      </c>
      <c r="I72" s="41" t="s">
        <v>142</v>
      </c>
      <c r="J72" s="40" t="s">
        <v>143</v>
      </c>
      <c r="K72" s="116" t="s">
        <v>144</v>
      </c>
      <c r="L72" s="1" t="s">
        <v>145</v>
      </c>
      <c r="M72" s="1" t="s">
        <v>279</v>
      </c>
      <c r="N72" s="1" t="s">
        <v>280</v>
      </c>
      <c r="O72" s="1" t="s">
        <v>281</v>
      </c>
      <c r="P72" s="1" t="s">
        <v>282</v>
      </c>
      <c r="Q72" s="1" t="s">
        <v>25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8" t="s">
        <v>53</v>
      </c>
      <c r="B73" s="8">
        <v>14560.0</v>
      </c>
      <c r="C73" s="6">
        <f t="shared" ref="C73:C76" si="45">B28</f>
        <v>2600</v>
      </c>
      <c r="D73" s="6">
        <f t="shared" ref="D73:D75" si="46">B73*60*C73*10^-6</f>
        <v>2271.36</v>
      </c>
      <c r="E73" s="8">
        <v>1.0</v>
      </c>
      <c r="F73" s="8">
        <v>3.0</v>
      </c>
      <c r="G73" s="6">
        <f t="shared" ref="G73:G75" si="47">MAX(L28:M28)</f>
        <v>1586.065645</v>
      </c>
      <c r="H73" s="117">
        <v>1.0</v>
      </c>
      <c r="I73" s="118">
        <f t="shared" ref="I73:I75" si="48">E73*G73</f>
        <v>1586.065645</v>
      </c>
      <c r="J73" s="12">
        <f t="shared" ref="J73:J75" si="49">I73*D73^(1/F73)</f>
        <v>20848.90015</v>
      </c>
      <c r="K73" s="43">
        <v>6010.0</v>
      </c>
      <c r="L73" s="44" t="s">
        <v>150</v>
      </c>
      <c r="M73" s="8">
        <v>22900.0</v>
      </c>
      <c r="N73" s="8">
        <v>16000.0</v>
      </c>
      <c r="O73" s="8">
        <v>0.05</v>
      </c>
      <c r="P73" s="8">
        <v>0.08</v>
      </c>
      <c r="Q73" s="8">
        <v>0.016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8" t="s">
        <v>56</v>
      </c>
      <c r="B74" s="8">
        <v>14560.0</v>
      </c>
      <c r="C74" s="6">
        <f t="shared" si="45"/>
        <v>1172.54902</v>
      </c>
      <c r="D74" s="6">
        <f t="shared" si="46"/>
        <v>1024.338824</v>
      </c>
      <c r="E74" s="8">
        <v>1.0</v>
      </c>
      <c r="F74" s="8">
        <v>3.0</v>
      </c>
      <c r="G74" s="6">
        <f t="shared" si="47"/>
        <v>6201.753254</v>
      </c>
      <c r="H74" s="117">
        <v>1.0</v>
      </c>
      <c r="I74" s="118">
        <f t="shared" si="48"/>
        <v>6201.753254</v>
      </c>
      <c r="J74" s="12">
        <f t="shared" si="49"/>
        <v>62516.64947</v>
      </c>
      <c r="K74" s="43">
        <v>6313.0</v>
      </c>
      <c r="L74" s="45" t="s">
        <v>151</v>
      </c>
      <c r="M74" s="6"/>
      <c r="N74" s="6"/>
      <c r="O74" s="8">
        <v>0.065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8" t="s">
        <v>57</v>
      </c>
      <c r="B75" s="8">
        <v>14560.0</v>
      </c>
      <c r="C75" s="6">
        <f t="shared" si="45"/>
        <v>634.3297975</v>
      </c>
      <c r="D75" s="6">
        <f t="shared" si="46"/>
        <v>554.1505111</v>
      </c>
      <c r="E75" s="8">
        <v>1.0</v>
      </c>
      <c r="F75" s="8">
        <v>3.0</v>
      </c>
      <c r="G75" s="6">
        <f t="shared" si="47"/>
        <v>4902.384721</v>
      </c>
      <c r="H75" s="117">
        <v>1.0</v>
      </c>
      <c r="I75" s="118">
        <f t="shared" si="48"/>
        <v>4902.384721</v>
      </c>
      <c r="J75" s="12">
        <f t="shared" si="49"/>
        <v>40267.06442</v>
      </c>
      <c r="K75" s="43">
        <v>6213.0</v>
      </c>
      <c r="L75" s="45" t="s">
        <v>283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 t="str">
        <f t="shared" si="45"/>
        <v/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B55"/>
    <hyperlink r:id="rId3" ref="B56"/>
    <hyperlink r:id="rId4" ref="B57"/>
    <hyperlink r:id="rId5" ref="B58"/>
    <hyperlink r:id="rId6" ref="L73"/>
    <hyperlink r:id="rId7" ref="L74"/>
    <hyperlink r:id="rId8" ref="L75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88"/>
    <col customWidth="1" min="2" max="2" width="25.0"/>
    <col customWidth="1" min="3" max="3" width="7.0"/>
    <col customWidth="1" min="4" max="4" width="13.5"/>
    <col customWidth="1" min="5" max="5" width="11.63"/>
    <col customWidth="1" min="6" max="6" width="11.75"/>
    <col customWidth="1" min="7" max="7" width="6.5"/>
    <col customWidth="1" min="8" max="8" width="10.0"/>
    <col customWidth="1" min="9" max="9" width="4.88"/>
    <col customWidth="1" min="10" max="10" width="10.0"/>
    <col customWidth="1" min="11" max="11" width="7.5"/>
    <col customWidth="1" min="12" max="12" width="7.0"/>
    <col customWidth="1" min="13" max="13" width="8.0"/>
    <col customWidth="1" min="14" max="14" width="7.0"/>
    <col customWidth="1" min="15" max="15" width="11.63"/>
    <col customWidth="1" min="16" max="16" width="7.25"/>
    <col customWidth="1" min="17" max="17" width="8.63"/>
    <col customWidth="1" min="18" max="19" width="4.38"/>
    <col customWidth="1" min="20" max="20" width="6.0"/>
    <col customWidth="1" min="21" max="22" width="5.5"/>
    <col customWidth="1" min="23" max="23" width="5.75"/>
    <col customWidth="1" min="24" max="24" width="5.13"/>
  </cols>
  <sheetData>
    <row r="1">
      <c r="A1" s="1" t="s">
        <v>0</v>
      </c>
      <c r="B1" s="2"/>
      <c r="C1" s="2"/>
      <c r="D1" s="2"/>
      <c r="E1" s="6"/>
      <c r="F1" s="6"/>
      <c r="G1" s="6"/>
      <c r="H1" s="8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8" t="s">
        <v>11</v>
      </c>
      <c r="B9" s="10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3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4" t="s">
        <v>15</v>
      </c>
      <c r="B15" s="15"/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6" t="s">
        <v>29</v>
      </c>
      <c r="B16" s="10">
        <v>19.0</v>
      </c>
      <c r="C16" s="6" t="s">
        <v>30</v>
      </c>
      <c r="D16" s="16">
        <f t="shared" ref="D16:D19" si="1">B16*$B$7</f>
        <v>0.095</v>
      </c>
      <c r="E16" s="16">
        <f t="shared" ref="E16:E19" si="2">D16/2</f>
        <v>0.0475</v>
      </c>
      <c r="F16" s="16">
        <f t="shared" ref="F16:F19" si="3">D16+2*$B$8</f>
        <v>0.105</v>
      </c>
      <c r="G16" s="16">
        <f t="shared" ref="G16:G19" si="4">D16-2*$B$9</f>
        <v>0.0825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5412.556769</v>
      </c>
      <c r="L16" s="16">
        <f t="shared" ref="L16:L19" si="7">M16*sin(RADIANS($B$10))</f>
        <v>1970.009555</v>
      </c>
      <c r="M16" s="16">
        <f t="shared" ref="M16:M19" si="8">K16/cos(RADIANS($B$10))</f>
        <v>5759.922606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6" t="s">
        <v>31</v>
      </c>
      <c r="B17" s="10">
        <v>57.0</v>
      </c>
      <c r="C17" s="6" t="s">
        <v>30</v>
      </c>
      <c r="D17" s="16">
        <f t="shared" si="1"/>
        <v>0.285</v>
      </c>
      <c r="E17" s="16">
        <f t="shared" si="2"/>
        <v>0.1425</v>
      </c>
      <c r="F17" s="16">
        <f t="shared" si="3"/>
        <v>0.295</v>
      </c>
      <c r="G17" s="16">
        <f t="shared" si="4"/>
        <v>0.2725</v>
      </c>
      <c r="H17" s="16">
        <f>12*B7</f>
        <v>0.06</v>
      </c>
      <c r="I17" s="16" t="s">
        <v>9</v>
      </c>
      <c r="J17" s="16">
        <f t="shared" si="5"/>
        <v>771.2893396</v>
      </c>
      <c r="K17" s="16">
        <f t="shared" si="6"/>
        <v>5412.556769</v>
      </c>
      <c r="L17" s="16">
        <f t="shared" si="7"/>
        <v>1970.009555</v>
      </c>
      <c r="M17" s="16">
        <f t="shared" si="8"/>
        <v>5759.922606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6" t="s">
        <v>32</v>
      </c>
      <c r="B18" s="10">
        <v>31.0</v>
      </c>
      <c r="C18" s="6" t="s">
        <v>30</v>
      </c>
      <c r="D18" s="16">
        <f t="shared" si="1"/>
        <v>0.155</v>
      </c>
      <c r="E18" s="16">
        <f t="shared" si="2"/>
        <v>0.0775</v>
      </c>
      <c r="F18" s="16">
        <f t="shared" si="3"/>
        <v>0.165</v>
      </c>
      <c r="G18" s="16">
        <f t="shared" si="4"/>
        <v>0.1425</v>
      </c>
      <c r="H18" s="16">
        <f>13*B7</f>
        <v>0.065</v>
      </c>
      <c r="I18" s="16" t="s">
        <v>9</v>
      </c>
      <c r="J18" s="16">
        <f t="shared" ref="J18:J19" si="9">60*O18/(2*pi()*B29)</f>
        <v>771.2893396</v>
      </c>
      <c r="K18" s="16">
        <f t="shared" si="6"/>
        <v>9952.120511</v>
      </c>
      <c r="L18" s="16">
        <f t="shared" si="7"/>
        <v>3622.275634</v>
      </c>
      <c r="M18" s="16">
        <f t="shared" si="8"/>
        <v>10590.82544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7" t="s">
        <v>33</v>
      </c>
      <c r="B19" s="18">
        <v>67.0</v>
      </c>
      <c r="C19" s="17" t="s">
        <v>30</v>
      </c>
      <c r="D19" s="19">
        <f t="shared" si="1"/>
        <v>0.335</v>
      </c>
      <c r="E19" s="19">
        <f t="shared" si="2"/>
        <v>0.1675</v>
      </c>
      <c r="F19" s="19">
        <f t="shared" si="3"/>
        <v>0.345</v>
      </c>
      <c r="G19" s="19">
        <f t="shared" si="4"/>
        <v>0.3225</v>
      </c>
      <c r="H19" s="19">
        <f>12*B7</f>
        <v>0.06</v>
      </c>
      <c r="I19" s="19" t="s">
        <v>9</v>
      </c>
      <c r="J19" s="19">
        <f t="shared" si="9"/>
        <v>1666.980186</v>
      </c>
      <c r="K19" s="19">
        <f t="shared" si="6"/>
        <v>9952.120511</v>
      </c>
      <c r="L19" s="19">
        <f t="shared" si="7"/>
        <v>3622.275634</v>
      </c>
      <c r="M19" s="19">
        <f t="shared" si="8"/>
        <v>10590.82544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7</v>
      </c>
      <c r="B20" s="6">
        <f>B19*B17/(B16*B18)</f>
        <v>6.483870968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5</v>
      </c>
      <c r="B21" s="21">
        <f>2600/B20</f>
        <v>400.9950249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22" t="s">
        <v>34</v>
      </c>
      <c r="B22" s="23">
        <f>(B21-B3)/B3</f>
        <v>0.002487562189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8" t="s">
        <v>35</v>
      </c>
      <c r="B24" s="6">
        <f>B16/B17</f>
        <v>0.3333333333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36</v>
      </c>
      <c r="B25" s="6">
        <f>B18/B19</f>
        <v>0.4626865672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53</v>
      </c>
      <c r="B28" s="24">
        <f>B2</f>
        <v>2600</v>
      </c>
      <c r="C28" s="8" t="s">
        <v>3</v>
      </c>
      <c r="D28" s="25">
        <v>0.05</v>
      </c>
      <c r="E28" s="8">
        <f t="shared" ref="E28:F28" si="10">K16-G28</f>
        <v>1804.18559</v>
      </c>
      <c r="F28" s="6">
        <f t="shared" si="10"/>
        <v>656.6698517</v>
      </c>
      <c r="G28" s="6">
        <f>(B41+B42)*K16/(B44)</f>
        <v>3608.371179</v>
      </c>
      <c r="H28" s="6">
        <f>(B41+B42)*L16/(B44)</f>
        <v>1313.339703</v>
      </c>
      <c r="I28" s="13" t="s">
        <v>16</v>
      </c>
      <c r="J28" s="26">
        <f>-(F28)*(B41+B42)</f>
        <v>-131.3339703</v>
      </c>
      <c r="K28" s="26">
        <f>E28*(B41+B42)</f>
        <v>360.8371179</v>
      </c>
      <c r="L28" s="6">
        <f t="shared" ref="L28:L30" si="11">SQRT(J28^2+K28^2)</f>
        <v>383.9948404</v>
      </c>
      <c r="M28" s="6">
        <f t="shared" ref="M28:M30" si="12">SQRT(E28^2 + F28^2)</f>
        <v>1919.974202</v>
      </c>
      <c r="N28" s="6">
        <f t="shared" ref="N28:N30" si="13">SQRt(G28^2+H28^2)</f>
        <v>3839.948404</v>
      </c>
      <c r="O28" s="6">
        <f t="shared" ref="O28:O30" si="14">Convert(32*L28/(PI()*D28^3),"Pa","MPa")</f>
        <v>31.29071461</v>
      </c>
      <c r="P28" s="6">
        <f t="shared" ref="P28:P30" si="15">Convert(16*J16/(PI()*D28^3),"Pa","MPa")</f>
        <v>10.4750516</v>
      </c>
      <c r="Q28" s="6">
        <f t="shared" ref="Q28:Q30" si="16">Convert(MAX(M28,N28) * 16 / (3*Pi()*D28^2),"Pa","MPa")</f>
        <v>2.607559551</v>
      </c>
      <c r="R28" s="8" t="s">
        <v>54</v>
      </c>
      <c r="S28" s="8"/>
      <c r="T28" s="6"/>
      <c r="U28" s="8" t="s">
        <v>55</v>
      </c>
      <c r="V28" s="6"/>
      <c r="W28" s="6"/>
      <c r="X28" s="6"/>
      <c r="Y28" s="6"/>
      <c r="Z28" s="6"/>
      <c r="AA28" s="6"/>
      <c r="AB28" s="6"/>
      <c r="AC28" s="6"/>
    </row>
    <row r="29">
      <c r="A29" s="8" t="s">
        <v>56</v>
      </c>
      <c r="B29" s="24">
        <f>B2*B16/B17</f>
        <v>866.6666667</v>
      </c>
      <c r="C29" s="8" t="s">
        <v>3</v>
      </c>
      <c r="D29" s="25">
        <v>0.07</v>
      </c>
      <c r="E29" s="8">
        <f>K17+K18-G29</f>
        <v>8438.932597</v>
      </c>
      <c r="F29" s="6">
        <f>L18-L17+H29</f>
        <v>1758.180571</v>
      </c>
      <c r="G29" s="6">
        <f>(B41*K18+K17*(B41+B42))/B44</f>
        <v>6925.744683</v>
      </c>
      <c r="H29" s="6">
        <f>(L16*(B41+B42)-L18*B41)/B44</f>
        <v>105.9144922</v>
      </c>
      <c r="I29" s="13" t="s">
        <v>16</v>
      </c>
      <c r="J29" s="26">
        <f>-F29*B41</f>
        <v>-175.8180571</v>
      </c>
      <c r="K29" s="27">
        <f>-E29*B41</f>
        <v>-843.8932597</v>
      </c>
      <c r="L29" s="6">
        <f t="shared" si="11"/>
        <v>862.0138183</v>
      </c>
      <c r="M29" s="6">
        <f t="shared" si="12"/>
        <v>8620.138183</v>
      </c>
      <c r="N29" s="6">
        <f t="shared" si="13"/>
        <v>6926.554504</v>
      </c>
      <c r="O29" s="6">
        <f t="shared" si="14"/>
        <v>25.59883572</v>
      </c>
      <c r="P29" s="6">
        <f t="shared" si="15"/>
        <v>11.45231589</v>
      </c>
      <c r="Q29" s="6">
        <f t="shared" si="16"/>
        <v>2.986530834</v>
      </c>
      <c r="R29" s="8" t="s">
        <v>54</v>
      </c>
      <c r="S29" s="8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 t="s">
        <v>57</v>
      </c>
      <c r="B30" s="24">
        <f>B21</f>
        <v>400.9950249</v>
      </c>
      <c r="C30" s="8" t="s">
        <v>3</v>
      </c>
      <c r="D30" s="25">
        <v>0.065</v>
      </c>
      <c r="E30" s="8">
        <f t="shared" ref="E30:F30" si="17">K18-G30</f>
        <v>6634.747007</v>
      </c>
      <c r="F30" s="6">
        <f t="shared" si="17"/>
        <v>2414.850423</v>
      </c>
      <c r="G30" s="6">
        <f>B41*K18/B44</f>
        <v>3317.373504</v>
      </c>
      <c r="H30" s="6">
        <f>B41*L18/B44</f>
        <v>1207.425211</v>
      </c>
      <c r="I30" s="13" t="s">
        <v>16</v>
      </c>
      <c r="J30" s="26">
        <f>(F30)*(B43)</f>
        <v>241.4850423</v>
      </c>
      <c r="K30" s="26">
        <f>E30*(B43)</f>
        <v>663.4747007</v>
      </c>
      <c r="L30" s="6">
        <f t="shared" si="11"/>
        <v>706.0550291</v>
      </c>
      <c r="M30" s="6">
        <f t="shared" si="12"/>
        <v>7060.550291</v>
      </c>
      <c r="N30" s="6">
        <f t="shared" si="13"/>
        <v>3530.275146</v>
      </c>
      <c r="O30" s="6">
        <f t="shared" si="14"/>
        <v>26.18777413</v>
      </c>
      <c r="P30" s="6">
        <f t="shared" si="15"/>
        <v>14.30366627</v>
      </c>
      <c r="Q30" s="6">
        <f t="shared" si="16"/>
        <v>2.837008864</v>
      </c>
      <c r="R30" s="8" t="s">
        <v>54</v>
      </c>
      <c r="S30" s="8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9" t="s">
        <v>63</v>
      </c>
      <c r="B33" s="10">
        <v>200000.0</v>
      </c>
      <c r="C33" s="10">
        <v>394.72</v>
      </c>
      <c r="D33" s="10">
        <v>0.29</v>
      </c>
      <c r="E33" s="10">
        <v>294.74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119" t="s">
        <v>73</v>
      </c>
      <c r="K35" s="119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53</v>
      </c>
      <c r="B36" s="25">
        <v>3.0</v>
      </c>
      <c r="C36" s="25">
        <v>2.8</v>
      </c>
      <c r="D36" s="8">
        <f t="shared" ref="D36:D38" si="18">1.58*($C$33)^-0.085</f>
        <v>0.9505446257</v>
      </c>
      <c r="E36" s="6">
        <f t="shared" ref="E36:E38" si="19">1.189*(Convert(D28,"m","mm"))^-0.112</f>
        <v>0.7671798969</v>
      </c>
      <c r="F36" s="8">
        <v>0.82</v>
      </c>
      <c r="G36" s="8">
        <v>1.0</v>
      </c>
      <c r="H36" s="8">
        <v>1.0</v>
      </c>
      <c r="I36" s="6">
        <f t="shared" ref="I36:I38" si="20">0.5*$C$33</f>
        <v>197.36</v>
      </c>
      <c r="J36" s="6">
        <f t="shared" ref="J36:J38" si="21">sqrt((B36*O28)^2+3*(C36*Q28)^2)</f>
        <v>94.72011663</v>
      </c>
      <c r="K36" s="6">
        <f t="shared" ref="K36:K38" si="22">sqrt(3*(P28)^2)</f>
        <v>18.14332159</v>
      </c>
      <c r="L36" s="6">
        <f t="shared" ref="L36:L38" si="23">((J36/(D36*E36*F36*G36*H36*I36))+(K36/$C$33))^(-1)</f>
        <v>1.178459136</v>
      </c>
      <c r="M36" s="6">
        <f t="shared" ref="M36:M38" si="24">(sqrt(O28^2+3*Q28^2)/$E$33 + sqrt(3*(P28)^2)/$E$33)^-1</f>
        <v>5.923433765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56</v>
      </c>
      <c r="B37" s="25">
        <v>3.0</v>
      </c>
      <c r="C37" s="25">
        <v>2.8</v>
      </c>
      <c r="D37" s="8">
        <f t="shared" si="18"/>
        <v>0.9505446257</v>
      </c>
      <c r="E37" s="6">
        <f t="shared" si="19"/>
        <v>0.7388067831</v>
      </c>
      <c r="F37" s="8">
        <v>0.82</v>
      </c>
      <c r="G37" s="8">
        <v>1.0</v>
      </c>
      <c r="H37" s="8">
        <v>1.0</v>
      </c>
      <c r="I37" s="6">
        <f t="shared" si="20"/>
        <v>197.36</v>
      </c>
      <c r="J37" s="6">
        <f t="shared" si="21"/>
        <v>78.15041274</v>
      </c>
      <c r="K37" s="6">
        <f t="shared" si="22"/>
        <v>19.83599299</v>
      </c>
      <c r="L37" s="6">
        <f t="shared" si="23"/>
        <v>1.355227553</v>
      </c>
      <c r="M37" s="6">
        <f t="shared" si="24"/>
        <v>6.414050411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8" t="s">
        <v>57</v>
      </c>
      <c r="B38" s="25">
        <v>3.0</v>
      </c>
      <c r="C38" s="25">
        <v>2.8</v>
      </c>
      <c r="D38" s="8">
        <f t="shared" si="18"/>
        <v>0.9505446257</v>
      </c>
      <c r="E38" s="6">
        <f t="shared" si="19"/>
        <v>0.7449644674</v>
      </c>
      <c r="F38" s="8">
        <v>0.82</v>
      </c>
      <c r="G38" s="8">
        <v>1.0</v>
      </c>
      <c r="H38" s="8">
        <v>1.0</v>
      </c>
      <c r="I38" s="6">
        <f t="shared" si="20"/>
        <v>197.36</v>
      </c>
      <c r="J38" s="6">
        <f t="shared" si="21"/>
        <v>79.75900671</v>
      </c>
      <c r="K38" s="6">
        <f t="shared" si="22"/>
        <v>24.77467672</v>
      </c>
      <c r="L38" s="6">
        <f t="shared" si="23"/>
        <v>1.317960176</v>
      </c>
      <c r="M38" s="6">
        <f t="shared" si="24"/>
        <v>5.732069214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8" t="s">
        <v>10</v>
      </c>
      <c r="B41" s="10">
        <v>0.1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11</v>
      </c>
      <c r="B42" s="10">
        <v>0.1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2" t="s">
        <v>80</v>
      </c>
      <c r="B43" s="18">
        <v>0.1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2" t="s">
        <v>82</v>
      </c>
      <c r="B44" s="17">
        <f>B41+B42+B43</f>
        <v>0.3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83</v>
      </c>
      <c r="B45" s="11">
        <f>E16+E17</f>
        <v>0.19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2" t="s">
        <v>84</v>
      </c>
      <c r="B46" s="31">
        <f>E18+E19</f>
        <v>0.245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85</v>
      </c>
      <c r="B47" s="6">
        <f>B45+B46</f>
        <v>0.435</v>
      </c>
      <c r="C47" s="8" t="s">
        <v>9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8" t="s">
        <v>86</v>
      </c>
      <c r="B48" s="6">
        <f>E16+E16+E17+E18+E19+E19</f>
        <v>0.65</v>
      </c>
      <c r="C48" s="8" t="s">
        <v>9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1" t="s">
        <v>90</v>
      </c>
      <c r="B50" s="32">
        <v>873600.0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8"/>
      <c r="N50" s="8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 t="s">
        <v>53</v>
      </c>
      <c r="B51" s="8">
        <f t="shared" ref="B51:B53" si="25">$B$50*B28</f>
        <v>2271360000</v>
      </c>
      <c r="C51" s="8" t="s">
        <v>91</v>
      </c>
      <c r="D51" s="6"/>
      <c r="E51" s="6"/>
      <c r="F51" s="6"/>
      <c r="G51" s="6"/>
      <c r="H51" s="8"/>
      <c r="I51" s="6"/>
      <c r="J51" s="6"/>
      <c r="K51" s="6"/>
      <c r="L51" s="6"/>
      <c r="M51" s="16"/>
      <c r="N51" s="6"/>
      <c r="O51" s="1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8" t="s">
        <v>56</v>
      </c>
      <c r="B52" s="8">
        <f t="shared" si="25"/>
        <v>757120000</v>
      </c>
      <c r="C52" s="8" t="s">
        <v>91</v>
      </c>
      <c r="D52" s="6"/>
      <c r="E52" s="6"/>
      <c r="F52" s="6"/>
      <c r="G52" s="6"/>
      <c r="H52" s="120"/>
      <c r="I52" s="6"/>
      <c r="J52" s="6"/>
      <c r="K52" s="6"/>
      <c r="L52" s="6"/>
      <c r="M52" s="16"/>
      <c r="N52" s="6"/>
      <c r="O52" s="1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 t="s">
        <v>57</v>
      </c>
      <c r="B53" s="8">
        <f t="shared" si="25"/>
        <v>350309253.7</v>
      </c>
      <c r="C53" s="8" t="s">
        <v>91</v>
      </c>
      <c r="D53" s="6"/>
      <c r="E53" s="6"/>
      <c r="F53" s="6"/>
      <c r="G53" s="6"/>
      <c r="H53" s="120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8"/>
      <c r="B54" s="8"/>
      <c r="C54" s="6"/>
      <c r="D54" s="6"/>
      <c r="E54" s="6"/>
      <c r="F54" s="6"/>
      <c r="G54" s="6"/>
      <c r="H54" s="120"/>
      <c r="I54" s="6"/>
      <c r="J54" s="6"/>
      <c r="K54" s="6"/>
      <c r="L54" s="6"/>
      <c r="M54" s="16"/>
      <c r="N54" s="6"/>
      <c r="O54" s="1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1" t="s">
        <v>92</v>
      </c>
      <c r="B55" s="1"/>
      <c r="C55" s="1" t="s">
        <v>55</v>
      </c>
      <c r="D55" s="1" t="s">
        <v>93</v>
      </c>
      <c r="E55" s="121" t="s">
        <v>61</v>
      </c>
      <c r="F55" s="1" t="s">
        <v>94</v>
      </c>
      <c r="G55" s="6"/>
      <c r="H55" s="12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 t="s">
        <v>95</v>
      </c>
      <c r="B56" s="29" t="s">
        <v>96</v>
      </c>
      <c r="C56" s="10">
        <v>420.0</v>
      </c>
      <c r="D56" s="11">
        <f t="shared" ref="D56:D59" si="26">Convert(200,"GPa","MPa")</f>
        <v>200000</v>
      </c>
      <c r="E56" s="10">
        <v>0.285</v>
      </c>
      <c r="F56" s="8" t="s">
        <v>97</v>
      </c>
      <c r="G56" s="8"/>
      <c r="H56" s="6"/>
      <c r="I56" s="6"/>
      <c r="J56" s="6"/>
      <c r="K56" s="6"/>
      <c r="L56" s="6"/>
      <c r="M56" s="6"/>
      <c r="N56" s="6"/>
      <c r="O56" s="6"/>
      <c r="P56" s="6"/>
      <c r="Q56" s="8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8" t="s">
        <v>98</v>
      </c>
      <c r="B57" s="29" t="s">
        <v>99</v>
      </c>
      <c r="C57" s="10">
        <v>360.0</v>
      </c>
      <c r="D57" s="11">
        <f t="shared" si="26"/>
        <v>200000</v>
      </c>
      <c r="E57" s="10">
        <v>0.285</v>
      </c>
      <c r="F57" s="8" t="s">
        <v>100</v>
      </c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8" t="s">
        <v>101</v>
      </c>
      <c r="B58" s="29" t="s">
        <v>96</v>
      </c>
      <c r="C58" s="10">
        <v>420.0</v>
      </c>
      <c r="D58" s="11">
        <f t="shared" si="26"/>
        <v>200000</v>
      </c>
      <c r="E58" s="10">
        <v>0.285</v>
      </c>
      <c r="F58" s="8" t="s">
        <v>97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8" t="s">
        <v>102</v>
      </c>
      <c r="B59" s="29" t="s">
        <v>99</v>
      </c>
      <c r="C59" s="10">
        <v>360.0</v>
      </c>
      <c r="D59" s="11">
        <f t="shared" si="26"/>
        <v>200000</v>
      </c>
      <c r="E59" s="10">
        <v>0.285</v>
      </c>
      <c r="F59" s="8" t="s">
        <v>100</v>
      </c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8"/>
      <c r="B60" s="6"/>
      <c r="C60" s="6"/>
      <c r="D60" s="6"/>
      <c r="E60" s="6"/>
      <c r="F60" s="6"/>
      <c r="G60" s="6"/>
      <c r="H60" s="6"/>
      <c r="I60" s="6"/>
      <c r="J60" s="8"/>
      <c r="K60" s="6"/>
      <c r="L60" s="6"/>
      <c r="M60" s="6"/>
      <c r="N60" s="6"/>
      <c r="O60" s="6"/>
      <c r="P60" s="8"/>
      <c r="Q60" s="8"/>
      <c r="R60" s="6"/>
      <c r="S60" s="6"/>
      <c r="T60" s="6"/>
      <c r="U60" s="6"/>
      <c r="V60" s="6"/>
      <c r="W60" s="8"/>
      <c r="X60" s="6"/>
      <c r="Y60" s="6"/>
      <c r="Z60" s="6"/>
      <c r="AA60" s="6"/>
      <c r="AB60" s="6"/>
      <c r="AC60" s="6"/>
    </row>
    <row r="61">
      <c r="A61" s="1" t="s">
        <v>103</v>
      </c>
      <c r="B61" s="1" t="s">
        <v>104</v>
      </c>
      <c r="C61" s="1" t="s">
        <v>105</v>
      </c>
      <c r="D61" s="1" t="s">
        <v>106</v>
      </c>
      <c r="E61" s="1" t="s">
        <v>107</v>
      </c>
      <c r="F61" s="1" t="s">
        <v>108</v>
      </c>
      <c r="G61" s="1" t="s">
        <v>109</v>
      </c>
      <c r="H61" s="1" t="s">
        <v>110</v>
      </c>
      <c r="I61" s="5"/>
      <c r="J61" s="33" t="s">
        <v>111</v>
      </c>
      <c r="K61" s="1" t="s">
        <v>112</v>
      </c>
      <c r="L61" s="1" t="s">
        <v>113</v>
      </c>
      <c r="M61" s="1" t="s">
        <v>114</v>
      </c>
      <c r="N61" s="1" t="s">
        <v>115</v>
      </c>
      <c r="O61" s="1" t="s">
        <v>116</v>
      </c>
      <c r="P61" s="122" t="s">
        <v>117</v>
      </c>
      <c r="Q61" s="121" t="s">
        <v>118</v>
      </c>
      <c r="R61" s="1" t="s">
        <v>75</v>
      </c>
      <c r="S61" s="6"/>
      <c r="T61" s="1" t="s">
        <v>119</v>
      </c>
      <c r="U61" s="1" t="s">
        <v>120</v>
      </c>
      <c r="V61" s="1" t="s">
        <v>121</v>
      </c>
      <c r="W61" s="1" t="s">
        <v>122</v>
      </c>
      <c r="X61" s="1" t="s">
        <v>116</v>
      </c>
      <c r="Y61" s="6"/>
      <c r="Z61" s="8"/>
      <c r="AA61" s="8"/>
      <c r="AB61" s="6"/>
      <c r="AC61" s="6"/>
    </row>
    <row r="62">
      <c r="A62" s="8" t="s">
        <v>95</v>
      </c>
      <c r="B62" s="6">
        <f>2.4*C56+237</f>
        <v>1245</v>
      </c>
      <c r="C62" s="6">
        <f t="shared" ref="C62:C63" si="27">2.466*B51^-0.056</f>
        <v>0.7379739941</v>
      </c>
      <c r="D62" s="6">
        <f>C56/C57</f>
        <v>1.166666667</v>
      </c>
      <c r="E62" s="8"/>
      <c r="F62" s="8">
        <v>1.0</v>
      </c>
      <c r="G62" s="8">
        <v>1.0</v>
      </c>
      <c r="H62" s="6">
        <f>B62*C62/(F62*G62)</f>
        <v>918.7776227</v>
      </c>
      <c r="I62" s="8"/>
      <c r="J62" s="34">
        <f>sqrt(2/((1-E56^2)/Convert(D56,"MPa","Pa") + (1-E57^2)/Convert(D57,"MPa","Pa")))</f>
        <v>466563.1271</v>
      </c>
      <c r="K62" s="35">
        <f>(PI() * Cos(Radians(B10)) * sin(RADIANS(B10)))/(1+D16/D17)</f>
        <v>0.7572663122</v>
      </c>
      <c r="L62" s="36">
        <v>1.0</v>
      </c>
      <c r="M62" s="36">
        <v>1.0</v>
      </c>
      <c r="N62" s="36">
        <v>1.2</v>
      </c>
      <c r="O62" s="6">
        <f t="shared" ref="O62:O65" si="28">X62</f>
        <v>1.662309265</v>
      </c>
      <c r="P62" s="37">
        <f>J62*(K16 * L62* M62* N62* O62 / (H16*D16*K62))^(1/2)</f>
        <v>708949632.1</v>
      </c>
      <c r="Q62" s="38">
        <f t="shared" ref="Q62:Q65" si="29">Convert(P62,"Pa","MPa")</f>
        <v>708.9496321</v>
      </c>
      <c r="R62" s="21">
        <f t="shared" ref="R62:R65" si="30">H62/Q62</f>
        <v>1.295970237</v>
      </c>
      <c r="S62" s="6"/>
      <c r="T62" s="6">
        <f>50+56*(1-U62)</f>
        <v>59.77301852</v>
      </c>
      <c r="U62" s="6">
        <f>((12-V62)^(2/3))/4</f>
        <v>0.8254818122</v>
      </c>
      <c r="V62" s="8">
        <v>6.0</v>
      </c>
      <c r="W62" s="6">
        <f t="shared" ref="W62:W63" si="31">pi()*B28*D16/60</f>
        <v>12.93288976</v>
      </c>
      <c r="X62" s="6">
        <f t="shared" ref="X62:X65" si="32">((T62+SQRT(200*W62))/T62)^U62</f>
        <v>1.662309265</v>
      </c>
      <c r="Y62" s="6"/>
      <c r="Z62" s="123"/>
      <c r="AA62" s="6"/>
      <c r="AB62" s="6"/>
      <c r="AC62" s="6"/>
    </row>
    <row r="63">
      <c r="A63" s="8" t="s">
        <v>98</v>
      </c>
      <c r="B63" s="6">
        <f>2.22*C57+200</f>
        <v>999.2</v>
      </c>
      <c r="C63" s="6">
        <f t="shared" si="27"/>
        <v>0.7848015426</v>
      </c>
      <c r="D63" s="6">
        <f>C56/C57</f>
        <v>1.166666667</v>
      </c>
      <c r="E63" s="6">
        <f>1+(((8.89*10^-3)*D62)-(8.29*10^-3))*(B17/B16-1)</f>
        <v>1.004163333</v>
      </c>
      <c r="F63" s="8">
        <v>1.0</v>
      </c>
      <c r="G63" s="8">
        <v>1.0</v>
      </c>
      <c r="H63" s="6">
        <f>B63*C63*E63/(F63*G63)</f>
        <v>787.4384779</v>
      </c>
      <c r="I63" s="8"/>
      <c r="J63" s="34">
        <f>sqrt(2/((1-E56^2)/Convert(D56,"MPa","Pa") + (1-E57^2)/Convert(D57,"MPa","Pa")))</f>
        <v>466563.1271</v>
      </c>
      <c r="K63" s="35">
        <f>(PI() * Cos(Radians(B10)) * sin(RADIANS(B10)))/(1+D16/D17)</f>
        <v>0.7572663122</v>
      </c>
      <c r="L63" s="36">
        <v>1.0</v>
      </c>
      <c r="M63" s="36">
        <v>1.0</v>
      </c>
      <c r="N63" s="36">
        <v>1.1</v>
      </c>
      <c r="O63" s="6">
        <f t="shared" si="28"/>
        <v>1.662309265</v>
      </c>
      <c r="P63" s="37">
        <f>J63*(K17 * L63* M63* N63* O63 / (H17*D16*K63))^(1/2)</f>
        <v>706483712.9</v>
      </c>
      <c r="Q63" s="38">
        <f t="shared" si="29"/>
        <v>706.4837129</v>
      </c>
      <c r="R63" s="21">
        <f t="shared" si="30"/>
        <v>1.114588296</v>
      </c>
      <c r="S63" s="6"/>
      <c r="T63" s="6">
        <v>59.77301851547523</v>
      </c>
      <c r="U63" s="6">
        <v>0.8254818122236567</v>
      </c>
      <c r="V63" s="8">
        <v>6.0</v>
      </c>
      <c r="W63" s="6">
        <f t="shared" si="31"/>
        <v>12.93288976</v>
      </c>
      <c r="X63" s="6">
        <f t="shared" si="32"/>
        <v>1.662309265</v>
      </c>
      <c r="Y63" s="6"/>
      <c r="Z63" s="6"/>
      <c r="AA63" s="6"/>
      <c r="AB63" s="6"/>
      <c r="AC63" s="6"/>
    </row>
    <row r="64">
      <c r="A64" s="8" t="s">
        <v>101</v>
      </c>
      <c r="B64" s="6">
        <f>2.4*C58+237</f>
        <v>1245</v>
      </c>
      <c r="C64" s="6">
        <f t="shared" ref="C64:C65" si="33">2.466*B52^-0.056</f>
        <v>0.7848015426</v>
      </c>
      <c r="D64" s="6">
        <f>C58/C59</f>
        <v>1.166666667</v>
      </c>
      <c r="E64" s="8"/>
      <c r="F64" s="8">
        <v>1.0</v>
      </c>
      <c r="G64" s="8">
        <v>1.0</v>
      </c>
      <c r="H64" s="6">
        <f>B64*C64/(F64*G64)</f>
        <v>977.0779205</v>
      </c>
      <c r="I64" s="8"/>
      <c r="J64" s="34">
        <f>sqrt(2/((1-E58^2)/Convert(D58,"MPa","Pa") + (1-E59^2)/Convert(D59,"MPa","Pa")))</f>
        <v>466563.1271</v>
      </c>
      <c r="K64" s="35">
        <f>(PI() * Cos(Radians(B10)) * sin(RADIANS(B10)))/(1+D18/D19)</f>
        <v>0.6902971825</v>
      </c>
      <c r="L64" s="36">
        <v>1.0</v>
      </c>
      <c r="M64" s="36">
        <v>1.0</v>
      </c>
      <c r="N64" s="36">
        <v>1.2</v>
      </c>
      <c r="O64" s="6">
        <f t="shared" si="28"/>
        <v>1.494867465</v>
      </c>
      <c r="P64" s="37">
        <f>J64*(K18 * L64* M64* N64* O64 / (H18*D18*K64))^(1/2)</f>
        <v>747514491.4</v>
      </c>
      <c r="Q64" s="38">
        <f t="shared" si="29"/>
        <v>747.5144914</v>
      </c>
      <c r="R64" s="21">
        <f t="shared" si="30"/>
        <v>1.307102313</v>
      </c>
      <c r="S64" s="6"/>
      <c r="T64" s="6">
        <v>59.77301851547523</v>
      </c>
      <c r="U64" s="6">
        <v>0.8254818122236567</v>
      </c>
      <c r="V64" s="8">
        <v>6.0</v>
      </c>
      <c r="W64" s="6">
        <f t="shared" ref="W64:W65" si="34">pi()*B29*D18/60</f>
        <v>7.033676886</v>
      </c>
      <c r="X64" s="6">
        <f t="shared" si="32"/>
        <v>1.494867465</v>
      </c>
      <c r="Y64" s="6"/>
      <c r="Z64" s="6"/>
      <c r="AA64" s="6"/>
      <c r="AB64" s="6"/>
      <c r="AC64" s="6"/>
    </row>
    <row r="65">
      <c r="A65" s="8" t="s">
        <v>102</v>
      </c>
      <c r="B65" s="6">
        <f>2.22*C57+200</f>
        <v>999.2</v>
      </c>
      <c r="C65" s="6">
        <f t="shared" si="33"/>
        <v>0.8194147591</v>
      </c>
      <c r="D65" s="6">
        <f>C58/C59</f>
        <v>1.166666667</v>
      </c>
      <c r="E65" s="8">
        <f>1+(((8.89*10^-3)*D64)-(8.29*10^-3))*(B19/B18-1)</f>
        <v>1.002417419</v>
      </c>
      <c r="F65" s="8">
        <v>1.0</v>
      </c>
      <c r="G65" s="8">
        <v>1.0</v>
      </c>
      <c r="H65" s="6">
        <f>B65*C65*E65/(F65*G65)</f>
        <v>820.7385117</v>
      </c>
      <c r="I65" s="8"/>
      <c r="J65" s="34">
        <f>sqrt(2/((1-E58^2)/Convert(D58,"MPa","Pa") + (1-E59^2)/Convert(D59,"MPa","Pa")))</f>
        <v>466563.1271</v>
      </c>
      <c r="K65" s="35">
        <f>(PI() * Cos(Radians(B10)) * sin(RADIANS(B10)))/(1+D18/D19)</f>
        <v>0.6902971825</v>
      </c>
      <c r="L65" s="36">
        <v>1.0</v>
      </c>
      <c r="M65" s="36">
        <v>1.0</v>
      </c>
      <c r="N65" s="36">
        <v>1.1</v>
      </c>
      <c r="O65" s="6">
        <f t="shared" si="28"/>
        <v>1.494867465</v>
      </c>
      <c r="P65" s="37">
        <f>J65*(K19 * L65* M65* N65* O65 / (H19*D18*K65))^(1/2)</f>
        <v>744914433.1</v>
      </c>
      <c r="Q65" s="38">
        <f t="shared" si="29"/>
        <v>744.9144331</v>
      </c>
      <c r="R65" s="21">
        <f t="shared" si="30"/>
        <v>1.101788978</v>
      </c>
      <c r="S65" s="6"/>
      <c r="T65" s="6">
        <v>59.77301851547523</v>
      </c>
      <c r="U65" s="6">
        <v>0.8254818122236567</v>
      </c>
      <c r="V65" s="8">
        <v>6.0</v>
      </c>
      <c r="W65" s="6">
        <f t="shared" si="34"/>
        <v>7.033676886</v>
      </c>
      <c r="X65" s="6">
        <f t="shared" si="32"/>
        <v>1.494867465</v>
      </c>
      <c r="Y65" s="6"/>
      <c r="Z65" s="6"/>
      <c r="AA65" s="6"/>
      <c r="AB65" s="6"/>
      <c r="AC65" s="6"/>
    </row>
    <row r="66">
      <c r="A66" s="6"/>
      <c r="B66" s="6"/>
      <c r="C66" s="6"/>
      <c r="D66" s="6"/>
      <c r="E66" s="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1" t="s">
        <v>123</v>
      </c>
      <c r="B67" s="1" t="s">
        <v>124</v>
      </c>
      <c r="C67" s="1" t="s">
        <v>125</v>
      </c>
      <c r="D67" s="1" t="s">
        <v>126</v>
      </c>
      <c r="E67" s="1" t="s">
        <v>127</v>
      </c>
      <c r="F67" s="1" t="s">
        <v>128</v>
      </c>
      <c r="G67" s="5"/>
      <c r="H67" s="1" t="s">
        <v>129</v>
      </c>
      <c r="I67" s="1" t="s">
        <v>130</v>
      </c>
      <c r="J67" s="1" t="s">
        <v>68</v>
      </c>
      <c r="K67" s="1" t="s">
        <v>71</v>
      </c>
      <c r="L67" s="1" t="s">
        <v>131</v>
      </c>
      <c r="M67" s="1" t="s">
        <v>132</v>
      </c>
      <c r="N67" s="1" t="s">
        <v>133</v>
      </c>
      <c r="O67" s="1" t="s">
        <v>117</v>
      </c>
      <c r="P67" s="1" t="s">
        <v>134</v>
      </c>
      <c r="Q67" s="1" t="s">
        <v>75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8" t="s">
        <v>95</v>
      </c>
      <c r="B68" s="6">
        <f>0.703*C56+113</f>
        <v>408.26</v>
      </c>
      <c r="C68" s="6">
        <f t="shared" ref="C68:C69" si="36">1.683*B51^(-0.0323)</f>
        <v>0.8392204904</v>
      </c>
      <c r="D68" s="8">
        <v>1.0</v>
      </c>
      <c r="E68" s="8">
        <v>1.0</v>
      </c>
      <c r="F68" s="6">
        <f t="shared" ref="F68:F71" si="37">B68*C68/(D68*E68)</f>
        <v>342.6201574</v>
      </c>
      <c r="G68" s="6"/>
      <c r="H68" s="36">
        <v>0.35</v>
      </c>
      <c r="I68" s="36">
        <v>1.0</v>
      </c>
      <c r="J68" s="36">
        <f t="shared" ref="J68:L68" si="35">M62</f>
        <v>1</v>
      </c>
      <c r="K68" s="39">
        <f t="shared" si="35"/>
        <v>1.2</v>
      </c>
      <c r="L68" s="6">
        <f t="shared" si="35"/>
        <v>1.662309265</v>
      </c>
      <c r="M68" s="36">
        <v>1.0</v>
      </c>
      <c r="N68" s="36">
        <v>1.0</v>
      </c>
      <c r="O68" s="6">
        <f t="shared" ref="O68:O71" si="39">K16/(H16*H68*$B$7) *I68*J68*K68*L68*M68*N68</f>
        <v>94917027.83</v>
      </c>
      <c r="P68" s="38">
        <f t="shared" ref="P68:P71" si="40">Convert(O68,"Pa","MPa")</f>
        <v>94.91702783</v>
      </c>
      <c r="Q68" s="21">
        <f t="shared" ref="Q68:Q71" si="41">F68/P68</f>
        <v>3.609680636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8" t="s">
        <v>98</v>
      </c>
      <c r="B69" s="6">
        <f>0.533*C57+88.3</f>
        <v>280.18</v>
      </c>
      <c r="C69" s="6">
        <f t="shared" si="36"/>
        <v>0.8695350559</v>
      </c>
      <c r="D69" s="8">
        <v>1.0</v>
      </c>
      <c r="E69" s="8">
        <v>1.0</v>
      </c>
      <c r="F69" s="6">
        <f t="shared" si="37"/>
        <v>243.626332</v>
      </c>
      <c r="G69" s="6"/>
      <c r="H69" s="36">
        <v>0.42</v>
      </c>
      <c r="I69" s="36">
        <v>1.0</v>
      </c>
      <c r="J69" s="36">
        <f t="shared" ref="J69:L69" si="38">M63</f>
        <v>1</v>
      </c>
      <c r="K69" s="39">
        <f t="shared" si="38"/>
        <v>1.1</v>
      </c>
      <c r="L69" s="6">
        <f t="shared" si="38"/>
        <v>1.662309265</v>
      </c>
      <c r="M69" s="36">
        <v>1.0</v>
      </c>
      <c r="N69" s="36">
        <v>1.0</v>
      </c>
      <c r="O69" s="6">
        <f t="shared" si="39"/>
        <v>78548234.84</v>
      </c>
      <c r="P69" s="38">
        <f t="shared" si="40"/>
        <v>78.54823484</v>
      </c>
      <c r="Q69" s="21">
        <f t="shared" si="41"/>
        <v>3.101614345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101</v>
      </c>
      <c r="B70" s="6">
        <f>0.703*C58+113</f>
        <v>408.26</v>
      </c>
      <c r="C70" s="6">
        <f t="shared" ref="C70:C71" si="43">1.683*B52^(-0.0323)</f>
        <v>0.8695350559</v>
      </c>
      <c r="D70" s="8">
        <v>1.0</v>
      </c>
      <c r="E70" s="8">
        <v>1.0</v>
      </c>
      <c r="F70" s="6">
        <f t="shared" si="37"/>
        <v>354.9963819</v>
      </c>
      <c r="G70" s="6"/>
      <c r="H70" s="36">
        <v>0.35</v>
      </c>
      <c r="I70" s="36">
        <v>1.0</v>
      </c>
      <c r="J70" s="36">
        <f t="shared" ref="J70:L70" si="42">M64</f>
        <v>1</v>
      </c>
      <c r="K70" s="39">
        <f t="shared" si="42"/>
        <v>1.2</v>
      </c>
      <c r="L70" s="6">
        <f t="shared" si="42"/>
        <v>1.494867465</v>
      </c>
      <c r="M70" s="36">
        <v>1.0</v>
      </c>
      <c r="N70" s="36">
        <v>1.0</v>
      </c>
      <c r="O70" s="6">
        <f t="shared" si="39"/>
        <v>156945243</v>
      </c>
      <c r="P70" s="38">
        <f t="shared" si="40"/>
        <v>156.945243</v>
      </c>
      <c r="Q70" s="21">
        <f t="shared" si="41"/>
        <v>2.261912341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" t="s">
        <v>102</v>
      </c>
      <c r="B71" s="6">
        <f>0.533*C59+88.3</f>
        <v>280.18</v>
      </c>
      <c r="C71" s="6">
        <f t="shared" si="43"/>
        <v>0.8914527499</v>
      </c>
      <c r="D71" s="8">
        <v>1.0</v>
      </c>
      <c r="E71" s="8">
        <v>1.0</v>
      </c>
      <c r="F71" s="6">
        <f t="shared" si="37"/>
        <v>249.7672315</v>
      </c>
      <c r="G71" s="6"/>
      <c r="H71" s="36">
        <v>0.42</v>
      </c>
      <c r="I71" s="36">
        <v>1.0</v>
      </c>
      <c r="J71" s="36">
        <f t="shared" ref="J71:L71" si="44">M65</f>
        <v>1</v>
      </c>
      <c r="K71" s="39">
        <f t="shared" si="44"/>
        <v>1.1</v>
      </c>
      <c r="L71" s="6">
        <f t="shared" si="44"/>
        <v>1.494867465</v>
      </c>
      <c r="M71" s="36">
        <v>1.0</v>
      </c>
      <c r="N71" s="36">
        <v>1.0</v>
      </c>
      <c r="O71" s="6">
        <f t="shared" si="39"/>
        <v>129879454.6</v>
      </c>
      <c r="P71" s="38">
        <f t="shared" si="40"/>
        <v>129.8794546</v>
      </c>
      <c r="Q71" s="21">
        <f t="shared" si="41"/>
        <v>1.923069606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B56"/>
    <hyperlink r:id="rId3" ref="B57"/>
    <hyperlink r:id="rId4" ref="B58"/>
    <hyperlink r:id="rId5" ref="B59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88"/>
    <col customWidth="1" min="2" max="2" width="25.0"/>
    <col customWidth="1" min="3" max="3" width="7.0"/>
    <col customWidth="1" min="4" max="4" width="13.5"/>
    <col customWidth="1" min="5" max="5" width="11.63"/>
    <col customWidth="1" min="6" max="6" width="11.75"/>
    <col customWidth="1" min="7" max="7" width="6.5"/>
    <col customWidth="1" min="8" max="8" width="10.0"/>
    <col customWidth="1" min="9" max="9" width="4.88"/>
    <col customWidth="1" min="10" max="10" width="10.0"/>
    <col customWidth="1" min="11" max="11" width="7.5"/>
    <col customWidth="1" min="12" max="12" width="7.0"/>
    <col customWidth="1" min="13" max="13" width="8.0"/>
    <col customWidth="1" min="14" max="14" width="7.0"/>
    <col customWidth="1" min="15" max="15" width="11.63"/>
    <col customWidth="1" min="16" max="16" width="15.25"/>
    <col customWidth="1" min="17" max="17" width="11.38"/>
    <col customWidth="1" min="18" max="18" width="4.38"/>
    <col customWidth="1" min="19" max="19" width="6.0"/>
    <col customWidth="1" min="20" max="21" width="5.5"/>
    <col customWidth="1" min="22" max="22" width="5.75"/>
    <col customWidth="1" min="23" max="23" width="5.13"/>
  </cols>
  <sheetData>
    <row r="1">
      <c r="A1" s="1" t="s">
        <v>0</v>
      </c>
      <c r="B1" s="2"/>
      <c r="C1" s="2"/>
      <c r="D1" s="2"/>
      <c r="E1" s="6"/>
      <c r="F1" s="6"/>
      <c r="G1" s="6"/>
      <c r="H1" s="8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 t="s">
        <v>2</v>
      </c>
      <c r="B2" s="9">
        <v>2600.0</v>
      </c>
      <c r="C2" s="8" t="s">
        <v>3</v>
      </c>
      <c r="D2" s="8" t="s">
        <v>4</v>
      </c>
      <c r="E2" s="6"/>
      <c r="F2" s="6"/>
      <c r="G2" s="6"/>
      <c r="H2" s="8"/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8" t="s">
        <v>5</v>
      </c>
      <c r="B3" s="9">
        <v>400.0</v>
      </c>
      <c r="C3" s="8" t="s">
        <v>3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8" t="s">
        <v>7</v>
      </c>
      <c r="B4" s="9">
        <f>B2/B3</f>
        <v>6.5</v>
      </c>
      <c r="C4" s="8"/>
      <c r="D4" s="8" t="s">
        <v>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8"/>
      <c r="B5" s="8"/>
      <c r="C5" s="8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1" t="s">
        <v>8</v>
      </c>
      <c r="B6" s="2"/>
      <c r="C6" s="2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8" t="s">
        <v>9</v>
      </c>
      <c r="B7" s="10">
        <v>0.005</v>
      </c>
      <c r="C7" s="8" t="s">
        <v>9</v>
      </c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8" t="s">
        <v>10</v>
      </c>
      <c r="B8" s="11">
        <f>B7</f>
        <v>0.005</v>
      </c>
      <c r="C8" s="8" t="s">
        <v>9</v>
      </c>
      <c r="D8" s="5"/>
      <c r="E8" s="5"/>
      <c r="F8" s="5"/>
      <c r="G8" s="5"/>
      <c r="H8" s="8"/>
      <c r="I8" s="6"/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8" t="s">
        <v>11</v>
      </c>
      <c r="B9" s="10">
        <f>1.25*B7</f>
        <v>0.00625</v>
      </c>
      <c r="C9" s="8" t="s">
        <v>9</v>
      </c>
      <c r="D9" s="5"/>
      <c r="E9" s="5"/>
      <c r="F9" s="5"/>
      <c r="G9" s="5"/>
      <c r="H9" s="8"/>
      <c r="I9" s="6"/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8" t="s">
        <v>12</v>
      </c>
      <c r="B10" s="10">
        <v>20.0</v>
      </c>
      <c r="C10" s="8" t="s">
        <v>13</v>
      </c>
      <c r="D10" s="5"/>
      <c r="E10" s="5"/>
      <c r="F10" s="5"/>
      <c r="G10" s="5"/>
      <c r="H10" s="8"/>
      <c r="I10" s="6"/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8"/>
      <c r="B11" s="8"/>
      <c r="C11" s="8"/>
      <c r="D11" s="5"/>
      <c r="E11" s="5"/>
      <c r="F11" s="5"/>
      <c r="G11" s="5"/>
      <c r="H11" s="8"/>
      <c r="I11" s="6"/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1" t="s">
        <v>14</v>
      </c>
      <c r="B12" s="6"/>
      <c r="C12" s="6"/>
      <c r="D12" s="5"/>
      <c r="E12" s="5"/>
      <c r="F12" s="5"/>
      <c r="G12" s="5"/>
      <c r="H12" s="8"/>
      <c r="I12" s="6"/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8">
        <v>1.1</v>
      </c>
      <c r="B13" s="6"/>
      <c r="C13" s="6"/>
      <c r="D13" s="5"/>
      <c r="E13" s="5"/>
      <c r="F13" s="5"/>
      <c r="G13" s="5"/>
      <c r="H13" s="8"/>
      <c r="I13" s="6"/>
      <c r="J13" s="12"/>
      <c r="K13" s="12"/>
      <c r="L13" s="12"/>
      <c r="M13" s="12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8"/>
      <c r="B14" s="6"/>
      <c r="C14" s="6"/>
      <c r="D14" s="5"/>
      <c r="E14" s="5"/>
      <c r="F14" s="5"/>
      <c r="G14" s="5"/>
      <c r="H14" s="8"/>
      <c r="I14" s="6"/>
      <c r="J14" s="12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14" t="s">
        <v>15</v>
      </c>
      <c r="B15" s="15"/>
      <c r="C15" s="15"/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21</v>
      </c>
      <c r="I15" s="15"/>
      <c r="J15" s="15" t="s">
        <v>22</v>
      </c>
      <c r="K15" s="15" t="s">
        <v>23</v>
      </c>
      <c r="L15" s="15" t="s">
        <v>24</v>
      </c>
      <c r="M15" s="15" t="s">
        <v>25</v>
      </c>
      <c r="N15" s="15"/>
      <c r="O15" s="15" t="s">
        <v>26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 t="s">
        <v>29</v>
      </c>
      <c r="B16" s="11">
        <v>23.0</v>
      </c>
      <c r="C16" s="6" t="s">
        <v>30</v>
      </c>
      <c r="D16" s="16">
        <f t="shared" ref="D16:D19" si="1">B16*$B$7</f>
        <v>0.115</v>
      </c>
      <c r="E16" s="16">
        <f t="shared" ref="E16:E19" si="2">D16/2</f>
        <v>0.0575</v>
      </c>
      <c r="F16" s="16">
        <f t="shared" ref="F16:F19" si="3">D16+2*$B$8</f>
        <v>0.125</v>
      </c>
      <c r="G16" s="16">
        <f t="shared" ref="G16:G19" si="4">D16-2*$B$9</f>
        <v>0.1025</v>
      </c>
      <c r="H16" s="16">
        <f>13*B7</f>
        <v>0.065</v>
      </c>
      <c r="I16" s="16" t="s">
        <v>9</v>
      </c>
      <c r="J16" s="16">
        <f t="shared" ref="J16:J17" si="5">60*O16/(2*pi()*B28)</f>
        <v>257.0964465</v>
      </c>
      <c r="K16" s="16">
        <f t="shared" ref="K16:K19" si="6">J16/E16</f>
        <v>4471.242548</v>
      </c>
      <c r="L16" s="16">
        <f t="shared" ref="L16:L19" si="7">M16*sin(RADIANS($B$10))</f>
        <v>1627.399198</v>
      </c>
      <c r="M16" s="16">
        <f t="shared" ref="M16:M19" si="8">K16/cos(RADIANS($B$10))</f>
        <v>4758.196935</v>
      </c>
      <c r="N16" s="16" t="s">
        <v>16</v>
      </c>
      <c r="O16" s="16">
        <v>70000.0</v>
      </c>
      <c r="P16" s="8" t="s">
        <v>25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 t="s">
        <v>31</v>
      </c>
      <c r="B17" s="11">
        <v>51.0</v>
      </c>
      <c r="C17" s="6" t="s">
        <v>30</v>
      </c>
      <c r="D17" s="16">
        <f t="shared" si="1"/>
        <v>0.255</v>
      </c>
      <c r="E17" s="16">
        <f t="shared" si="2"/>
        <v>0.1275</v>
      </c>
      <c r="F17" s="16">
        <f t="shared" si="3"/>
        <v>0.265</v>
      </c>
      <c r="G17" s="16">
        <f t="shared" si="4"/>
        <v>0.2425</v>
      </c>
      <c r="H17" s="16">
        <f>12*B7</f>
        <v>0.06</v>
      </c>
      <c r="I17" s="16" t="s">
        <v>9</v>
      </c>
      <c r="J17" s="16">
        <f t="shared" si="5"/>
        <v>570.0834249</v>
      </c>
      <c r="K17" s="16">
        <f t="shared" si="6"/>
        <v>4471.242548</v>
      </c>
      <c r="L17" s="16">
        <f t="shared" si="7"/>
        <v>1627.399198</v>
      </c>
      <c r="M17" s="16">
        <f t="shared" si="8"/>
        <v>4758.196935</v>
      </c>
      <c r="N17" s="16" t="s">
        <v>16</v>
      </c>
      <c r="O17" s="16">
        <v>70000.0</v>
      </c>
      <c r="P17" s="8" t="s">
        <v>25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 t="s">
        <v>32</v>
      </c>
      <c r="B18" s="11">
        <v>23.0</v>
      </c>
      <c r="C18" s="6" t="s">
        <v>30</v>
      </c>
      <c r="D18" s="16">
        <f t="shared" si="1"/>
        <v>0.115</v>
      </c>
      <c r="E18" s="16">
        <f t="shared" si="2"/>
        <v>0.0575</v>
      </c>
      <c r="F18" s="16">
        <f t="shared" si="3"/>
        <v>0.125</v>
      </c>
      <c r="G18" s="16">
        <f t="shared" si="4"/>
        <v>0.1025</v>
      </c>
      <c r="H18" s="16">
        <f>13*B7</f>
        <v>0.065</v>
      </c>
      <c r="I18" s="16" t="s">
        <v>9</v>
      </c>
      <c r="J18" s="16">
        <f t="shared" ref="J18:J19" si="9">60*O18/(2*pi()*B29)</f>
        <v>570.0834249</v>
      </c>
      <c r="K18" s="16">
        <f t="shared" si="6"/>
        <v>9914.494346</v>
      </c>
      <c r="L18" s="16">
        <f t="shared" si="7"/>
        <v>3608.58083</v>
      </c>
      <c r="M18" s="16">
        <f t="shared" si="8"/>
        <v>10550.78451</v>
      </c>
      <c r="N18" s="16" t="s">
        <v>16</v>
      </c>
      <c r="O18" s="16">
        <v>70000.0</v>
      </c>
      <c r="P18" s="8" t="s">
        <v>25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7" t="s">
        <v>33</v>
      </c>
      <c r="B19" s="31">
        <v>67.0</v>
      </c>
      <c r="C19" s="17" t="s">
        <v>30</v>
      </c>
      <c r="D19" s="19">
        <f t="shared" si="1"/>
        <v>0.335</v>
      </c>
      <c r="E19" s="19">
        <f t="shared" si="2"/>
        <v>0.1675</v>
      </c>
      <c r="F19" s="19">
        <f t="shared" si="3"/>
        <v>0.345</v>
      </c>
      <c r="G19" s="19">
        <f t="shared" si="4"/>
        <v>0.3225</v>
      </c>
      <c r="H19" s="19">
        <f>12*B7</f>
        <v>0.06</v>
      </c>
      <c r="I19" s="19" t="s">
        <v>9</v>
      </c>
      <c r="J19" s="19">
        <f t="shared" si="9"/>
        <v>1660.677803</v>
      </c>
      <c r="K19" s="19">
        <f t="shared" si="6"/>
        <v>9914.494346</v>
      </c>
      <c r="L19" s="19">
        <f t="shared" si="7"/>
        <v>3608.58083</v>
      </c>
      <c r="M19" s="19">
        <f t="shared" si="8"/>
        <v>10550.78451</v>
      </c>
      <c r="N19" s="19" t="s">
        <v>16</v>
      </c>
      <c r="O19" s="19">
        <v>70000.0</v>
      </c>
      <c r="P19" s="8" t="s">
        <v>25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8" t="s">
        <v>7</v>
      </c>
      <c r="B20" s="6">
        <f>B19*B17/(B16*B18)</f>
        <v>6.459357278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0"/>
      <c r="N20" s="2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8" t="s">
        <v>5</v>
      </c>
      <c r="B21" s="21">
        <f>2600/B20</f>
        <v>402.5168276</v>
      </c>
      <c r="C21" s="8" t="s">
        <v>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22" t="s">
        <v>34</v>
      </c>
      <c r="B22" s="124">
        <f>(B21-B3)/B3</f>
        <v>0.006292069066</v>
      </c>
      <c r="C22" s="22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8" t="s">
        <v>35</v>
      </c>
      <c r="B24" s="6">
        <f>B16/B17</f>
        <v>0.4509803922</v>
      </c>
      <c r="C24" s="6"/>
      <c r="D24" s="6"/>
      <c r="E24" s="8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8" t="s">
        <v>36</v>
      </c>
      <c r="B25" s="6">
        <f>B18/B19</f>
        <v>0.3432835821</v>
      </c>
      <c r="C25" s="6"/>
      <c r="D25" s="6"/>
      <c r="E25" s="6"/>
      <c r="F25" s="6"/>
      <c r="G25" s="6"/>
      <c r="H25" s="6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8" t="s">
        <v>37</v>
      </c>
      <c r="F26" s="6"/>
      <c r="G26" s="8" t="s">
        <v>38</v>
      </c>
      <c r="H26" s="6"/>
      <c r="I26" s="6"/>
      <c r="J26" s="8"/>
      <c r="K26" s="6"/>
      <c r="L26" s="8"/>
      <c r="M26" s="3"/>
      <c r="N26" s="3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" t="s">
        <v>39</v>
      </c>
      <c r="B27" s="2"/>
      <c r="C27" s="2"/>
      <c r="D27" s="1" t="s">
        <v>40</v>
      </c>
      <c r="E27" s="1" t="s">
        <v>41</v>
      </c>
      <c r="F27" s="1" t="s">
        <v>42</v>
      </c>
      <c r="G27" s="1" t="s">
        <v>43</v>
      </c>
      <c r="H27" s="1" t="s">
        <v>44</v>
      </c>
      <c r="I27" s="17"/>
      <c r="J27" s="1" t="s">
        <v>45</v>
      </c>
      <c r="K27" s="1" t="s">
        <v>46</v>
      </c>
      <c r="L27" s="1" t="s">
        <v>47</v>
      </c>
      <c r="M27" s="1" t="s">
        <v>48</v>
      </c>
      <c r="N27" s="1" t="s">
        <v>49</v>
      </c>
      <c r="O27" s="1" t="s">
        <v>50</v>
      </c>
      <c r="P27" s="1" t="s">
        <v>51</v>
      </c>
      <c r="Q27" s="1" t="s">
        <v>52</v>
      </c>
      <c r="R27" s="17"/>
      <c r="S27" s="8"/>
      <c r="T27" s="6"/>
      <c r="U27" s="6"/>
      <c r="V27" s="6"/>
      <c r="W27" s="6"/>
      <c r="X27" s="6"/>
      <c r="Y27" s="6"/>
      <c r="Z27" s="6"/>
      <c r="AA27" s="6"/>
      <c r="AB27" s="6"/>
    </row>
    <row r="28">
      <c r="A28" s="8" t="s">
        <v>53</v>
      </c>
      <c r="B28" s="24">
        <f>B2</f>
        <v>2600</v>
      </c>
      <c r="C28" s="8" t="s">
        <v>3</v>
      </c>
      <c r="D28" s="25">
        <v>0.05</v>
      </c>
      <c r="E28" s="8">
        <f t="shared" ref="E28:F28" si="10">K16-G28</f>
        <v>1490.414183</v>
      </c>
      <c r="F28" s="6">
        <f t="shared" si="10"/>
        <v>542.4663993</v>
      </c>
      <c r="G28" s="6">
        <f>(B41+B42)*K16/(B44)</f>
        <v>2980.828366</v>
      </c>
      <c r="H28" s="6">
        <f>(B41+B42)*L16/(B44)</f>
        <v>1084.932799</v>
      </c>
      <c r="I28" s="13" t="s">
        <v>16</v>
      </c>
      <c r="J28" s="26">
        <f>-(F28)*(B41+B42)</f>
        <v>-108.4932799</v>
      </c>
      <c r="K28" s="26">
        <f>E28*(B41+B42)</f>
        <v>298.0828366</v>
      </c>
      <c r="L28" s="6">
        <f t="shared" ref="L28:L30" si="11">SQRT(J28^2+K28^2)</f>
        <v>317.213129</v>
      </c>
      <c r="M28" s="6">
        <f t="shared" ref="M28:M30" si="12">SQRT(E28^2 + F28^2)</f>
        <v>1586.065645</v>
      </c>
      <c r="N28" s="6">
        <f t="shared" ref="N28:N30" si="13">SQRt(G28^2+H28^2)</f>
        <v>3172.13129</v>
      </c>
      <c r="O28" s="6">
        <f t="shared" ref="O28:O30" si="14">Convert(32*L28/(PI()*D28^3),"Pa","MPa")</f>
        <v>25.8488512</v>
      </c>
      <c r="P28" s="6">
        <f t="shared" ref="P28:P30" si="15">Convert(16*J16/(PI()*D28^3),"Pa","MPa")</f>
        <v>10.4750516</v>
      </c>
      <c r="Q28" s="6">
        <f t="shared" ref="Q28:Q30" si="16">Convert(MAX(M28,N28) * 16 / (3*Pi()*D28^2),"Pa","MPa")</f>
        <v>2.154070933</v>
      </c>
      <c r="R28" s="8" t="s">
        <v>54</v>
      </c>
      <c r="S28" s="6"/>
      <c r="T28" s="8" t="s">
        <v>55</v>
      </c>
      <c r="U28" s="6"/>
      <c r="V28" s="6"/>
      <c r="W28" s="6"/>
      <c r="X28" s="6"/>
      <c r="Y28" s="6"/>
      <c r="Z28" s="6"/>
      <c r="AA28" s="6"/>
      <c r="AB28" s="6"/>
    </row>
    <row r="29">
      <c r="A29" s="8" t="s">
        <v>56</v>
      </c>
      <c r="B29" s="24">
        <f>B2*B16/B17</f>
        <v>1172.54902</v>
      </c>
      <c r="C29" s="8" t="s">
        <v>3</v>
      </c>
      <c r="D29" s="25">
        <v>0.065</v>
      </c>
      <c r="E29" s="8">
        <f>K17+K18-G29</f>
        <v>8100.07708</v>
      </c>
      <c r="F29" s="6">
        <f>L18-L17+H29</f>
        <v>1863.254154</v>
      </c>
      <c r="G29" s="6">
        <f>(B41*K18+K17*(B41+B42))/B44</f>
        <v>6285.659814</v>
      </c>
      <c r="H29" s="6">
        <f>(L16*(B41+B42)-L18*B41)/B44</f>
        <v>-117.9274781</v>
      </c>
      <c r="I29" s="13" t="s">
        <v>16</v>
      </c>
      <c r="J29" s="26">
        <f>-F29*B41</f>
        <v>-186.3254154</v>
      </c>
      <c r="K29" s="27">
        <f>-E29*B41</f>
        <v>-810.007708</v>
      </c>
      <c r="L29" s="6">
        <f t="shared" si="11"/>
        <v>831.1616254</v>
      </c>
      <c r="M29" s="6">
        <f t="shared" si="12"/>
        <v>8311.616254</v>
      </c>
      <c r="N29" s="6">
        <f t="shared" si="13"/>
        <v>6286.765957</v>
      </c>
      <c r="O29" s="6">
        <f t="shared" si="14"/>
        <v>30.828012</v>
      </c>
      <c r="P29" s="6">
        <f t="shared" si="15"/>
        <v>10.57227507</v>
      </c>
      <c r="Q29" s="6">
        <f t="shared" si="16"/>
        <v>3.3397013</v>
      </c>
      <c r="R29" s="8" t="s">
        <v>54</v>
      </c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8" t="s">
        <v>57</v>
      </c>
      <c r="B30" s="24">
        <f>B21</f>
        <v>402.5168276</v>
      </c>
      <c r="C30" s="8" t="s">
        <v>3</v>
      </c>
      <c r="D30" s="25">
        <v>0.065</v>
      </c>
      <c r="E30" s="8">
        <f t="shared" ref="E30:F30" si="17">K18-G30</f>
        <v>6609.662898</v>
      </c>
      <c r="F30" s="6">
        <f t="shared" si="17"/>
        <v>2405.720553</v>
      </c>
      <c r="G30" s="6">
        <f>B41*K18/B44</f>
        <v>3304.831449</v>
      </c>
      <c r="H30" s="6">
        <f>B41*L18/B44</f>
        <v>1202.860277</v>
      </c>
      <c r="I30" s="13" t="s">
        <v>16</v>
      </c>
      <c r="J30" s="26">
        <f>(F30)*(B43)</f>
        <v>240.5720553</v>
      </c>
      <c r="K30" s="26">
        <f>E30*(B43)</f>
        <v>660.9662898</v>
      </c>
      <c r="L30" s="6">
        <f t="shared" si="11"/>
        <v>703.3856339</v>
      </c>
      <c r="M30" s="6">
        <f t="shared" si="12"/>
        <v>7033.856339</v>
      </c>
      <c r="N30" s="6">
        <f t="shared" si="13"/>
        <v>3516.92817</v>
      </c>
      <c r="O30" s="6">
        <f t="shared" si="14"/>
        <v>26.08876553</v>
      </c>
      <c r="P30" s="6">
        <f t="shared" si="15"/>
        <v>10.57227507</v>
      </c>
      <c r="Q30" s="6">
        <f t="shared" si="16"/>
        <v>2.826282933</v>
      </c>
      <c r="R30" s="8" t="s">
        <v>54</v>
      </c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8"/>
      <c r="B31" s="8"/>
      <c r="C31" s="8"/>
      <c r="D31" s="6"/>
      <c r="E31" s="6"/>
      <c r="F31" s="6"/>
      <c r="G31" s="6"/>
      <c r="H31" s="6"/>
      <c r="I31" s="13"/>
      <c r="J31" s="12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" t="s">
        <v>58</v>
      </c>
      <c r="B32" s="1" t="s">
        <v>59</v>
      </c>
      <c r="C32" s="1" t="s">
        <v>60</v>
      </c>
      <c r="D32" s="1" t="s">
        <v>61</v>
      </c>
      <c r="E32" s="1" t="s">
        <v>62</v>
      </c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29" t="s">
        <v>63</v>
      </c>
      <c r="B33" s="10">
        <v>200000.0</v>
      </c>
      <c r="C33" s="10">
        <v>394.72</v>
      </c>
      <c r="D33" s="10">
        <v>0.29</v>
      </c>
      <c r="E33" s="10">
        <v>294.74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8"/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" t="s">
        <v>64</v>
      </c>
      <c r="B35" s="1" t="s">
        <v>65</v>
      </c>
      <c r="C35" s="1" t="s">
        <v>66</v>
      </c>
      <c r="D35" s="1" t="s">
        <v>67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119" t="s">
        <v>73</v>
      </c>
      <c r="K35" s="119" t="s">
        <v>74</v>
      </c>
      <c r="L35" s="1" t="s">
        <v>75</v>
      </c>
      <c r="M35" s="1" t="s">
        <v>76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8" t="s">
        <v>53</v>
      </c>
      <c r="B36" s="25">
        <v>3.0</v>
      </c>
      <c r="C36" s="25">
        <v>2.8</v>
      </c>
      <c r="D36" s="8">
        <f t="shared" ref="D36:D38" si="18">1.58*($C$33)^-0.085</f>
        <v>0.9505446257</v>
      </c>
      <c r="E36" s="6">
        <f t="shared" ref="E36:E38" si="19">1.189*(Convert(D28,"m","mm"))^-0.112</f>
        <v>0.7671798969</v>
      </c>
      <c r="F36" s="8">
        <v>0.82</v>
      </c>
      <c r="G36" s="8">
        <v>1.0</v>
      </c>
      <c r="H36" s="8">
        <v>1.0</v>
      </c>
      <c r="I36" s="6">
        <f t="shared" ref="I36:I38" si="20">0.5*$C$33</f>
        <v>197.36</v>
      </c>
      <c r="J36" s="6">
        <f t="shared" ref="J36:J38" si="21">sqrt((B36*O28)^2+3*(C36*Q28)^2)</f>
        <v>78.24705287</v>
      </c>
      <c r="K36" s="6">
        <f t="shared" ref="K36:K38" si="22">sqrt(3*(P28)^2)</f>
        <v>18.14332159</v>
      </c>
      <c r="L36" s="6">
        <f t="shared" ref="L36:L38" si="23">((J36/(D36*E36*F36*G36*H36*I36))+(K36/$C$33))^(-1)</f>
        <v>1.410471103</v>
      </c>
      <c r="M36" s="6">
        <f t="shared" ref="M36:M38" si="24">(sqrt(O28^2+3*Q28^2)/$E$33 + sqrt(3*(P28)^2)/$E$33)^-1</f>
        <v>6.659279465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8" t="s">
        <v>56</v>
      </c>
      <c r="B37" s="25">
        <v>3.0</v>
      </c>
      <c r="C37" s="25">
        <v>2.8</v>
      </c>
      <c r="D37" s="8">
        <f t="shared" si="18"/>
        <v>0.9505446257</v>
      </c>
      <c r="E37" s="6">
        <f t="shared" si="19"/>
        <v>0.7449644674</v>
      </c>
      <c r="F37" s="8">
        <v>0.82</v>
      </c>
      <c r="G37" s="8">
        <v>1.0</v>
      </c>
      <c r="H37" s="8">
        <v>1.0</v>
      </c>
      <c r="I37" s="6">
        <f t="shared" si="20"/>
        <v>197.36</v>
      </c>
      <c r="J37" s="6">
        <f t="shared" si="21"/>
        <v>93.89158482</v>
      </c>
      <c r="K37" s="6">
        <f t="shared" si="22"/>
        <v>18.31171758</v>
      </c>
      <c r="L37" s="6">
        <f t="shared" si="23"/>
        <v>1.155139009</v>
      </c>
      <c r="M37" s="6">
        <f t="shared" si="24"/>
        <v>5.933040054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8" t="s">
        <v>57</v>
      </c>
      <c r="B38" s="25">
        <v>3.0</v>
      </c>
      <c r="C38" s="25">
        <v>2.8</v>
      </c>
      <c r="D38" s="8">
        <f t="shared" si="18"/>
        <v>0.9505446257</v>
      </c>
      <c r="E38" s="6">
        <f t="shared" si="19"/>
        <v>0.7449644674</v>
      </c>
      <c r="F38" s="8">
        <v>0.82</v>
      </c>
      <c r="G38" s="8">
        <v>1.0</v>
      </c>
      <c r="H38" s="8">
        <v>1.0</v>
      </c>
      <c r="I38" s="6">
        <f t="shared" si="20"/>
        <v>197.36</v>
      </c>
      <c r="J38" s="6">
        <f t="shared" si="21"/>
        <v>79.45746037</v>
      </c>
      <c r="K38" s="6">
        <f t="shared" si="22"/>
        <v>18.31171758</v>
      </c>
      <c r="L38" s="6">
        <f t="shared" si="23"/>
        <v>1.351820062</v>
      </c>
      <c r="M38" s="6">
        <f t="shared" si="24"/>
        <v>6.570836406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" t="s">
        <v>77</v>
      </c>
      <c r="B40" s="17"/>
      <c r="C40" s="17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8" t="s">
        <v>10</v>
      </c>
      <c r="B41" s="10">
        <v>0.1</v>
      </c>
      <c r="C41" s="8" t="s">
        <v>9</v>
      </c>
      <c r="D41" s="8" t="s">
        <v>78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8" t="s">
        <v>11</v>
      </c>
      <c r="B42" s="10">
        <v>0.1</v>
      </c>
      <c r="C42" s="8" t="s">
        <v>9</v>
      </c>
      <c r="D42" s="8" t="s">
        <v>79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22" t="s">
        <v>80</v>
      </c>
      <c r="B43" s="18">
        <v>0.1</v>
      </c>
      <c r="C43" s="22" t="s">
        <v>9</v>
      </c>
      <c r="D43" s="8" t="s">
        <v>81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22" t="s">
        <v>82</v>
      </c>
      <c r="B44" s="17">
        <f>B41+B42+B43</f>
        <v>0.3</v>
      </c>
      <c r="C44" s="1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8" t="s">
        <v>83</v>
      </c>
      <c r="B45" s="11">
        <f>E16+E17</f>
        <v>0.185</v>
      </c>
      <c r="C45" s="8" t="s">
        <v>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22" t="s">
        <v>84</v>
      </c>
      <c r="B46" s="31">
        <f>E18+E19</f>
        <v>0.225</v>
      </c>
      <c r="C46" s="22" t="s">
        <v>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8" t="s">
        <v>85</v>
      </c>
      <c r="B47" s="6">
        <f>B45+B46</f>
        <v>0.41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" t="s">
        <v>90</v>
      </c>
      <c r="B49" s="32">
        <v>873600.0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8"/>
      <c r="N49" s="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8" t="s">
        <v>53</v>
      </c>
      <c r="B50" s="8">
        <f t="shared" ref="B50:B52" si="25">$B$49*B28</f>
        <v>2271360000</v>
      </c>
      <c r="C50" s="8" t="s">
        <v>91</v>
      </c>
      <c r="D50" s="6"/>
      <c r="E50" s="6"/>
      <c r="F50" s="6"/>
      <c r="G50" s="6"/>
      <c r="H50" s="8"/>
      <c r="I50" s="6"/>
      <c r="J50" s="6"/>
      <c r="K50" s="6"/>
      <c r="L50" s="6"/>
      <c r="M50" s="16"/>
      <c r="N50" s="6"/>
      <c r="O50" s="1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8" t="s">
        <v>56</v>
      </c>
      <c r="B51" s="8">
        <f t="shared" si="25"/>
        <v>1024338824</v>
      </c>
      <c r="C51" s="8" t="s">
        <v>91</v>
      </c>
      <c r="D51" s="6"/>
      <c r="E51" s="6"/>
      <c r="F51" s="6"/>
      <c r="G51" s="6"/>
      <c r="H51" s="120"/>
      <c r="I51" s="6"/>
      <c r="J51" s="6"/>
      <c r="K51" s="6"/>
      <c r="L51" s="6"/>
      <c r="M51" s="16"/>
      <c r="N51" s="6"/>
      <c r="O51" s="1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8" t="s">
        <v>57</v>
      </c>
      <c r="B52" s="8">
        <f t="shared" si="25"/>
        <v>351638700.6</v>
      </c>
      <c r="C52" s="8" t="s">
        <v>91</v>
      </c>
      <c r="D52" s="6"/>
      <c r="E52" s="6"/>
      <c r="F52" s="6"/>
      <c r="G52" s="6"/>
      <c r="H52" s="120"/>
      <c r="I52" s="6"/>
      <c r="J52" s="6"/>
      <c r="K52" s="6"/>
      <c r="L52" s="6"/>
      <c r="M52" s="16"/>
      <c r="N52" s="6"/>
      <c r="O52" s="1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8"/>
      <c r="B53" s="8"/>
      <c r="C53" s="6"/>
      <c r="D53" s="6"/>
      <c r="E53" s="6"/>
      <c r="F53" s="6"/>
      <c r="G53" s="6"/>
      <c r="H53" s="120"/>
      <c r="I53" s="6"/>
      <c r="J53" s="6"/>
      <c r="K53" s="6"/>
      <c r="L53" s="6"/>
      <c r="M53" s="1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" t="s">
        <v>92</v>
      </c>
      <c r="B54" s="1"/>
      <c r="C54" s="1" t="s">
        <v>284</v>
      </c>
      <c r="D54" s="1" t="s">
        <v>93</v>
      </c>
      <c r="E54" s="121" t="s">
        <v>61</v>
      </c>
      <c r="F54" s="1" t="s">
        <v>94</v>
      </c>
      <c r="G54" s="6"/>
      <c r="H54" s="120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8" t="s">
        <v>95</v>
      </c>
      <c r="B55" s="29" t="s">
        <v>96</v>
      </c>
      <c r="C55" s="10">
        <v>270.0</v>
      </c>
      <c r="D55" s="11">
        <f t="shared" ref="D55:D58" si="26">Convert(200,"GPa","MPa")</f>
        <v>200000</v>
      </c>
      <c r="E55" s="10">
        <v>0.285</v>
      </c>
      <c r="F55" s="8" t="s">
        <v>97</v>
      </c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8" t="s">
        <v>98</v>
      </c>
      <c r="B56" s="29" t="s">
        <v>99</v>
      </c>
      <c r="C56" s="10">
        <v>201.0</v>
      </c>
      <c r="D56" s="11">
        <f t="shared" si="26"/>
        <v>200000</v>
      </c>
      <c r="E56" s="10">
        <v>0.285</v>
      </c>
      <c r="F56" s="8" t="s">
        <v>100</v>
      </c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8" t="s">
        <v>101</v>
      </c>
      <c r="B57" s="29" t="s">
        <v>96</v>
      </c>
      <c r="C57" s="10">
        <v>270.0</v>
      </c>
      <c r="D57" s="11">
        <f t="shared" si="26"/>
        <v>200000</v>
      </c>
      <c r="E57" s="10">
        <v>0.285</v>
      </c>
      <c r="F57" s="8" t="s">
        <v>97</v>
      </c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8" t="s">
        <v>102</v>
      </c>
      <c r="B58" s="29" t="s">
        <v>99</v>
      </c>
      <c r="C58" s="10">
        <v>201.0</v>
      </c>
      <c r="D58" s="11">
        <f t="shared" si="26"/>
        <v>200000</v>
      </c>
      <c r="E58" s="10">
        <v>0.285</v>
      </c>
      <c r="F58" s="8" t="s">
        <v>100</v>
      </c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8"/>
      <c r="B59" s="6"/>
      <c r="C59" s="6"/>
      <c r="D59" s="6"/>
      <c r="E59" s="6"/>
      <c r="F59" s="6"/>
      <c r="G59" s="6"/>
      <c r="H59" s="6"/>
      <c r="I59" s="6"/>
      <c r="J59" s="8"/>
      <c r="K59" s="6"/>
      <c r="L59" s="6"/>
      <c r="M59" s="6"/>
      <c r="N59" s="6"/>
      <c r="O59" s="6"/>
      <c r="P59" s="8"/>
      <c r="Q59" s="8"/>
      <c r="R59" s="6"/>
      <c r="S59" s="6"/>
      <c r="T59" s="6"/>
      <c r="U59" s="6"/>
      <c r="V59" s="8"/>
      <c r="W59" s="6"/>
      <c r="X59" s="6"/>
      <c r="Y59" s="6"/>
      <c r="Z59" s="6"/>
      <c r="AA59" s="6"/>
      <c r="AB59" s="6"/>
    </row>
    <row r="60">
      <c r="A60" s="1" t="s">
        <v>103</v>
      </c>
      <c r="B60" s="1" t="s">
        <v>104</v>
      </c>
      <c r="C60" s="1" t="s">
        <v>105</v>
      </c>
      <c r="D60" s="1" t="s">
        <v>106</v>
      </c>
      <c r="E60" s="1" t="s">
        <v>107</v>
      </c>
      <c r="F60" s="1" t="s">
        <v>108</v>
      </c>
      <c r="G60" s="1" t="s">
        <v>109</v>
      </c>
      <c r="H60" s="1" t="s">
        <v>110</v>
      </c>
      <c r="I60" s="5"/>
      <c r="J60" s="33" t="s">
        <v>111</v>
      </c>
      <c r="K60" s="1" t="s">
        <v>112</v>
      </c>
      <c r="L60" s="1" t="s">
        <v>113</v>
      </c>
      <c r="M60" s="1" t="s">
        <v>114</v>
      </c>
      <c r="N60" s="1" t="s">
        <v>115</v>
      </c>
      <c r="O60" s="1" t="s">
        <v>116</v>
      </c>
      <c r="P60" s="122" t="s">
        <v>117</v>
      </c>
      <c r="Q60" s="125" t="s">
        <v>118</v>
      </c>
      <c r="R60" s="6"/>
      <c r="S60" s="1" t="s">
        <v>119</v>
      </c>
      <c r="T60" s="1" t="s">
        <v>120</v>
      </c>
      <c r="U60" s="1" t="s">
        <v>121</v>
      </c>
      <c r="V60" s="1" t="s">
        <v>122</v>
      </c>
      <c r="W60" s="1" t="s">
        <v>116</v>
      </c>
      <c r="X60" s="6"/>
      <c r="Y60" s="8"/>
      <c r="Z60" s="8"/>
      <c r="AA60" s="6"/>
      <c r="AB60" s="6"/>
    </row>
    <row r="61">
      <c r="A61" s="8" t="s">
        <v>95</v>
      </c>
      <c r="B61" s="6">
        <f>2.4*C55+237</f>
        <v>885</v>
      </c>
      <c r="C61" s="6">
        <f t="shared" ref="C61:C62" si="27">2.466*B50^-0.056</f>
        <v>0.7379739941</v>
      </c>
      <c r="D61" s="6">
        <f>C55/C56</f>
        <v>1.343283582</v>
      </c>
      <c r="E61" s="8"/>
      <c r="F61" s="8">
        <v>1.0</v>
      </c>
      <c r="G61" s="8">
        <v>1.0</v>
      </c>
      <c r="H61" s="6">
        <f>B61*C61/(F61*G61)</f>
        <v>653.1069848</v>
      </c>
      <c r="I61" s="8"/>
      <c r="J61" s="34">
        <f>sqrt(2/((1-E55^2)/Convert(D55,"MPa","Pa") + (1-E56^2)/Convert(D56,"MPa","Pa")))</f>
        <v>466563.1271</v>
      </c>
      <c r="K61" s="35">
        <f>(PI() * Cos(Radians(B10)) * sin(RADIANS(B10)))/(1+D16/D17)</f>
        <v>0.6958663409</v>
      </c>
      <c r="L61" s="36">
        <v>1.0</v>
      </c>
      <c r="M61" s="36">
        <v>1.0</v>
      </c>
      <c r="N61" s="36">
        <v>1.2</v>
      </c>
      <c r="O61" s="6">
        <f t="shared" ref="O61:O64" si="28">W61</f>
        <v>1.72529211</v>
      </c>
      <c r="P61" s="37">
        <f>J61*(K16 * L61* M61* N61* O61 / (H16*D16*K61))^(1/2)</f>
        <v>622411997.3</v>
      </c>
      <c r="Q61" s="38">
        <f t="shared" ref="Q61:Q64" si="29">Convert(P61,"Pa","MPa")</f>
        <v>622.4119973</v>
      </c>
      <c r="R61" s="6"/>
      <c r="S61" s="6">
        <f>50+56*(1-T61)</f>
        <v>59.77301852</v>
      </c>
      <c r="T61" s="6">
        <f>((12-U61)^(2/3))/4</f>
        <v>0.8254818122</v>
      </c>
      <c r="U61" s="8">
        <v>6.0</v>
      </c>
      <c r="V61" s="6">
        <f t="shared" ref="V61:V62" si="30">pi()*B28*D16/60</f>
        <v>15.65560339</v>
      </c>
      <c r="W61" s="6">
        <f t="shared" ref="W61:W64" si="31">((S61+SQRT(200*V61))/S61)^T61</f>
        <v>1.72529211</v>
      </c>
      <c r="X61" s="6"/>
      <c r="Y61" s="123"/>
      <c r="Z61" s="6"/>
      <c r="AA61" s="6"/>
      <c r="AB61" s="6"/>
    </row>
    <row r="62">
      <c r="A62" s="8" t="s">
        <v>98</v>
      </c>
      <c r="B62" s="6">
        <f>2.22*C56+200</f>
        <v>646.22</v>
      </c>
      <c r="C62" s="6">
        <f t="shared" si="27"/>
        <v>0.7716284448</v>
      </c>
      <c r="D62" s="6">
        <f>C55/C56</f>
        <v>1.343283582</v>
      </c>
      <c r="E62" s="6">
        <f>1+(((8.89*10^-3)*D61)-(8.29*10^-3))*(B17/B16-1)</f>
        <v>1.004445659</v>
      </c>
      <c r="F62" s="8">
        <v>1.0</v>
      </c>
      <c r="G62" s="8">
        <v>1.0</v>
      </c>
      <c r="H62" s="6">
        <f>B62*C62*E62/(F62*G62)</f>
        <v>500.8585245</v>
      </c>
      <c r="I62" s="8"/>
      <c r="J62" s="34">
        <f>sqrt(2/((1-E55^2)/Convert(D55,"MPa","Pa") + (1-E56^2)/Convert(D56,"MPa","Pa")))</f>
        <v>466563.1271</v>
      </c>
      <c r="K62" s="35">
        <f>(PI() * Cos(Radians(B10)) * sin(RADIANS(B10)))/(1+D16/D17)</f>
        <v>0.6958663409</v>
      </c>
      <c r="L62" s="36">
        <v>1.0</v>
      </c>
      <c r="M62" s="36">
        <v>1.0</v>
      </c>
      <c r="N62" s="36">
        <v>1.1</v>
      </c>
      <c r="O62" s="6">
        <f t="shared" si="28"/>
        <v>1.72529211</v>
      </c>
      <c r="P62" s="37">
        <f>J62*(K17 * L62* M62* N62* O62 / (H17*D16*K62))^(1/2)</f>
        <v>620247079.5</v>
      </c>
      <c r="Q62" s="38">
        <f t="shared" si="29"/>
        <v>620.2470795</v>
      </c>
      <c r="R62" s="6"/>
      <c r="S62" s="6">
        <v>59.77301851547523</v>
      </c>
      <c r="T62" s="6">
        <v>0.8254818122236567</v>
      </c>
      <c r="U62" s="8">
        <v>6.0</v>
      </c>
      <c r="V62" s="6">
        <f t="shared" si="30"/>
        <v>15.65560339</v>
      </c>
      <c r="W62" s="6">
        <f t="shared" si="31"/>
        <v>1.72529211</v>
      </c>
      <c r="X62" s="6"/>
      <c r="Y62" s="6"/>
      <c r="Z62" s="6"/>
      <c r="AA62" s="6"/>
      <c r="AB62" s="6"/>
    </row>
    <row r="63">
      <c r="A63" s="8" t="s">
        <v>101</v>
      </c>
      <c r="B63" s="6">
        <f>2.4*C57+237</f>
        <v>885</v>
      </c>
      <c r="C63" s="6">
        <f t="shared" ref="C63:C64" si="32">2.466*B51^-0.056</f>
        <v>0.7716284448</v>
      </c>
      <c r="D63" s="6">
        <f>C57/C58</f>
        <v>1.343283582</v>
      </c>
      <c r="E63" s="8"/>
      <c r="F63" s="8">
        <v>1.0</v>
      </c>
      <c r="G63" s="8">
        <v>1.0</v>
      </c>
      <c r="H63" s="6">
        <f>B63*C63/(F63*G63)</f>
        <v>682.8911736</v>
      </c>
      <c r="I63" s="8"/>
      <c r="J63" s="34">
        <f>sqrt(2/((1-E57^2)/Convert(D57,"MPa","Pa") + (1-E58^2)/Convert(D58,"MPa","Pa")))</f>
        <v>466563.1271</v>
      </c>
      <c r="K63" s="35">
        <f>(PI() * Cos(Radians(B10)) * sin(RADIANS(B10)))/(1+D18/D19)</f>
        <v>0.7516569321</v>
      </c>
      <c r="L63" s="36">
        <v>1.0</v>
      </c>
      <c r="M63" s="36">
        <v>1.0</v>
      </c>
      <c r="N63" s="36">
        <v>1.2</v>
      </c>
      <c r="O63" s="6">
        <f t="shared" si="28"/>
        <v>1.495769338</v>
      </c>
      <c r="P63" s="37">
        <f>J63*(K18 * L63* M63* N63* O63 / (H18*D18*K63))^(1/2)</f>
        <v>830334727.4</v>
      </c>
      <c r="Q63" s="38">
        <f t="shared" si="29"/>
        <v>830.3347274</v>
      </c>
      <c r="R63" s="6"/>
      <c r="S63" s="6">
        <v>59.77301851547523</v>
      </c>
      <c r="T63" s="6">
        <v>0.8254818122236567</v>
      </c>
      <c r="U63" s="8">
        <v>6.0</v>
      </c>
      <c r="V63" s="6">
        <f t="shared" ref="V63:V64" si="33">pi()*B29*D18/60</f>
        <v>7.060370156</v>
      </c>
      <c r="W63" s="6">
        <f t="shared" si="31"/>
        <v>1.495769338</v>
      </c>
      <c r="X63" s="6"/>
      <c r="Y63" s="6"/>
      <c r="Z63" s="6"/>
      <c r="AA63" s="6"/>
      <c r="AB63" s="6"/>
    </row>
    <row r="64">
      <c r="A64" s="8" t="s">
        <v>102</v>
      </c>
      <c r="B64" s="6">
        <f>2.22*C56+200</f>
        <v>646.22</v>
      </c>
      <c r="C64" s="6">
        <f t="shared" si="32"/>
        <v>0.8192409621</v>
      </c>
      <c r="D64" s="6">
        <f>C57/C58</f>
        <v>1.343283582</v>
      </c>
      <c r="E64" s="8">
        <f>1+(((8.89*10^-3)*D63)-(8.29*10^-3))*(B19/B18-1)</f>
        <v>1.006986035</v>
      </c>
      <c r="F64" s="8">
        <v>1.0</v>
      </c>
      <c r="G64" s="8">
        <v>1.0</v>
      </c>
      <c r="H64" s="6">
        <f>B64*C64*E64/(F64*G64)</f>
        <v>533.1083706</v>
      </c>
      <c r="I64" s="8"/>
      <c r="J64" s="34">
        <f>sqrt(2/((1-E57^2)/Convert(D57,"MPa","Pa") + (1-E58^2)/Convert(D58,"MPa","Pa")))</f>
        <v>466563.1271</v>
      </c>
      <c r="K64" s="35">
        <f>(PI() * Cos(Radians(B10)) * sin(RADIANS(B10)))/(1+D18/D19)</f>
        <v>0.7516569321</v>
      </c>
      <c r="L64" s="36">
        <v>1.0</v>
      </c>
      <c r="M64" s="36">
        <v>1.0</v>
      </c>
      <c r="N64" s="36">
        <v>1.1</v>
      </c>
      <c r="O64" s="6">
        <f t="shared" si="28"/>
        <v>1.495769338</v>
      </c>
      <c r="P64" s="37">
        <f>J64*(K19 * L64* M64* N64* O64 / (H19*D18*K64))^(1/2)</f>
        <v>827446597.9</v>
      </c>
      <c r="Q64" s="38">
        <f t="shared" si="29"/>
        <v>827.4465979</v>
      </c>
      <c r="R64" s="6"/>
      <c r="S64" s="6">
        <v>59.77301851547523</v>
      </c>
      <c r="T64" s="6">
        <v>0.8254818122236567</v>
      </c>
      <c r="U64" s="8">
        <v>6.0</v>
      </c>
      <c r="V64" s="6">
        <f t="shared" si="33"/>
        <v>7.060370156</v>
      </c>
      <c r="W64" s="6">
        <f t="shared" si="31"/>
        <v>1.495769338</v>
      </c>
      <c r="X64" s="6"/>
      <c r="Y64" s="6"/>
      <c r="Z64" s="6"/>
      <c r="AA64" s="6"/>
      <c r="AB64" s="6"/>
    </row>
    <row r="65">
      <c r="A65" s="6"/>
      <c r="B65" s="6"/>
      <c r="C65" s="6"/>
      <c r="D65" s="6"/>
      <c r="E65" s="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" t="s">
        <v>123</v>
      </c>
      <c r="B66" s="1" t="s">
        <v>124</v>
      </c>
      <c r="C66" s="1" t="s">
        <v>125</v>
      </c>
      <c r="D66" s="1" t="s">
        <v>126</v>
      </c>
      <c r="E66" s="1" t="s">
        <v>127</v>
      </c>
      <c r="F66" s="1" t="s">
        <v>128</v>
      </c>
      <c r="G66" s="5"/>
      <c r="H66" s="1" t="s">
        <v>129</v>
      </c>
      <c r="I66" s="1" t="s">
        <v>130</v>
      </c>
      <c r="J66" s="1" t="s">
        <v>68</v>
      </c>
      <c r="K66" s="1" t="s">
        <v>71</v>
      </c>
      <c r="L66" s="1" t="s">
        <v>131</v>
      </c>
      <c r="M66" s="1" t="s">
        <v>132</v>
      </c>
      <c r="N66" s="1" t="s">
        <v>133</v>
      </c>
      <c r="O66" s="1" t="s">
        <v>117</v>
      </c>
      <c r="P66" s="1" t="s">
        <v>134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8" t="s">
        <v>95</v>
      </c>
      <c r="B67" s="6">
        <f>0.703*C55+113</f>
        <v>302.81</v>
      </c>
      <c r="C67" s="6">
        <f t="shared" ref="C67:C68" si="35">1.683*B50^(-0.0323)</f>
        <v>0.8392204904</v>
      </c>
      <c r="D67" s="8">
        <v>1.0</v>
      </c>
      <c r="E67" s="8">
        <v>1.0</v>
      </c>
      <c r="F67" s="6">
        <f t="shared" ref="F67:F70" si="36">B67*C67/(D67*E67)</f>
        <v>254.1243567</v>
      </c>
      <c r="G67" s="6"/>
      <c r="H67" s="36">
        <v>0.35</v>
      </c>
      <c r="I67" s="36">
        <v>1.0</v>
      </c>
      <c r="J67" s="36">
        <f t="shared" ref="J67:L67" si="34">M61</f>
        <v>1</v>
      </c>
      <c r="K67" s="39">
        <f t="shared" si="34"/>
        <v>1.2</v>
      </c>
      <c r="L67" s="6">
        <f t="shared" si="34"/>
        <v>1.72529211</v>
      </c>
      <c r="M67" s="36">
        <v>1.0</v>
      </c>
      <c r="N67" s="36">
        <v>1.0</v>
      </c>
      <c r="O67" s="6">
        <f t="shared" ref="O67:O70" si="38">K16/(H16*H67*$B$7) *I67*J67*K67*L67*M67*N67</f>
        <v>81380566.04</v>
      </c>
      <c r="P67" s="38">
        <f t="shared" ref="P67:P70" si="39">Convert(O67,"Pa","MPa")</f>
        <v>81.38056604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8" t="s">
        <v>98</v>
      </c>
      <c r="B68" s="6">
        <f>0.533*C56+88.3</f>
        <v>195.433</v>
      </c>
      <c r="C68" s="6">
        <f t="shared" si="35"/>
        <v>0.8610865122</v>
      </c>
      <c r="D68" s="8">
        <v>1.0</v>
      </c>
      <c r="E68" s="8">
        <v>1.0</v>
      </c>
      <c r="F68" s="6">
        <f t="shared" si="36"/>
        <v>168.2847203</v>
      </c>
      <c r="G68" s="6"/>
      <c r="H68" s="36">
        <v>0.42</v>
      </c>
      <c r="I68" s="36">
        <v>1.0</v>
      </c>
      <c r="J68" s="36">
        <f t="shared" ref="J68:L68" si="37">M62</f>
        <v>1</v>
      </c>
      <c r="K68" s="39">
        <f t="shared" si="37"/>
        <v>1.1</v>
      </c>
      <c r="L68" s="6">
        <f t="shared" si="37"/>
        <v>1.72529211</v>
      </c>
      <c r="M68" s="36">
        <v>1.0</v>
      </c>
      <c r="N68" s="36">
        <v>1.0</v>
      </c>
      <c r="O68" s="6">
        <f t="shared" si="38"/>
        <v>67346186.02</v>
      </c>
      <c r="P68" s="38">
        <f t="shared" si="39"/>
        <v>67.34618602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8" t="s">
        <v>101</v>
      </c>
      <c r="B69" s="6">
        <f>0.703*C57+113</f>
        <v>302.81</v>
      </c>
      <c r="C69" s="6">
        <f t="shared" ref="C69:C70" si="41">1.683*B51^(-0.0323)</f>
        <v>0.8610865122</v>
      </c>
      <c r="D69" s="8">
        <v>1.0</v>
      </c>
      <c r="E69" s="8">
        <v>1.0</v>
      </c>
      <c r="F69" s="6">
        <f t="shared" si="36"/>
        <v>260.7456068</v>
      </c>
      <c r="G69" s="6"/>
      <c r="H69" s="36">
        <v>0.35</v>
      </c>
      <c r="I69" s="36">
        <v>1.0</v>
      </c>
      <c r="J69" s="36">
        <f t="shared" ref="J69:L69" si="40">M63</f>
        <v>1</v>
      </c>
      <c r="K69" s="39">
        <f t="shared" si="40"/>
        <v>1.2</v>
      </c>
      <c r="L69" s="6">
        <f t="shared" si="40"/>
        <v>1.495769338</v>
      </c>
      <c r="M69" s="36">
        <v>1.0</v>
      </c>
      <c r="N69" s="36">
        <v>1.0</v>
      </c>
      <c r="O69" s="6">
        <f t="shared" si="38"/>
        <v>156446206.4</v>
      </c>
      <c r="P69" s="38">
        <f t="shared" si="39"/>
        <v>156.4462064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8" t="s">
        <v>102</v>
      </c>
      <c r="B70" s="6">
        <f>0.533*C58+88.3</f>
        <v>195.433</v>
      </c>
      <c r="C70" s="6">
        <f t="shared" si="41"/>
        <v>0.8913436885</v>
      </c>
      <c r="D70" s="8">
        <v>1.0</v>
      </c>
      <c r="E70" s="8">
        <v>1.0</v>
      </c>
      <c r="F70" s="6">
        <f t="shared" si="36"/>
        <v>174.1979711</v>
      </c>
      <c r="G70" s="6"/>
      <c r="H70" s="36">
        <v>0.42</v>
      </c>
      <c r="I70" s="36">
        <v>1.0</v>
      </c>
      <c r="J70" s="36">
        <f t="shared" ref="J70:L70" si="42">M64</f>
        <v>1</v>
      </c>
      <c r="K70" s="39">
        <f t="shared" si="42"/>
        <v>1.1</v>
      </c>
      <c r="L70" s="6">
        <f t="shared" si="42"/>
        <v>1.495769338</v>
      </c>
      <c r="M70" s="36">
        <v>1.0</v>
      </c>
      <c r="N70" s="36">
        <v>1.0</v>
      </c>
      <c r="O70" s="6">
        <f t="shared" si="38"/>
        <v>129466478.6</v>
      </c>
      <c r="P70" s="38">
        <f t="shared" si="39"/>
        <v>129.4664786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</sheetData>
  <mergeCells count="3">
    <mergeCell ref="A1:D1"/>
    <mergeCell ref="A6:C6"/>
    <mergeCell ref="A27:C27"/>
  </mergeCells>
  <conditionalFormatting sqref="L36:L38">
    <cfRule type="cellIs" dxfId="0" priority="1" operator="lessThan">
      <formula>"A14"</formula>
    </cfRule>
  </conditionalFormatting>
  <hyperlinks>
    <hyperlink r:id="rId1" ref="A33"/>
    <hyperlink r:id="rId2" ref="B55"/>
    <hyperlink r:id="rId3" ref="B56"/>
    <hyperlink r:id="rId4" ref="B57"/>
    <hyperlink r:id="rId5" ref="B58"/>
  </hyperlinks>
  <drawing r:id="rId6"/>
</worksheet>
</file>