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Work\"/>
    </mc:Choice>
  </mc:AlternateContent>
  <xr:revisionPtr revIDLastSave="0" documentId="13_ncr:1_{EC454862-F6C4-401A-879E-0843A38D3921}" xr6:coauthVersionLast="47" xr6:coauthVersionMax="47" xr10:uidLastSave="{00000000-0000-0000-0000-000000000000}"/>
  <bookViews>
    <workbookView xWindow="-28920" yWindow="-120" windowWidth="29040" windowHeight="15720" tabRatio="840" xr2:uid="{00000000-000D-0000-FFFF-FFFF00000000}"/>
  </bookViews>
  <sheets>
    <sheet name="Model Inputs" sheetId="1" r:id="rId1"/>
    <sheet name="Profit and Loss" sheetId="2" r:id="rId2"/>
    <sheet name="Balance Sheet" sheetId="6" r:id="rId3"/>
    <sheet name="Cash Flow" sheetId="5" r:id="rId4"/>
    <sheet name="Monthly Cash" sheetId="10" r:id="rId5"/>
    <sheet name="Sector profitability" sheetId="9" r:id="rId6"/>
    <sheet name="Loan Payment Calculator" sheetId="4" r:id="rId7"/>
    <sheet name="Notes &amp; Assumptions" sheetId="3" r:id="rId8"/>
  </sheets>
  <definedNames>
    <definedName name="Company_Name">'Model Inputs'!$B$3</definedName>
    <definedName name="_xlnm.Print_Area" localSheetId="2">'Balance Sheet'!$B$1:$I$77</definedName>
    <definedName name="_xlnm.Print_Area" localSheetId="3">'Cash Flow'!$B$1:$I$38</definedName>
    <definedName name="_xlnm.Print_Area" localSheetId="6">'Loan Payment Calculator'!$A$1:OFFSET('Loan Payment Calculator'!#REF!,4,5,MAX('Loan Payment Calculator'!$A$7:$A$368),1)</definedName>
    <definedName name="_xlnm.Print_Area" localSheetId="0">'Model Inputs'!$B$1:$F$78</definedName>
    <definedName name="_xlnm.Print_Area" localSheetId="7">'Notes &amp; Assumptions'!$A$1:$K$45</definedName>
    <definedName name="_xlnm.Print_Area" localSheetId="1">'Profit and Loss'!$B$1:$H$68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BJ16" i="10"/>
  <c r="AX16" i="10"/>
  <c r="AL16" i="10"/>
  <c r="Z16" i="10"/>
  <c r="N16" i="10"/>
  <c r="C40" i="2" l="1"/>
  <c r="C41" i="2"/>
  <c r="C42" i="2"/>
  <c r="C43" i="2"/>
  <c r="C39" i="2"/>
  <c r="N68" i="10"/>
  <c r="N64" i="10"/>
  <c r="C12" i="5" l="1"/>
  <c r="E24" i="10"/>
  <c r="K23" i="10"/>
  <c r="C57" i="10"/>
  <c r="D42" i="10"/>
  <c r="P42" i="10" s="1"/>
  <c r="AB42" i="10" s="1"/>
  <c r="AN42" i="10" s="1"/>
  <c r="AZ42" i="10" s="1"/>
  <c r="E42" i="10"/>
  <c r="Q42" i="10" s="1"/>
  <c r="AC42" i="10" s="1"/>
  <c r="AO42" i="10" s="1"/>
  <c r="BA42" i="10" s="1"/>
  <c r="F42" i="10"/>
  <c r="R42" i="10" s="1"/>
  <c r="AD42" i="10" s="1"/>
  <c r="AP42" i="10" s="1"/>
  <c r="BB42" i="10" s="1"/>
  <c r="G42" i="10"/>
  <c r="S42" i="10" s="1"/>
  <c r="AE42" i="10" s="1"/>
  <c r="AQ42" i="10" s="1"/>
  <c r="BC42" i="10" s="1"/>
  <c r="H42" i="10"/>
  <c r="T42" i="10" s="1"/>
  <c r="AF42" i="10" s="1"/>
  <c r="AR42" i="10" s="1"/>
  <c r="BD42" i="10" s="1"/>
  <c r="I42" i="10"/>
  <c r="U42" i="10" s="1"/>
  <c r="AG42" i="10" s="1"/>
  <c r="AS42" i="10" s="1"/>
  <c r="BE42" i="10" s="1"/>
  <c r="J42" i="10"/>
  <c r="V42" i="10" s="1"/>
  <c r="AH42" i="10" s="1"/>
  <c r="AT42" i="10" s="1"/>
  <c r="BF42" i="10" s="1"/>
  <c r="K42" i="10"/>
  <c r="W42" i="10" s="1"/>
  <c r="AI42" i="10" s="1"/>
  <c r="AU42" i="10" s="1"/>
  <c r="BG42" i="10" s="1"/>
  <c r="L42" i="10"/>
  <c r="X42" i="10" s="1"/>
  <c r="AJ42" i="10" s="1"/>
  <c r="AV42" i="10" s="1"/>
  <c r="BH42" i="10" s="1"/>
  <c r="M42" i="10"/>
  <c r="Y42" i="10" s="1"/>
  <c r="AK42" i="10" s="1"/>
  <c r="AW42" i="10" s="1"/>
  <c r="BI42" i="10" s="1"/>
  <c r="N42" i="10"/>
  <c r="Z42" i="10" s="1"/>
  <c r="AL42" i="10" s="1"/>
  <c r="AX42" i="10" s="1"/>
  <c r="BJ42" i="10" s="1"/>
  <c r="C42" i="10"/>
  <c r="O42" i="10" s="1"/>
  <c r="AA42" i="10" s="1"/>
  <c r="AM42" i="10" s="1"/>
  <c r="AY42" i="10" s="1"/>
  <c r="C6" i="10"/>
  <c r="AD53" i="10" s="1"/>
  <c r="BA44" i="10"/>
  <c r="C37" i="2"/>
  <c r="E36" i="2"/>
  <c r="F36" i="2"/>
  <c r="G36" i="2"/>
  <c r="D36" i="2"/>
  <c r="C36" i="2"/>
  <c r="D39" i="2"/>
  <c r="E39" i="2" s="1"/>
  <c r="F39" i="2" s="1"/>
  <c r="G39" i="2" s="1"/>
  <c r="D40" i="2"/>
  <c r="E40" i="2" s="1"/>
  <c r="F40" i="2" s="1"/>
  <c r="G40" i="2" s="1"/>
  <c r="D41" i="2"/>
  <c r="E41" i="2" s="1"/>
  <c r="F41" i="2" s="1"/>
  <c r="G41" i="2" s="1"/>
  <c r="E36" i="1"/>
  <c r="E34" i="1"/>
  <c r="AQ44" i="10" l="1"/>
  <c r="AZ44" i="10"/>
  <c r="AD44" i="10"/>
  <c r="AM44" i="10"/>
  <c r="Z44" i="10"/>
  <c r="L53" i="10"/>
  <c r="Z53" i="10"/>
  <c r="C53" i="10"/>
  <c r="G53" i="10"/>
  <c r="Y53" i="10"/>
  <c r="U53" i="10"/>
  <c r="Q53" i="10"/>
  <c r="BI53" i="10"/>
  <c r="BE53" i="10"/>
  <c r="BA53" i="10"/>
  <c r="AW53" i="10"/>
  <c r="AS53" i="10"/>
  <c r="AO53" i="10"/>
  <c r="AK53" i="10"/>
  <c r="AG53" i="10"/>
  <c r="AC53" i="10"/>
  <c r="V44" i="10"/>
  <c r="AL44" i="10"/>
  <c r="BH44" i="10"/>
  <c r="N53" i="10"/>
  <c r="J53" i="10"/>
  <c r="F53" i="10"/>
  <c r="X53" i="10"/>
  <c r="T53" i="10"/>
  <c r="P53" i="10"/>
  <c r="BH53" i="10"/>
  <c r="BD53" i="10"/>
  <c r="AZ53" i="10"/>
  <c r="AV53" i="10"/>
  <c r="AR53" i="10"/>
  <c r="AN53" i="10"/>
  <c r="AJ53" i="10"/>
  <c r="AF53" i="10"/>
  <c r="AB53" i="10"/>
  <c r="H53" i="10"/>
  <c r="K53" i="10"/>
  <c r="R44" i="10"/>
  <c r="AH44" i="10"/>
  <c r="AU44" i="10"/>
  <c r="BD44" i="10"/>
  <c r="M53" i="10"/>
  <c r="I53" i="10"/>
  <c r="E53" i="10"/>
  <c r="W53" i="10"/>
  <c r="S53" i="10"/>
  <c r="O53" i="10"/>
  <c r="BG53" i="10"/>
  <c r="BC53" i="10"/>
  <c r="AY53" i="10"/>
  <c r="AU53" i="10"/>
  <c r="AQ53" i="10"/>
  <c r="AM53" i="10"/>
  <c r="AI53" i="10"/>
  <c r="AE53" i="10"/>
  <c r="AA53" i="10"/>
  <c r="D53" i="10"/>
  <c r="V53" i="10"/>
  <c r="R53" i="10"/>
  <c r="BJ53" i="10"/>
  <c r="BF53" i="10"/>
  <c r="BB53" i="10"/>
  <c r="AX53" i="10"/>
  <c r="AT53" i="10"/>
  <c r="AP53" i="10"/>
  <c r="AL53" i="10"/>
  <c r="AH53" i="10"/>
  <c r="Y44" i="10"/>
  <c r="U44" i="10"/>
  <c r="Q44" i="10"/>
  <c r="AK44" i="10"/>
  <c r="AG44" i="10"/>
  <c r="AC44" i="10"/>
  <c r="AX44" i="10"/>
  <c r="AT44" i="10"/>
  <c r="AP44" i="10"/>
  <c r="BG44" i="10"/>
  <c r="BC44" i="10"/>
  <c r="AY44" i="10"/>
  <c r="X44" i="10"/>
  <c r="T44" i="10"/>
  <c r="P44" i="10"/>
  <c r="AJ44" i="10"/>
  <c r="AF44" i="10"/>
  <c r="AB44" i="10"/>
  <c r="AW44" i="10"/>
  <c r="AS44" i="10"/>
  <c r="AO44" i="10"/>
  <c r="BJ44" i="10"/>
  <c r="BF44" i="10"/>
  <c r="BB44" i="10"/>
  <c r="O44" i="10"/>
  <c r="W44" i="10"/>
  <c r="S44" i="10"/>
  <c r="AI44" i="10"/>
  <c r="AE44" i="10"/>
  <c r="AA44" i="10"/>
  <c r="AV44" i="10"/>
  <c r="AR44" i="10"/>
  <c r="AN44" i="10"/>
  <c r="BI44" i="10"/>
  <c r="BE44" i="10"/>
  <c r="C38" i="2"/>
  <c r="B18" i="9"/>
  <c r="B26" i="9" s="1"/>
  <c r="B34" i="9" s="1"/>
  <c r="B17" i="9"/>
  <c r="B25" i="9" s="1"/>
  <c r="B33" i="9" s="1"/>
  <c r="C21" i="9" l="1"/>
  <c r="D21" i="9" s="1"/>
  <c r="E21" i="9" s="1"/>
  <c r="F21" i="9" s="1"/>
  <c r="G21" i="9" s="1"/>
  <c r="C29" i="9"/>
  <c r="D29" i="9" s="1"/>
  <c r="E29" i="9" s="1"/>
  <c r="F29" i="9" s="1"/>
  <c r="G29" i="9" s="1"/>
  <c r="C13" i="9"/>
  <c r="D13" i="9" s="1"/>
  <c r="E13" i="9" s="1"/>
  <c r="F13" i="9" s="1"/>
  <c r="G13" i="9" s="1"/>
  <c r="C5" i="9"/>
  <c r="D5" i="9" s="1"/>
  <c r="E5" i="9" s="1"/>
  <c r="F5" i="9" s="1"/>
  <c r="G5" i="9" s="1"/>
  <c r="B14" i="9"/>
  <c r="B22" i="9" s="1"/>
  <c r="B30" i="9" s="1"/>
  <c r="B15" i="9"/>
  <c r="B23" i="9" s="1"/>
  <c r="B31" i="9" s="1"/>
  <c r="B16" i="9"/>
  <c r="B24" i="9" s="1"/>
  <c r="B32" i="9" s="1"/>
  <c r="B13" i="9"/>
  <c r="B21" i="9" s="1"/>
  <c r="B29" i="9" s="1"/>
  <c r="C28" i="5" l="1"/>
  <c r="D21" i="6"/>
  <c r="B3" i="5"/>
  <c r="B3" i="6"/>
  <c r="B3" i="2"/>
  <c r="D37" i="2" l="1"/>
  <c r="D38" i="2"/>
  <c r="E21" i="6"/>
  <c r="F21" i="6" l="1"/>
  <c r="D43" i="2"/>
  <c r="E43" i="2" s="1"/>
  <c r="F43" i="2" s="1"/>
  <c r="G43" i="2" s="1"/>
  <c r="D42" i="2"/>
  <c r="E42" i="2" s="1"/>
  <c r="F42" i="2" s="1"/>
  <c r="G42" i="2" s="1"/>
  <c r="G21" i="6" l="1"/>
  <c r="B17" i="1"/>
  <c r="B18" i="1"/>
  <c r="B19" i="1"/>
  <c r="B16" i="1"/>
  <c r="B25" i="1"/>
  <c r="B26" i="1"/>
  <c r="B27" i="1"/>
  <c r="B28" i="1"/>
  <c r="H21" i="6" l="1"/>
  <c r="C2" i="10"/>
  <c r="D2" i="10"/>
  <c r="E2" i="10"/>
  <c r="F2" i="10"/>
  <c r="G2" i="10"/>
  <c r="H2" i="10"/>
  <c r="I2" i="10"/>
  <c r="J2" i="10"/>
  <c r="K2" i="10"/>
  <c r="L2" i="10"/>
  <c r="M2" i="10"/>
  <c r="N2" i="10"/>
  <c r="E48" i="10"/>
  <c r="D48" i="10"/>
  <c r="C44" i="10" l="1"/>
  <c r="C49" i="10" l="1"/>
  <c r="C15" i="10" s="1"/>
  <c r="D44" i="10"/>
  <c r="E44" i="10"/>
  <c r="F44" i="10"/>
  <c r="G44" i="10"/>
  <c r="H44" i="10"/>
  <c r="I44" i="10"/>
  <c r="J44" i="10"/>
  <c r="K44" i="10"/>
  <c r="L44" i="10"/>
  <c r="M44" i="10"/>
  <c r="N44" i="10"/>
  <c r="B12" i="9" l="1"/>
  <c r="B20" i="9"/>
  <c r="B28" i="9"/>
  <c r="D71" i="6" l="1"/>
  <c r="E71" i="6" s="1"/>
  <c r="F71" i="6" s="1"/>
  <c r="G71" i="6" s="1"/>
  <c r="H71" i="6" s="1"/>
  <c r="D72" i="6"/>
  <c r="E72" i="6" s="1"/>
  <c r="F72" i="6" s="1"/>
  <c r="G72" i="6" s="1"/>
  <c r="H72" i="6" s="1"/>
  <c r="D61" i="6"/>
  <c r="E61" i="6" s="1"/>
  <c r="F61" i="6" s="1"/>
  <c r="G61" i="6" s="1"/>
  <c r="H61" i="6" s="1"/>
  <c r="D60" i="6"/>
  <c r="E60" i="6" s="1"/>
  <c r="D33" i="6"/>
  <c r="E33" i="6" s="1"/>
  <c r="F33" i="6" s="1"/>
  <c r="G33" i="6" s="1"/>
  <c r="H33" i="6" s="1"/>
  <c r="D32" i="6"/>
  <c r="E32" i="6" s="1"/>
  <c r="F32" i="6" s="1"/>
  <c r="G32" i="6" s="1"/>
  <c r="H32" i="6" s="1"/>
  <c r="D31" i="6"/>
  <c r="E31" i="6" s="1"/>
  <c r="D29" i="6"/>
  <c r="E29" i="6" s="1"/>
  <c r="F29" i="6" s="1"/>
  <c r="G29" i="6" s="1"/>
  <c r="H29" i="6" s="1"/>
  <c r="D44" i="6"/>
  <c r="E44" i="6" s="1"/>
  <c r="F44" i="6" s="1"/>
  <c r="G44" i="6" s="1"/>
  <c r="H44" i="6" s="1"/>
  <c r="D20" i="6"/>
  <c r="E20" i="6" s="1"/>
  <c r="F20" i="6" s="1"/>
  <c r="G20" i="6" s="1"/>
  <c r="H20" i="6" s="1"/>
  <c r="D19" i="6"/>
  <c r="E19" i="6" s="1"/>
  <c r="D12" i="6"/>
  <c r="E12" i="6" s="1"/>
  <c r="F12" i="6" s="1"/>
  <c r="G12" i="6" s="1"/>
  <c r="H12" i="6" s="1"/>
  <c r="A7" i="4"/>
  <c r="A8" i="4" s="1"/>
  <c r="B6" i="4"/>
  <c r="C53" i="6" s="1"/>
  <c r="C75" i="1"/>
  <c r="E10" i="1"/>
  <c r="E28" i="1" s="1"/>
  <c r="E9" i="1"/>
  <c r="E27" i="1" s="1"/>
  <c r="E8" i="1"/>
  <c r="E26" i="1" s="1"/>
  <c r="E7" i="1"/>
  <c r="E25" i="1" s="1"/>
  <c r="H20" i="5"/>
  <c r="C49" i="6"/>
  <c r="C36" i="5"/>
  <c r="C25" i="6"/>
  <c r="C63" i="6"/>
  <c r="D70" i="6"/>
  <c r="E70" i="6" s="1"/>
  <c r="F70" i="6" s="1"/>
  <c r="G70" i="6" s="1"/>
  <c r="H70" i="6" s="1"/>
  <c r="B14" i="2"/>
  <c r="B13" i="2"/>
  <c r="B12" i="2"/>
  <c r="B11" i="2"/>
  <c r="B23" i="2"/>
  <c r="B22" i="2"/>
  <c r="B21" i="2"/>
  <c r="B20" i="2"/>
  <c r="D47" i="6"/>
  <c r="C15" i="6"/>
  <c r="C13" i="10" l="1"/>
  <c r="H36" i="5"/>
  <c r="E47" i="6"/>
  <c r="C56" i="6"/>
  <c r="D23" i="6"/>
  <c r="C11" i="2"/>
  <c r="C23" i="2"/>
  <c r="C31" i="9" s="1"/>
  <c r="C21" i="2"/>
  <c r="C15" i="9" s="1"/>
  <c r="C22" i="2"/>
  <c r="C23" i="9" s="1"/>
  <c r="C12" i="2"/>
  <c r="C13" i="2"/>
  <c r="C8" i="5"/>
  <c r="F31" i="6"/>
  <c r="G31" i="6" s="1"/>
  <c r="H31" i="6" s="1"/>
  <c r="E63" i="6"/>
  <c r="F60" i="6"/>
  <c r="C65" i="6"/>
  <c r="B7" i="4"/>
  <c r="E7" i="4" s="1"/>
  <c r="D63" i="6"/>
  <c r="C18" i="5"/>
  <c r="N21" i="10" s="1"/>
  <c r="H27" i="5"/>
  <c r="H29" i="5"/>
  <c r="C7" i="4"/>
  <c r="C22" i="10" s="1"/>
  <c r="A9" i="4"/>
  <c r="C8" i="4"/>
  <c r="D22" i="10" s="1"/>
  <c r="C14" i="2"/>
  <c r="C20" i="2"/>
  <c r="C7" i="9" s="1"/>
  <c r="C76" i="1"/>
  <c r="C77" i="1" s="1"/>
  <c r="H30" i="5"/>
  <c r="E12" i="1"/>
  <c r="F19" i="6"/>
  <c r="D18" i="5"/>
  <c r="Z21" i="10" s="1"/>
  <c r="D25" i="6" l="1"/>
  <c r="E37" i="2"/>
  <c r="E38" i="2"/>
  <c r="E8" i="5" s="1"/>
  <c r="D14" i="2"/>
  <c r="D30" i="9" s="1"/>
  <c r="C30" i="9"/>
  <c r="C32" i="9" s="1"/>
  <c r="D12" i="2"/>
  <c r="D14" i="9" s="1"/>
  <c r="C14" i="9"/>
  <c r="C16" i="9" s="1"/>
  <c r="D11" i="2"/>
  <c r="D6" i="9" s="1"/>
  <c r="C6" i="9"/>
  <c r="C8" i="9" s="1"/>
  <c r="D13" i="2"/>
  <c r="D22" i="9" s="1"/>
  <c r="C22" i="9"/>
  <c r="C24" i="9" s="1"/>
  <c r="F47" i="6"/>
  <c r="D7" i="4"/>
  <c r="B8" i="4" s="1"/>
  <c r="E8" i="4" s="1"/>
  <c r="D8" i="4" s="1"/>
  <c r="B9" i="4" s="1"/>
  <c r="E9" i="4" s="1"/>
  <c r="E30" i="1"/>
  <c r="C22" i="5"/>
  <c r="G60" i="6"/>
  <c r="F63" i="6"/>
  <c r="D22" i="5"/>
  <c r="C16" i="2"/>
  <c r="G19" i="6"/>
  <c r="E18" i="5"/>
  <c r="AL21" i="10" s="1"/>
  <c r="D8" i="5"/>
  <c r="E23" i="6"/>
  <c r="A10" i="4"/>
  <c r="C9" i="4"/>
  <c r="E22" i="10" s="1"/>
  <c r="E11" i="2" l="1"/>
  <c r="E6" i="9" s="1"/>
  <c r="F38" i="2"/>
  <c r="F8" i="5" s="1"/>
  <c r="F37" i="2"/>
  <c r="D20" i="2"/>
  <c r="D7" i="9" s="1"/>
  <c r="D8" i="9" s="1"/>
  <c r="C35" i="2"/>
  <c r="E14" i="2"/>
  <c r="E30" i="9" s="1"/>
  <c r="D23" i="2"/>
  <c r="D31" i="9" s="1"/>
  <c r="D32" i="9" s="1"/>
  <c r="D22" i="2"/>
  <c r="D23" i="9" s="1"/>
  <c r="D24" i="9" s="1"/>
  <c r="E13" i="2"/>
  <c r="E22" i="9" s="1"/>
  <c r="C25" i="9"/>
  <c r="C26" i="9"/>
  <c r="D16" i="2"/>
  <c r="E12" i="2"/>
  <c r="E14" i="9" s="1"/>
  <c r="C9" i="9"/>
  <c r="C10" i="9"/>
  <c r="C33" i="9"/>
  <c r="C34" i="9"/>
  <c r="C17" i="9"/>
  <c r="C18" i="9"/>
  <c r="D21" i="2"/>
  <c r="D15" i="9" s="1"/>
  <c r="D16" i="9" s="1"/>
  <c r="G47" i="6"/>
  <c r="C25" i="2"/>
  <c r="M52" i="10" s="1"/>
  <c r="C30" i="1"/>
  <c r="F11" i="2"/>
  <c r="F6" i="9" s="1"/>
  <c r="D43" i="10"/>
  <c r="E45" i="10" s="1"/>
  <c r="H43" i="10"/>
  <c r="I45" i="10" s="1"/>
  <c r="L43" i="10"/>
  <c r="E43" i="10"/>
  <c r="F45" i="10" s="1"/>
  <c r="I43" i="10"/>
  <c r="J45" i="10" s="1"/>
  <c r="F43" i="10"/>
  <c r="G45" i="10" s="1"/>
  <c r="N43" i="10"/>
  <c r="C43" i="10"/>
  <c r="M43" i="10"/>
  <c r="J43" i="10"/>
  <c r="K45" i="10" s="1"/>
  <c r="G43" i="10"/>
  <c r="H45" i="10" s="1"/>
  <c r="K43" i="10"/>
  <c r="L45" i="10" s="1"/>
  <c r="H60" i="6"/>
  <c r="H63" i="6" s="1"/>
  <c r="G63" i="6"/>
  <c r="D9" i="4"/>
  <c r="B10" i="4" s="1"/>
  <c r="E10" i="4" s="1"/>
  <c r="A11" i="4"/>
  <c r="C10" i="4"/>
  <c r="F22" i="10" s="1"/>
  <c r="E22" i="5"/>
  <c r="H19" i="6"/>
  <c r="F18" i="5"/>
  <c r="AX21" i="10" s="1"/>
  <c r="F23" i="6"/>
  <c r="E25" i="6"/>
  <c r="F13" i="2" l="1"/>
  <c r="F22" i="9" s="1"/>
  <c r="E20" i="2"/>
  <c r="E7" i="9" s="1"/>
  <c r="E8" i="9" s="1"/>
  <c r="E9" i="9" s="1"/>
  <c r="P43" i="10"/>
  <c r="U43" i="10"/>
  <c r="Z43" i="10"/>
  <c r="Q43" i="10"/>
  <c r="V43" i="10"/>
  <c r="W45" i="10" s="1"/>
  <c r="X46" i="10" s="1"/>
  <c r="Y47" i="10" s="1"/>
  <c r="O43" i="10"/>
  <c r="R43" i="10"/>
  <c r="S45" i="10" s="1"/>
  <c r="X43" i="10"/>
  <c r="Y43" i="10"/>
  <c r="T43" i="10"/>
  <c r="W43" i="10"/>
  <c r="S43" i="10"/>
  <c r="N54" i="10"/>
  <c r="O45" i="10"/>
  <c r="P46" i="10" s="1"/>
  <c r="M45" i="10"/>
  <c r="N45" i="10"/>
  <c r="D45" i="10"/>
  <c r="E46" i="10" s="1"/>
  <c r="F47" i="10" s="1"/>
  <c r="G38" i="2"/>
  <c r="G8" i="5" s="1"/>
  <c r="H8" i="5" s="1"/>
  <c r="G37" i="2"/>
  <c r="E22" i="2"/>
  <c r="E23" i="9" s="1"/>
  <c r="E24" i="9" s="1"/>
  <c r="E26" i="9" s="1"/>
  <c r="E23" i="2"/>
  <c r="E31" i="9" s="1"/>
  <c r="E32" i="9" s="1"/>
  <c r="E33" i="9" s="1"/>
  <c r="D35" i="2"/>
  <c r="F14" i="2"/>
  <c r="F30" i="9" s="1"/>
  <c r="E16" i="2"/>
  <c r="D17" i="9"/>
  <c r="D18" i="9"/>
  <c r="J52" i="10"/>
  <c r="F12" i="2"/>
  <c r="F14" i="9" s="1"/>
  <c r="D25" i="2"/>
  <c r="D33" i="9"/>
  <c r="D34" i="9"/>
  <c r="D25" i="9"/>
  <c r="D26" i="9"/>
  <c r="G52" i="10"/>
  <c r="E21" i="2"/>
  <c r="E15" i="9" s="1"/>
  <c r="E16" i="9" s="1"/>
  <c r="D9" i="9"/>
  <c r="D10" i="9"/>
  <c r="H47" i="6"/>
  <c r="L52" i="10"/>
  <c r="C52" i="10"/>
  <c r="F52" i="10"/>
  <c r="D52" i="10"/>
  <c r="N52" i="10"/>
  <c r="I52" i="10"/>
  <c r="K52" i="10"/>
  <c r="C27" i="2"/>
  <c r="C28" i="2" s="1"/>
  <c r="E52" i="10"/>
  <c r="H52" i="10"/>
  <c r="D11" i="6"/>
  <c r="F22" i="2"/>
  <c r="F23" i="9" s="1"/>
  <c r="G11" i="2"/>
  <c r="F20" i="2"/>
  <c r="F7" i="9" s="1"/>
  <c r="F8" i="9" s="1"/>
  <c r="L46" i="10"/>
  <c r="M47" i="10" s="1"/>
  <c r="H46" i="10"/>
  <c r="K46" i="10"/>
  <c r="I46" i="10"/>
  <c r="J47" i="10" s="1"/>
  <c r="M46" i="10"/>
  <c r="D10" i="4"/>
  <c r="B11" i="4" s="1"/>
  <c r="E11" i="4" s="1"/>
  <c r="A12" i="4"/>
  <c r="C11" i="4"/>
  <c r="G22" i="10" s="1"/>
  <c r="G18" i="5"/>
  <c r="BJ21" i="10" s="1"/>
  <c r="G23" i="6"/>
  <c r="F25" i="6"/>
  <c r="F22" i="5"/>
  <c r="F24" i="9" l="1"/>
  <c r="E10" i="9"/>
  <c r="G13" i="2"/>
  <c r="G22" i="2" s="1"/>
  <c r="G23" i="9" s="1"/>
  <c r="U45" i="10"/>
  <c r="P45" i="10"/>
  <c r="Q46" i="10" s="1"/>
  <c r="R47" i="10" s="1"/>
  <c r="V45" i="10"/>
  <c r="W46" i="10" s="1"/>
  <c r="N65" i="10"/>
  <c r="Z64" i="10"/>
  <c r="Z45" i="10"/>
  <c r="Q45" i="10"/>
  <c r="R46" i="10" s="1"/>
  <c r="S47" i="10" s="1"/>
  <c r="AC43" i="10"/>
  <c r="AH43" i="10"/>
  <c r="AD43" i="10"/>
  <c r="AJ43" i="10"/>
  <c r="AL43" i="10"/>
  <c r="AF43" i="10"/>
  <c r="AK43" i="10"/>
  <c r="AB43" i="10"/>
  <c r="AG43" i="10"/>
  <c r="AA43" i="10"/>
  <c r="AI43" i="10"/>
  <c r="AJ45" i="10" s="1"/>
  <c r="AE43" i="10"/>
  <c r="AF45" i="10" s="1"/>
  <c r="T45" i="10"/>
  <c r="U46" i="10" s="1"/>
  <c r="Y45" i="10"/>
  <c r="R45" i="10"/>
  <c r="S46" i="10" s="1"/>
  <c r="T47" i="10" s="1"/>
  <c r="X45" i="10"/>
  <c r="Y46" i="10" s="1"/>
  <c r="T46" i="10"/>
  <c r="U47" i="10" s="1"/>
  <c r="AA45" i="10"/>
  <c r="H18" i="5"/>
  <c r="N63" i="10"/>
  <c r="O55" i="10"/>
  <c r="D49" i="10"/>
  <c r="D15" i="10" s="1"/>
  <c r="E25" i="9"/>
  <c r="E11" i="6"/>
  <c r="D10" i="5" s="1"/>
  <c r="S52" i="10"/>
  <c r="W52" i="10"/>
  <c r="X54" i="10" s="1"/>
  <c r="O52" i="10"/>
  <c r="P52" i="10"/>
  <c r="T52" i="10"/>
  <c r="X52" i="10"/>
  <c r="Y54" i="10" s="1"/>
  <c r="Q52" i="10"/>
  <c r="R54" i="10" s="1"/>
  <c r="U52" i="10"/>
  <c r="V54" i="10" s="1"/>
  <c r="Y52" i="10"/>
  <c r="R52" i="10"/>
  <c r="V52" i="10"/>
  <c r="Z52" i="10"/>
  <c r="O54" i="10"/>
  <c r="F54" i="10"/>
  <c r="M54" i="10"/>
  <c r="E54" i="10"/>
  <c r="G54" i="10"/>
  <c r="K54" i="10"/>
  <c r="L54" i="10"/>
  <c r="I54" i="10"/>
  <c r="J54" i="10"/>
  <c r="H54" i="10"/>
  <c r="D54" i="10"/>
  <c r="Q47" i="10"/>
  <c r="N46" i="10"/>
  <c r="O47" i="10" s="1"/>
  <c r="O46" i="10"/>
  <c r="P47" i="10" s="1"/>
  <c r="G14" i="2"/>
  <c r="G30" i="9" s="1"/>
  <c r="E34" i="9"/>
  <c r="F23" i="2"/>
  <c r="F31" i="9" s="1"/>
  <c r="F32" i="9" s="1"/>
  <c r="F33" i="9" s="1"/>
  <c r="E35" i="2"/>
  <c r="G12" i="2"/>
  <c r="G21" i="2" s="1"/>
  <c r="G15" i="9" s="1"/>
  <c r="D27" i="2"/>
  <c r="D28" i="2" s="1"/>
  <c r="F9" i="9"/>
  <c r="F10" i="9"/>
  <c r="F25" i="9"/>
  <c r="F26" i="9"/>
  <c r="E17" i="9"/>
  <c r="E18" i="9"/>
  <c r="G20" i="2"/>
  <c r="G7" i="9" s="1"/>
  <c r="G6" i="9"/>
  <c r="E25" i="2"/>
  <c r="G23" i="2"/>
  <c r="G31" i="9" s="1"/>
  <c r="F16" i="2"/>
  <c r="F21" i="2"/>
  <c r="F15" i="9" s="1"/>
  <c r="F16" i="9" s="1"/>
  <c r="C10" i="5"/>
  <c r="E49" i="10"/>
  <c r="E15" i="10" s="1"/>
  <c r="L47" i="10"/>
  <c r="L49" i="10" s="1"/>
  <c r="L15" i="10" s="1"/>
  <c r="M49" i="10"/>
  <c r="M15" i="10" s="1"/>
  <c r="G46" i="10"/>
  <c r="H47" i="10" s="1"/>
  <c r="H49" i="10" s="1"/>
  <c r="H15" i="10" s="1"/>
  <c r="J46" i="10"/>
  <c r="K47" i="10" s="1"/>
  <c r="K49" i="10" s="1"/>
  <c r="K15" i="10" s="1"/>
  <c r="N47" i="10"/>
  <c r="F46" i="10"/>
  <c r="G47" i="10" s="1"/>
  <c r="I47" i="10"/>
  <c r="I49" i="10" s="1"/>
  <c r="I15" i="10" s="1"/>
  <c r="D11" i="4"/>
  <c r="B12" i="4" s="1"/>
  <c r="E12" i="4" s="1"/>
  <c r="H23" i="6"/>
  <c r="H25" i="6" s="1"/>
  <c r="G25" i="6"/>
  <c r="G22" i="5"/>
  <c r="H22" i="5" s="1"/>
  <c r="A13" i="4"/>
  <c r="C12" i="4"/>
  <c r="H22" i="10" s="1"/>
  <c r="N66" i="10" l="1"/>
  <c r="G22" i="9"/>
  <c r="Z47" i="10"/>
  <c r="T49" i="10"/>
  <c r="T15" i="10" s="1"/>
  <c r="X47" i="10"/>
  <c r="X49" i="10" s="1"/>
  <c r="X15" i="10" s="1"/>
  <c r="S49" i="10"/>
  <c r="S15" i="10" s="1"/>
  <c r="Y49" i="10"/>
  <c r="Y15" i="10" s="1"/>
  <c r="Q58" i="10"/>
  <c r="U58" i="10"/>
  <c r="Y58" i="10"/>
  <c r="T58" i="10"/>
  <c r="R58" i="10"/>
  <c r="V58" i="10"/>
  <c r="Z58" i="10"/>
  <c r="S58" i="10"/>
  <c r="W58" i="10"/>
  <c r="O58" i="10"/>
  <c r="O59" i="10" s="1"/>
  <c r="O19" i="10" s="1"/>
  <c r="P58" i="10"/>
  <c r="X58" i="10"/>
  <c r="Q49" i="10"/>
  <c r="Q15" i="10" s="1"/>
  <c r="Z65" i="10"/>
  <c r="AL64" i="10"/>
  <c r="AK46" i="10"/>
  <c r="AL47" i="10" s="1"/>
  <c r="AL45" i="10"/>
  <c r="AM46" i="10" s="1"/>
  <c r="AE45" i="10"/>
  <c r="AF46" i="10" s="1"/>
  <c r="AG47" i="10" s="1"/>
  <c r="AB45" i="10"/>
  <c r="AG45" i="10"/>
  <c r="AI45" i="10"/>
  <c r="AN43" i="10"/>
  <c r="AS43" i="10"/>
  <c r="AX43" i="10"/>
  <c r="AO43" i="10"/>
  <c r="AT43" i="10"/>
  <c r="AM43" i="10"/>
  <c r="AN45" i="10" s="1"/>
  <c r="AO46" i="10" s="1"/>
  <c r="AP47" i="10" s="1"/>
  <c r="AP43" i="10"/>
  <c r="AV43" i="10"/>
  <c r="AR43" i="10"/>
  <c r="AW43" i="10"/>
  <c r="AU43" i="10"/>
  <c r="AQ43" i="10"/>
  <c r="AR45" i="10" s="1"/>
  <c r="P49" i="10"/>
  <c r="P15" i="10" s="1"/>
  <c r="R49" i="10"/>
  <c r="R15" i="10" s="1"/>
  <c r="V47" i="10"/>
  <c r="AH45" i="10"/>
  <c r="AI46" i="10" s="1"/>
  <c r="AJ47" i="10" s="1"/>
  <c r="AM45" i="10"/>
  <c r="AN46" i="10" s="1"/>
  <c r="AD45" i="10"/>
  <c r="AA46" i="10"/>
  <c r="AB47" i="10" s="1"/>
  <c r="V46" i="10"/>
  <c r="W47" i="10" s="1"/>
  <c r="W49" i="10" s="1"/>
  <c r="W15" i="10" s="1"/>
  <c r="U49" i="10"/>
  <c r="U15" i="10" s="1"/>
  <c r="E58" i="10"/>
  <c r="I58" i="10"/>
  <c r="M58" i="10"/>
  <c r="F58" i="10"/>
  <c r="N58" i="10"/>
  <c r="C58" i="10"/>
  <c r="C59" i="10" s="1"/>
  <c r="C19" i="10" s="1"/>
  <c r="D58" i="10"/>
  <c r="D59" i="10" s="1"/>
  <c r="L58" i="10"/>
  <c r="J58" i="10"/>
  <c r="G58" i="10"/>
  <c r="K58" i="10"/>
  <c r="H58" i="10"/>
  <c r="AB46" i="10"/>
  <c r="AC47" i="10" s="1"/>
  <c r="Z46" i="10"/>
  <c r="AA47" i="10" s="1"/>
  <c r="AA49" i="10" s="1"/>
  <c r="AA15" i="10" s="1"/>
  <c r="AG46" i="10"/>
  <c r="AH47" i="10" s="1"/>
  <c r="AC45" i="10"/>
  <c r="AD46" i="10" s="1"/>
  <c r="AE47" i="10" s="1"/>
  <c r="AK45" i="10"/>
  <c r="AL46" i="10" s="1"/>
  <c r="AM47" i="10" s="1"/>
  <c r="L55" i="10"/>
  <c r="Z55" i="10"/>
  <c r="K55" i="10"/>
  <c r="H55" i="10"/>
  <c r="J55" i="10"/>
  <c r="F55" i="10"/>
  <c r="Z63" i="10"/>
  <c r="P55" i="10"/>
  <c r="F34" i="9"/>
  <c r="S55" i="10"/>
  <c r="S54" i="10"/>
  <c r="Y55" i="10"/>
  <c r="P54" i="10"/>
  <c r="Z54" i="10"/>
  <c r="U54" i="10"/>
  <c r="T54" i="10"/>
  <c r="W54" i="10"/>
  <c r="AE52" i="10"/>
  <c r="AI52" i="10"/>
  <c r="AJ54" i="10" s="1"/>
  <c r="AA52" i="10"/>
  <c r="AB52" i="10"/>
  <c r="AF52" i="10"/>
  <c r="AJ52" i="10"/>
  <c r="AC52" i="10"/>
  <c r="AD54" i="10" s="1"/>
  <c r="AG52" i="10"/>
  <c r="AH54" i="10" s="1"/>
  <c r="AK52" i="10"/>
  <c r="AD52" i="10"/>
  <c r="AH52" i="10"/>
  <c r="AL52" i="10"/>
  <c r="AA54" i="10"/>
  <c r="W55" i="10"/>
  <c r="Q54" i="10"/>
  <c r="E55" i="10"/>
  <c r="I55" i="10"/>
  <c r="M55" i="10"/>
  <c r="N55" i="10"/>
  <c r="G55" i="10"/>
  <c r="N49" i="10"/>
  <c r="N15" i="10" s="1"/>
  <c r="O49" i="10"/>
  <c r="O15" i="10" s="1"/>
  <c r="G16" i="2"/>
  <c r="G14" i="9"/>
  <c r="G16" i="9" s="1"/>
  <c r="F35" i="2"/>
  <c r="E27" i="2"/>
  <c r="E28" i="2" s="1"/>
  <c r="F11" i="6"/>
  <c r="G32" i="9"/>
  <c r="G34" i="9" s="1"/>
  <c r="G25" i="2"/>
  <c r="G8" i="9"/>
  <c r="G9" i="9" s="1"/>
  <c r="F17" i="9"/>
  <c r="F18" i="9"/>
  <c r="G24" i="9"/>
  <c r="F25" i="2"/>
  <c r="G49" i="10"/>
  <c r="G15" i="10" s="1"/>
  <c r="J49" i="10"/>
  <c r="J15" i="10" s="1"/>
  <c r="F49" i="10"/>
  <c r="F15" i="10" s="1"/>
  <c r="D12" i="4"/>
  <c r="B13" i="4" s="1"/>
  <c r="E13" i="4" s="1"/>
  <c r="C13" i="4"/>
  <c r="I22" i="10" s="1"/>
  <c r="A14" i="4"/>
  <c r="M59" i="10" l="1"/>
  <c r="F59" i="10"/>
  <c r="F19" i="10" s="1"/>
  <c r="L59" i="10"/>
  <c r="L19" i="10" s="1"/>
  <c r="Z66" i="10"/>
  <c r="E59" i="10"/>
  <c r="J59" i="10"/>
  <c r="J19" i="10" s="1"/>
  <c r="H59" i="10"/>
  <c r="H19" i="10" s="1"/>
  <c r="Y59" i="10"/>
  <c r="Y19" i="10" s="1"/>
  <c r="K59" i="10"/>
  <c r="K19" i="10" s="1"/>
  <c r="AO47" i="10"/>
  <c r="V49" i="10"/>
  <c r="V15" i="10" s="1"/>
  <c r="AB49" i="10"/>
  <c r="AB15" i="10" s="1"/>
  <c r="AM49" i="10"/>
  <c r="AM15" i="10" s="1"/>
  <c r="E10" i="5"/>
  <c r="AL65" i="10"/>
  <c r="AX64" i="10"/>
  <c r="Z49" i="10"/>
  <c r="Z15" i="10" s="1"/>
  <c r="AV45" i="10"/>
  <c r="AW46" i="10" s="1"/>
  <c r="AX47" i="10" s="1"/>
  <c r="AQ45" i="10"/>
  <c r="AR46" i="10" s="1"/>
  <c r="AY45" i="10"/>
  <c r="AZ46" i="10" s="1"/>
  <c r="BA47" i="10" s="1"/>
  <c r="AJ46" i="10"/>
  <c r="AJ49" i="10" s="1"/>
  <c r="AJ15" i="10" s="1"/>
  <c r="AX45" i="10"/>
  <c r="AT45" i="10"/>
  <c r="AL49" i="10"/>
  <c r="AL15" i="10" s="1"/>
  <c r="AS45" i="10"/>
  <c r="AU45" i="10"/>
  <c r="AV46" i="10" s="1"/>
  <c r="AO45" i="10"/>
  <c r="AP46" i="10" s="1"/>
  <c r="AQ47" i="10" s="1"/>
  <c r="AH46" i="10"/>
  <c r="AI47" i="10" s="1"/>
  <c r="AI49" i="10" s="1"/>
  <c r="AI15" i="10" s="1"/>
  <c r="AG49" i="10"/>
  <c r="AG15" i="10" s="1"/>
  <c r="G35" i="2"/>
  <c r="BC43" i="10"/>
  <c r="BB43" i="10"/>
  <c r="BH43" i="10"/>
  <c r="BI45" i="10" s="1"/>
  <c r="BG43" i="10"/>
  <c r="BD43" i="10"/>
  <c r="BI43" i="10"/>
  <c r="BJ45" i="10" s="1"/>
  <c r="AZ43" i="10"/>
  <c r="BA45" i="10" s="1"/>
  <c r="BB46" i="10" s="1"/>
  <c r="BC47" i="10" s="1"/>
  <c r="BE43" i="10"/>
  <c r="BJ43" i="10"/>
  <c r="BF43" i="10"/>
  <c r="AY43" i="10"/>
  <c r="BA43" i="10"/>
  <c r="G59" i="10"/>
  <c r="G19" i="10" s="1"/>
  <c r="AE46" i="10"/>
  <c r="AF47" i="10" s="1"/>
  <c r="AF49" i="10" s="1"/>
  <c r="AF15" i="10" s="1"/>
  <c r="AS46" i="10"/>
  <c r="AT47" i="10" s="1"/>
  <c r="AW45" i="10"/>
  <c r="AX46" i="10" s="1"/>
  <c r="AY47" i="10" s="1"/>
  <c r="AP45" i="10"/>
  <c r="AC46" i="10"/>
  <c r="AD47" i="10" s="1"/>
  <c r="AD49" i="10" s="1"/>
  <c r="AD15" i="10" s="1"/>
  <c r="AN47" i="10"/>
  <c r="AN49" i="10" s="1"/>
  <c r="AN15" i="10" s="1"/>
  <c r="Z59" i="10"/>
  <c r="Z19" i="10" s="1"/>
  <c r="X55" i="10"/>
  <c r="W59" i="10"/>
  <c r="W19" i="10" s="1"/>
  <c r="Q55" i="10"/>
  <c r="Q59" i="10" s="1"/>
  <c r="P59" i="10"/>
  <c r="P19" i="10" s="1"/>
  <c r="D19" i="10"/>
  <c r="AB55" i="10"/>
  <c r="N59" i="10"/>
  <c r="N19" i="10" s="1"/>
  <c r="R55" i="10"/>
  <c r="AL63" i="10"/>
  <c r="U55" i="10"/>
  <c r="U59" i="10" s="1"/>
  <c r="U19" i="10" s="1"/>
  <c r="E19" i="10"/>
  <c r="M19" i="10"/>
  <c r="V55" i="10"/>
  <c r="S59" i="10"/>
  <c r="S19" i="10" s="1"/>
  <c r="I59" i="10"/>
  <c r="I19" i="10" s="1"/>
  <c r="AE54" i="10"/>
  <c r="AK54" i="10"/>
  <c r="AK55" i="10"/>
  <c r="AI54" i="10"/>
  <c r="AB54" i="10"/>
  <c r="F27" i="2"/>
  <c r="F28" i="2" s="1"/>
  <c r="AQ52" i="10"/>
  <c r="AU52" i="10"/>
  <c r="AM52" i="10"/>
  <c r="AN52" i="10"/>
  <c r="AR52" i="10"/>
  <c r="AV52" i="10"/>
  <c r="AO52" i="10"/>
  <c r="AP54" i="10" s="1"/>
  <c r="AS52" i="10"/>
  <c r="AT54" i="10" s="1"/>
  <c r="AW52" i="10"/>
  <c r="AX54" i="10" s="1"/>
  <c r="AP52" i="10"/>
  <c r="AT52" i="10"/>
  <c r="AX52" i="10"/>
  <c r="AL54" i="10"/>
  <c r="AG54" i="10"/>
  <c r="AF54" i="10"/>
  <c r="AA55" i="10"/>
  <c r="AE55" i="10"/>
  <c r="H11" i="6"/>
  <c r="BJ65" i="10" s="1"/>
  <c r="BC52" i="10"/>
  <c r="BG52" i="10"/>
  <c r="AY52" i="10"/>
  <c r="AZ52" i="10"/>
  <c r="BD52" i="10"/>
  <c r="BH52" i="10"/>
  <c r="BA52" i="10"/>
  <c r="BE52" i="10"/>
  <c r="BF54" i="10" s="1"/>
  <c r="BI52" i="10"/>
  <c r="BJ54" i="10" s="1"/>
  <c r="BB52" i="10"/>
  <c r="BF52" i="10"/>
  <c r="BJ52" i="10"/>
  <c r="AM54" i="10"/>
  <c r="AI55" i="10"/>
  <c r="AC54" i="10"/>
  <c r="T55" i="10"/>
  <c r="T59" i="10" s="1"/>
  <c r="N40" i="10"/>
  <c r="G10" i="9"/>
  <c r="G33" i="9"/>
  <c r="G27" i="2"/>
  <c r="G28" i="2" s="1"/>
  <c r="G11" i="6"/>
  <c r="G17" i="9"/>
  <c r="G18" i="9"/>
  <c r="G25" i="9"/>
  <c r="G26" i="9"/>
  <c r="D13" i="4"/>
  <c r="B14" i="4" s="1"/>
  <c r="E14" i="4" s="1"/>
  <c r="A15" i="4"/>
  <c r="C14" i="4"/>
  <c r="J22" i="10" s="1"/>
  <c r="AO49" i="10" l="1"/>
  <c r="AO15" i="10" s="1"/>
  <c r="AP49" i="10"/>
  <c r="AP15" i="10" s="1"/>
  <c r="AL66" i="10"/>
  <c r="AQ46" i="10"/>
  <c r="AR47" i="10" s="1"/>
  <c r="AR49" i="10" s="1"/>
  <c r="AR15" i="10" s="1"/>
  <c r="AS47" i="10"/>
  <c r="AS49" i="10" s="1"/>
  <c r="AS15" i="10" s="1"/>
  <c r="BE45" i="10"/>
  <c r="BF46" i="10" s="1"/>
  <c r="BD45" i="10"/>
  <c r="BE46" i="10" s="1"/>
  <c r="BF47" i="10" s="1"/>
  <c r="BJ64" i="10"/>
  <c r="AX65" i="10"/>
  <c r="BB45" i="10"/>
  <c r="BC46" i="10" s="1"/>
  <c r="BF45" i="10"/>
  <c r="BG46" i="10" s="1"/>
  <c r="BH47" i="10" s="1"/>
  <c r="AZ45" i="10"/>
  <c r="BA46" i="10" s="1"/>
  <c r="BB47" i="10" s="1"/>
  <c r="BJ46" i="10"/>
  <c r="AE49" i="10"/>
  <c r="AE15" i="10" s="1"/>
  <c r="AT46" i="10"/>
  <c r="AU47" i="10" s="1"/>
  <c r="AC49" i="10"/>
  <c r="AC15" i="10" s="1"/>
  <c r="N67" i="10"/>
  <c r="N69" i="10" s="1"/>
  <c r="N61" i="10" s="1"/>
  <c r="D43" i="6" s="1"/>
  <c r="C11" i="5" s="1"/>
  <c r="AK47" i="10"/>
  <c r="AK49" i="10" s="1"/>
  <c r="AK15" i="10" s="1"/>
  <c r="AH49" i="10"/>
  <c r="AH15" i="10" s="1"/>
  <c r="BH45" i="10"/>
  <c r="BI46" i="10" s="1"/>
  <c r="AY46" i="10"/>
  <c r="AZ47" i="10" s="1"/>
  <c r="AX49" i="10"/>
  <c r="AX15" i="10" s="1"/>
  <c r="BG45" i="10"/>
  <c r="BH46" i="10" s="1"/>
  <c r="BC45" i="10"/>
  <c r="BD46" i="10" s="1"/>
  <c r="AW47" i="10"/>
  <c r="AW49" i="10" s="1"/>
  <c r="AW15" i="10" s="1"/>
  <c r="AU46" i="10"/>
  <c r="AV47" i="10" s="1"/>
  <c r="AV49" i="10" s="1"/>
  <c r="AV15" i="10" s="1"/>
  <c r="AC58" i="10"/>
  <c r="AG58" i="10"/>
  <c r="AK58" i="10"/>
  <c r="AK59" i="10" s="1"/>
  <c r="AK19" i="10" s="1"/>
  <c r="AB58" i="10"/>
  <c r="AB59" i="10" s="1"/>
  <c r="AB19" i="10" s="1"/>
  <c r="AJ58" i="10"/>
  <c r="AD58" i="10"/>
  <c r="AH58" i="10"/>
  <c r="AL58" i="10"/>
  <c r="AE58" i="10"/>
  <c r="AE59" i="10" s="1"/>
  <c r="AE19" i="10" s="1"/>
  <c r="AI58" i="10"/>
  <c r="AI59" i="10" s="1"/>
  <c r="AI19" i="10" s="1"/>
  <c r="AA58" i="10"/>
  <c r="AA59" i="10" s="1"/>
  <c r="AA19" i="10" s="1"/>
  <c r="AF58" i="10"/>
  <c r="Q19" i="10"/>
  <c r="V59" i="10"/>
  <c r="V19" i="10" s="1"/>
  <c r="AD55" i="10"/>
  <c r="AZ54" i="10"/>
  <c r="BJ63" i="10"/>
  <c r="AM55" i="10"/>
  <c r="AY55" i="10"/>
  <c r="AH55" i="10"/>
  <c r="AF55" i="10"/>
  <c r="AU55" i="10"/>
  <c r="X59" i="10"/>
  <c r="X19" i="10" s="1"/>
  <c r="AJ55" i="10"/>
  <c r="T19" i="10"/>
  <c r="AN55" i="10"/>
  <c r="AG55" i="10"/>
  <c r="AX63" i="10"/>
  <c r="AL55" i="10"/>
  <c r="R59" i="10"/>
  <c r="R19" i="10" s="1"/>
  <c r="AC55" i="10"/>
  <c r="BG55" i="10"/>
  <c r="AQ55" i="10"/>
  <c r="AN54" i="10"/>
  <c r="G10" i="5"/>
  <c r="BG54" i="10"/>
  <c r="BB54" i="10"/>
  <c r="AQ54" i="10"/>
  <c r="AW54" i="10"/>
  <c r="AV54" i="10"/>
  <c r="AU54" i="10"/>
  <c r="BC54" i="10"/>
  <c r="BH54" i="10"/>
  <c r="BI55" i="10" s="1"/>
  <c r="AS54" i="10"/>
  <c r="AR54" i="10"/>
  <c r="BA54" i="10"/>
  <c r="BI54" i="10"/>
  <c r="BE54" i="10"/>
  <c r="BD54" i="10"/>
  <c r="AY54" i="10"/>
  <c r="AO54" i="10"/>
  <c r="Z40" i="10"/>
  <c r="D10" i="6"/>
  <c r="F10" i="5"/>
  <c r="D14" i="4"/>
  <c r="B15" i="4" s="1"/>
  <c r="E15" i="4" s="1"/>
  <c r="C15" i="4"/>
  <c r="K22" i="10" s="1"/>
  <c r="A16" i="4"/>
  <c r="AL59" i="10" l="1"/>
  <c r="AL19" i="10" s="1"/>
  <c r="Z68" i="10"/>
  <c r="AU49" i="10"/>
  <c r="AU15" i="10" s="1"/>
  <c r="AX66" i="10"/>
  <c r="BE47" i="10"/>
  <c r="BF49" i="10"/>
  <c r="BF15" i="10" s="1"/>
  <c r="BI47" i="10"/>
  <c r="BI49" i="10" s="1"/>
  <c r="BI15" i="10" s="1"/>
  <c r="AQ49" i="10"/>
  <c r="AQ15" i="10" s="1"/>
  <c r="AF59" i="10"/>
  <c r="AF19" i="10" s="1"/>
  <c r="BJ66" i="10"/>
  <c r="BJ47" i="10"/>
  <c r="BJ49" i="10" s="1"/>
  <c r="BJ15" i="10" s="1"/>
  <c r="BB49" i="10"/>
  <c r="BB15" i="10" s="1"/>
  <c r="BA49" i="10"/>
  <c r="BA15" i="10" s="1"/>
  <c r="BA58" i="10"/>
  <c r="BE58" i="10"/>
  <c r="BI58" i="10"/>
  <c r="BI59" i="10" s="1"/>
  <c r="BI19" i="10" s="1"/>
  <c r="BG58" i="10"/>
  <c r="BG59" i="10" s="1"/>
  <c r="BG19" i="10" s="1"/>
  <c r="AZ58" i="10"/>
  <c r="BH58" i="10"/>
  <c r="BB58" i="10"/>
  <c r="BF58" i="10"/>
  <c r="BJ58" i="10"/>
  <c r="BC58" i="10"/>
  <c r="AY58" i="10"/>
  <c r="AY59" i="10" s="1"/>
  <c r="AY19" i="10" s="1"/>
  <c r="BD58" i="10"/>
  <c r="AZ49" i="10"/>
  <c r="AZ15" i="10" s="1"/>
  <c r="BD47" i="10"/>
  <c r="BD49" i="10" s="1"/>
  <c r="BD15" i="10" s="1"/>
  <c r="AY49" i="10"/>
  <c r="AY15" i="10" s="1"/>
  <c r="BE49" i="10"/>
  <c r="BE15" i="10" s="1"/>
  <c r="BH49" i="10"/>
  <c r="BH15" i="10" s="1"/>
  <c r="H10" i="5"/>
  <c r="AO58" i="10"/>
  <c r="AS58" i="10"/>
  <c r="AW58" i="10"/>
  <c r="AQ58" i="10"/>
  <c r="AQ59" i="10" s="1"/>
  <c r="AQ19" i="10" s="1"/>
  <c r="AM58" i="10"/>
  <c r="AM59" i="10" s="1"/>
  <c r="AM19" i="10" s="1"/>
  <c r="AR58" i="10"/>
  <c r="AP58" i="10"/>
  <c r="AT58" i="10"/>
  <c r="AX58" i="10"/>
  <c r="AU58" i="10"/>
  <c r="AU59" i="10" s="1"/>
  <c r="AU19" i="10" s="1"/>
  <c r="AN58" i="10"/>
  <c r="AN59" i="10" s="1"/>
  <c r="AN19" i="10" s="1"/>
  <c r="AV58" i="10"/>
  <c r="AG59" i="10"/>
  <c r="AG19" i="10" s="1"/>
  <c r="BC49" i="10"/>
  <c r="BC15" i="10" s="1"/>
  <c r="AT49" i="10"/>
  <c r="AT15" i="10" s="1"/>
  <c r="BG47" i="10"/>
  <c r="BG49" i="10" s="1"/>
  <c r="BG15" i="10" s="1"/>
  <c r="AD59" i="10"/>
  <c r="AD19" i="10" s="1"/>
  <c r="Z67" i="10"/>
  <c r="BJ55" i="10"/>
  <c r="AX55" i="10"/>
  <c r="AW55" i="10"/>
  <c r="AS55" i="10"/>
  <c r="BD55" i="10"/>
  <c r="AR55" i="10"/>
  <c r="AJ59" i="10"/>
  <c r="AJ19" i="10" s="1"/>
  <c r="BA55" i="10"/>
  <c r="AH59" i="10"/>
  <c r="AH19" i="10" s="1"/>
  <c r="BE55" i="10"/>
  <c r="BB55" i="10"/>
  <c r="AT55" i="10"/>
  <c r="BC55" i="10"/>
  <c r="AC59" i="10"/>
  <c r="AC19" i="10" s="1"/>
  <c r="AZ55" i="10"/>
  <c r="AV55" i="10"/>
  <c r="AP55" i="10"/>
  <c r="BF55" i="10"/>
  <c r="BH55" i="10"/>
  <c r="AO55" i="10"/>
  <c r="C9" i="5"/>
  <c r="E10" i="6"/>
  <c r="AL40" i="10"/>
  <c r="D15" i="4"/>
  <c r="B16" i="4" s="1"/>
  <c r="E16" i="4" s="1"/>
  <c r="A17" i="4"/>
  <c r="C16" i="4"/>
  <c r="L22" i="10" s="1"/>
  <c r="AO59" i="10" l="1"/>
  <c r="AS59" i="10"/>
  <c r="AS19" i="10" s="1"/>
  <c r="Z69" i="10"/>
  <c r="Z61" i="10" s="1"/>
  <c r="E43" i="6" s="1"/>
  <c r="AL68" i="10" s="1"/>
  <c r="BD59" i="10"/>
  <c r="BD19" i="10" s="1"/>
  <c r="AR59" i="10"/>
  <c r="AR19" i="10" s="1"/>
  <c r="BA59" i="10"/>
  <c r="BA19" i="10" s="1"/>
  <c r="BE59" i="10"/>
  <c r="BE19" i="10" s="1"/>
  <c r="BC59" i="10"/>
  <c r="BC19" i="10" s="1"/>
  <c r="AL67" i="10"/>
  <c r="AW59" i="10"/>
  <c r="AW19" i="10" s="1"/>
  <c r="BF59" i="10"/>
  <c r="BF19" i="10" s="1"/>
  <c r="BJ59" i="10"/>
  <c r="BJ19" i="10" s="1"/>
  <c r="AT59" i="10"/>
  <c r="AT19" i="10" s="1"/>
  <c r="AZ59" i="10"/>
  <c r="AZ19" i="10" s="1"/>
  <c r="AX59" i="10"/>
  <c r="AX19" i="10" s="1"/>
  <c r="AP59" i="10"/>
  <c r="BB59" i="10"/>
  <c r="BB19" i="10" s="1"/>
  <c r="AV59" i="10"/>
  <c r="AV19" i="10" s="1"/>
  <c r="BH59" i="10"/>
  <c r="BH19" i="10" s="1"/>
  <c r="AO19" i="10"/>
  <c r="D9" i="5"/>
  <c r="F10" i="6"/>
  <c r="AX40" i="10"/>
  <c r="D16" i="4"/>
  <c r="B17" i="4" s="1"/>
  <c r="E17" i="4" s="1"/>
  <c r="A18" i="4"/>
  <c r="C17" i="4"/>
  <c r="M22" i="10" s="1"/>
  <c r="D11" i="5" l="1"/>
  <c r="AL69" i="10"/>
  <c r="AL61" i="10" s="1"/>
  <c r="F43" i="6" s="1"/>
  <c r="AX68" i="10" s="1"/>
  <c r="AX67" i="10"/>
  <c r="AP19" i="10"/>
  <c r="BJ67" i="10"/>
  <c r="G10" i="6"/>
  <c r="F9" i="5" s="1"/>
  <c r="BJ40" i="10"/>
  <c r="H10" i="6" s="1"/>
  <c r="E9" i="5"/>
  <c r="D17" i="4"/>
  <c r="B18" i="4" s="1"/>
  <c r="E18" i="4" s="1"/>
  <c r="C54" i="2" s="1"/>
  <c r="A19" i="4"/>
  <c r="C18" i="4"/>
  <c r="N22" i="10" s="1"/>
  <c r="E11" i="5" l="1"/>
  <c r="AX69" i="10"/>
  <c r="AX61" i="10" s="1"/>
  <c r="G43" i="6" s="1"/>
  <c r="F11" i="5" s="1"/>
  <c r="G9" i="5"/>
  <c r="H9" i="5" s="1"/>
  <c r="C45" i="2"/>
  <c r="C47" i="2" s="1"/>
  <c r="C56" i="2"/>
  <c r="D18" i="4"/>
  <c r="B19" i="4" s="1"/>
  <c r="D53" i="6" s="1"/>
  <c r="A20" i="4"/>
  <c r="C19" i="4"/>
  <c r="O22" i="10" s="1"/>
  <c r="C58" i="2" l="1"/>
  <c r="C7" i="5" s="1"/>
  <c r="BJ68" i="10"/>
  <c r="BJ69" i="10" s="1"/>
  <c r="BJ61" i="10" s="1"/>
  <c r="H43" i="6" s="1"/>
  <c r="G11" i="5" s="1"/>
  <c r="H11" i="5" s="1"/>
  <c r="N20" i="10"/>
  <c r="E20" i="10"/>
  <c r="I20" i="10"/>
  <c r="L20" i="10"/>
  <c r="D20" i="10"/>
  <c r="K20" i="10"/>
  <c r="M20" i="10"/>
  <c r="J20" i="10"/>
  <c r="F20" i="10"/>
  <c r="C20" i="10"/>
  <c r="G20" i="10"/>
  <c r="H20" i="10"/>
  <c r="C48" i="2"/>
  <c r="A21" i="4"/>
  <c r="C20" i="4"/>
  <c r="P22" i="10" s="1"/>
  <c r="C26" i="5"/>
  <c r="E19" i="4"/>
  <c r="C27" i="10" l="1"/>
  <c r="D13" i="10" s="1"/>
  <c r="C63" i="2"/>
  <c r="C66" i="2" s="1"/>
  <c r="C14" i="5"/>
  <c r="C21" i="4"/>
  <c r="Q22" i="10" s="1"/>
  <c r="A22" i="4"/>
  <c r="C32" i="5"/>
  <c r="D19" i="4"/>
  <c r="B20" i="4" s="1"/>
  <c r="E20" i="4" s="1"/>
  <c r="D20" i="4" s="1"/>
  <c r="B21" i="4" s="1"/>
  <c r="E21" i="4" s="1"/>
  <c r="C34" i="5" l="1"/>
  <c r="C68" i="2"/>
  <c r="C70" i="2" s="1"/>
  <c r="W23" i="10"/>
  <c r="D27" i="10"/>
  <c r="E13" i="10" s="1"/>
  <c r="E27" i="10" s="1"/>
  <c r="F13" i="10" s="1"/>
  <c r="F27" i="10" s="1"/>
  <c r="G13" i="10" s="1"/>
  <c r="D30" i="6"/>
  <c r="D35" i="6" s="1"/>
  <c r="D45" i="6"/>
  <c r="D12" i="5"/>
  <c r="D21" i="4"/>
  <c r="B22" i="4" s="1"/>
  <c r="E22" i="4" s="1"/>
  <c r="C30" i="6"/>
  <c r="C35" i="6" s="1"/>
  <c r="C37" i="6" s="1"/>
  <c r="C73" i="6" s="1"/>
  <c r="C75" i="6" s="1"/>
  <c r="C77" i="6" s="1"/>
  <c r="D13" i="6"/>
  <c r="A23" i="4"/>
  <c r="C22" i="4"/>
  <c r="R22" i="10" s="1"/>
  <c r="G27" i="10" l="1"/>
  <c r="H13" i="10" s="1"/>
  <c r="D28" i="5"/>
  <c r="Q24" i="10"/>
  <c r="D46" i="6"/>
  <c r="D49" i="6" s="1"/>
  <c r="C72" i="2"/>
  <c r="D73" i="6" s="1"/>
  <c r="D75" i="6" s="1"/>
  <c r="D22" i="4"/>
  <c r="B23" i="4" s="1"/>
  <c r="E23" i="4" s="1"/>
  <c r="C38" i="5"/>
  <c r="A24" i="4"/>
  <c r="C23" i="4"/>
  <c r="S22" i="10" s="1"/>
  <c r="H27" i="10" l="1"/>
  <c r="I13" i="10" s="1"/>
  <c r="D65" i="6"/>
  <c r="D56" i="6"/>
  <c r="D23" i="4"/>
  <c r="B24" i="4" s="1"/>
  <c r="E24" i="4" s="1"/>
  <c r="D9" i="6"/>
  <c r="D36" i="5"/>
  <c r="A25" i="4"/>
  <c r="C24" i="4"/>
  <c r="T22" i="10" s="1"/>
  <c r="I27" i="10" l="1"/>
  <c r="J13" i="10" s="1"/>
  <c r="D15" i="6"/>
  <c r="D77" i="6"/>
  <c r="D24" i="4"/>
  <c r="B25" i="4" s="1"/>
  <c r="E25" i="4" s="1"/>
  <c r="A26" i="4"/>
  <c r="C25" i="4"/>
  <c r="U22" i="10" s="1"/>
  <c r="J27" i="10" l="1"/>
  <c r="K13" i="10" s="1"/>
  <c r="D37" i="6"/>
  <c r="D78" i="6" s="1"/>
  <c r="D25" i="4"/>
  <c r="B26" i="4" s="1"/>
  <c r="E26" i="4" s="1"/>
  <c r="A27" i="4"/>
  <c r="C26" i="4"/>
  <c r="V22" i="10" s="1"/>
  <c r="K27" i="10" l="1"/>
  <c r="L13" i="10" s="1"/>
  <c r="D26" i="4"/>
  <c r="B27" i="4" s="1"/>
  <c r="E27" i="4" s="1"/>
  <c r="A28" i="4"/>
  <c r="C27" i="4"/>
  <c r="W22" i="10" s="1"/>
  <c r="L27" i="10" l="1"/>
  <c r="M13" i="10" s="1"/>
  <c r="D27" i="4"/>
  <c r="B28" i="4" s="1"/>
  <c r="E28" i="4" s="1"/>
  <c r="A29" i="4"/>
  <c r="C28" i="4"/>
  <c r="X22" i="10" s="1"/>
  <c r="M27" i="10" l="1"/>
  <c r="N13" i="10" s="1"/>
  <c r="D28" i="4"/>
  <c r="B29" i="4" s="1"/>
  <c r="E29" i="4" s="1"/>
  <c r="C29" i="4"/>
  <c r="Y22" i="10" s="1"/>
  <c r="A30" i="4"/>
  <c r="N27" i="10" l="1"/>
  <c r="O13" i="10" s="1"/>
  <c r="D29" i="4"/>
  <c r="B30" i="4" s="1"/>
  <c r="E30" i="4" s="1"/>
  <c r="D54" i="2" s="1"/>
  <c r="A31" i="4"/>
  <c r="C30" i="4"/>
  <c r="Z22" i="10" s="1"/>
  <c r="D45" i="2" l="1"/>
  <c r="D56" i="2"/>
  <c r="D30" i="4"/>
  <c r="B31" i="4" s="1"/>
  <c r="E53" i="6" s="1"/>
  <c r="A32" i="4"/>
  <c r="C31" i="4"/>
  <c r="AA22" i="10" s="1"/>
  <c r="D47" i="2" l="1"/>
  <c r="D58" i="2" s="1"/>
  <c r="D7" i="5" s="1"/>
  <c r="P20" i="10"/>
  <c r="T20" i="10"/>
  <c r="X20" i="10"/>
  <c r="S20" i="10"/>
  <c r="Q20" i="10"/>
  <c r="U20" i="10"/>
  <c r="Y20" i="10"/>
  <c r="W20" i="10"/>
  <c r="R20" i="10"/>
  <c r="V20" i="10"/>
  <c r="Z20" i="10"/>
  <c r="O20" i="10"/>
  <c r="O27" i="10" s="1"/>
  <c r="P13" i="10" s="1"/>
  <c r="D26" i="5"/>
  <c r="A33" i="4"/>
  <c r="C32" i="4"/>
  <c r="AB22" i="10" s="1"/>
  <c r="E31" i="4"/>
  <c r="D48" i="2" l="1"/>
  <c r="P27" i="10"/>
  <c r="Q13" i="10" s="1"/>
  <c r="Q27" i="10" s="1"/>
  <c r="R13" i="10" s="1"/>
  <c r="R27" i="10" s="1"/>
  <c r="S13" i="10" s="1"/>
  <c r="S27" i="10" s="1"/>
  <c r="T13" i="10" s="1"/>
  <c r="T27" i="10" s="1"/>
  <c r="U13" i="10" s="1"/>
  <c r="U27" i="10" s="1"/>
  <c r="V13" i="10" s="1"/>
  <c r="V27" i="10" s="1"/>
  <c r="W13" i="10" s="1"/>
  <c r="W27" i="10" s="1"/>
  <c r="X13" i="10" s="1"/>
  <c r="X27" i="10" s="1"/>
  <c r="Y13" i="10" s="1"/>
  <c r="Y27" i="10" s="1"/>
  <c r="Z13" i="10" s="1"/>
  <c r="Z27" i="10" s="1"/>
  <c r="AA13" i="10" s="1"/>
  <c r="D63" i="2"/>
  <c r="A34" i="4"/>
  <c r="C33" i="4"/>
  <c r="AC22" i="10" s="1"/>
  <c r="D32" i="5"/>
  <c r="D31" i="4"/>
  <c r="B32" i="4" s="1"/>
  <c r="E32" i="4" s="1"/>
  <c r="D32" i="4" s="1"/>
  <c r="D66" i="2" l="1"/>
  <c r="D68" i="2" s="1"/>
  <c r="D70" i="2" s="1"/>
  <c r="AI23" i="10"/>
  <c r="D14" i="5"/>
  <c r="D34" i="5" s="1"/>
  <c r="A35" i="4"/>
  <c r="C34" i="4"/>
  <c r="AD22" i="10" s="1"/>
  <c r="B33" i="4"/>
  <c r="E33" i="4" s="1"/>
  <c r="D33" i="4" s="1"/>
  <c r="E13" i="6" l="1"/>
  <c r="E12" i="5"/>
  <c r="E45" i="6"/>
  <c r="E30" i="6"/>
  <c r="E35" i="6" s="1"/>
  <c r="E28" i="5"/>
  <c r="AC24" i="10"/>
  <c r="E46" i="6"/>
  <c r="D72" i="2"/>
  <c r="E73" i="6" s="1"/>
  <c r="E75" i="6" s="1"/>
  <c r="B34" i="4"/>
  <c r="E34" i="4" s="1"/>
  <c r="D34" i="4" s="1"/>
  <c r="B35" i="4" s="1"/>
  <c r="E35" i="4" s="1"/>
  <c r="A36" i="4"/>
  <c r="C35" i="4"/>
  <c r="AE22" i="10" s="1"/>
  <c r="D38" i="5"/>
  <c r="E49" i="6" l="1"/>
  <c r="E65" i="6" s="1"/>
  <c r="E77" i="6" s="1"/>
  <c r="D35" i="4"/>
  <c r="B36" i="4" s="1"/>
  <c r="E36" i="4" s="1"/>
  <c r="E36" i="5"/>
  <c r="E9" i="6"/>
  <c r="E15" i="6" s="1"/>
  <c r="E37" i="6" s="1"/>
  <c r="A37" i="4"/>
  <c r="C36" i="4"/>
  <c r="AF22" i="10" s="1"/>
  <c r="E56" i="6" l="1"/>
  <c r="E78" i="6"/>
  <c r="D36" i="4"/>
  <c r="B37" i="4" s="1"/>
  <c r="E37" i="4" s="1"/>
  <c r="A38" i="4"/>
  <c r="C37" i="4"/>
  <c r="AG22" i="10" s="1"/>
  <c r="D37" i="4" l="1"/>
  <c r="B38" i="4" s="1"/>
  <c r="E38" i="4" s="1"/>
  <c r="A39" i="4"/>
  <c r="C38" i="4"/>
  <c r="AH22" i="10" s="1"/>
  <c r="D38" i="4" l="1"/>
  <c r="B39" i="4" s="1"/>
  <c r="E39" i="4" s="1"/>
  <c r="A40" i="4"/>
  <c r="C39" i="4"/>
  <c r="AI22" i="10" s="1"/>
  <c r="D39" i="4" l="1"/>
  <c r="B40" i="4" s="1"/>
  <c r="E40" i="4" s="1"/>
  <c r="A41" i="4"/>
  <c r="C40" i="4"/>
  <c r="AJ22" i="10" s="1"/>
  <c r="D40" i="4" l="1"/>
  <c r="B41" i="4" s="1"/>
  <c r="E41" i="4" s="1"/>
  <c r="A42" i="4"/>
  <c r="C41" i="4"/>
  <c r="AK22" i="10" s="1"/>
  <c r="D41" i="4" l="1"/>
  <c r="B42" i="4" s="1"/>
  <c r="E42" i="4" s="1"/>
  <c r="E54" i="2" s="1"/>
  <c r="A43" i="4"/>
  <c r="C42" i="4"/>
  <c r="AL22" i="10" s="1"/>
  <c r="E45" i="2" l="1"/>
  <c r="E56" i="2"/>
  <c r="D42" i="4"/>
  <c r="B43" i="4" s="1"/>
  <c r="F53" i="6" s="1"/>
  <c r="A44" i="4"/>
  <c r="C43" i="4"/>
  <c r="AM22" i="10" s="1"/>
  <c r="E47" i="2" l="1"/>
  <c r="E58" i="2" s="1"/>
  <c r="E7" i="5" s="1"/>
  <c r="AB20" i="10"/>
  <c r="AF20" i="10"/>
  <c r="AJ20" i="10"/>
  <c r="AC20" i="10"/>
  <c r="AG20" i="10"/>
  <c r="AK20" i="10"/>
  <c r="AI20" i="10"/>
  <c r="AD20" i="10"/>
  <c r="AH20" i="10"/>
  <c r="AL20" i="10"/>
  <c r="AE20" i="10"/>
  <c r="AA20" i="10"/>
  <c r="AA27" i="10" s="1"/>
  <c r="AB13" i="10" s="1"/>
  <c r="E43" i="4"/>
  <c r="D43" i="4" s="1"/>
  <c r="B44" i="4" s="1"/>
  <c r="E44" i="4" s="1"/>
  <c r="E26" i="5"/>
  <c r="A45" i="4"/>
  <c r="C44" i="4"/>
  <c r="AN22" i="10" s="1"/>
  <c r="AB27" i="10" l="1"/>
  <c r="AC13" i="10" s="1"/>
  <c r="AC27" i="10" s="1"/>
  <c r="AD13" i="10" s="1"/>
  <c r="AD27" i="10" s="1"/>
  <c r="AE13" i="10" s="1"/>
  <c r="AE27" i="10" s="1"/>
  <c r="AF13" i="10" s="1"/>
  <c r="AF27" i="10" s="1"/>
  <c r="AG13" i="10" s="1"/>
  <c r="AG27" i="10" s="1"/>
  <c r="AH13" i="10" s="1"/>
  <c r="AH27" i="10" s="1"/>
  <c r="AI13" i="10" s="1"/>
  <c r="AI27" i="10" s="1"/>
  <c r="AJ13" i="10" s="1"/>
  <c r="AJ27" i="10" s="1"/>
  <c r="AK13" i="10" s="1"/>
  <c r="AK27" i="10" s="1"/>
  <c r="AL13" i="10" s="1"/>
  <c r="AL27" i="10" s="1"/>
  <c r="AM13" i="10" s="1"/>
  <c r="E48" i="2"/>
  <c r="E63" i="2"/>
  <c r="E66" i="2" s="1"/>
  <c r="AU23" i="10" s="1"/>
  <c r="D44" i="4"/>
  <c r="B45" i="4" s="1"/>
  <c r="E45" i="4" s="1"/>
  <c r="E32" i="5"/>
  <c r="C45" i="4"/>
  <c r="AO22" i="10" s="1"/>
  <c r="A46" i="4"/>
  <c r="F30" i="6" l="1"/>
  <c r="F35" i="6" s="1"/>
  <c r="F45" i="6"/>
  <c r="F12" i="5"/>
  <c r="F13" i="6"/>
  <c r="E68" i="2"/>
  <c r="D45" i="4"/>
  <c r="B46" i="4" s="1"/>
  <c r="E46" i="4" s="1"/>
  <c r="A47" i="4"/>
  <c r="C46" i="4"/>
  <c r="AP22" i="10" s="1"/>
  <c r="E70" i="2" l="1"/>
  <c r="E14" i="5"/>
  <c r="E34" i="5" s="1"/>
  <c r="E38" i="5" s="1"/>
  <c r="D46" i="4"/>
  <c r="B47" i="4" s="1"/>
  <c r="E47" i="4" s="1"/>
  <c r="A48" i="4"/>
  <c r="C47" i="4"/>
  <c r="AQ22" i="10" s="1"/>
  <c r="F28" i="5" l="1"/>
  <c r="AO24" i="10"/>
  <c r="F46" i="6"/>
  <c r="F49" i="6" s="1"/>
  <c r="E72" i="2"/>
  <c r="F73" i="6" s="1"/>
  <c r="D47" i="4"/>
  <c r="B48" i="4" s="1"/>
  <c r="E48" i="4" s="1"/>
  <c r="F36" i="5"/>
  <c r="F9" i="6"/>
  <c r="F15" i="6" s="1"/>
  <c r="F37" i="6" s="1"/>
  <c r="A49" i="4"/>
  <c r="C48" i="4"/>
  <c r="AR22" i="10" s="1"/>
  <c r="F75" i="6" l="1"/>
  <c r="F65" i="6"/>
  <c r="F56" i="6"/>
  <c r="D48" i="4"/>
  <c r="B49" i="4" s="1"/>
  <c r="E49" i="4" s="1"/>
  <c r="A50" i="4"/>
  <c r="C49" i="4"/>
  <c r="AS22" i="10" s="1"/>
  <c r="F77" i="6" l="1"/>
  <c r="F78" i="6" s="1"/>
  <c r="D49" i="4"/>
  <c r="B50" i="4" s="1"/>
  <c r="E50" i="4" s="1"/>
  <c r="A51" i="4"/>
  <c r="C50" i="4"/>
  <c r="AT22" i="10" s="1"/>
  <c r="D50" i="4" l="1"/>
  <c r="B51" i="4" s="1"/>
  <c r="E51" i="4" s="1"/>
  <c r="A52" i="4"/>
  <c r="C51" i="4"/>
  <c r="AU22" i="10" s="1"/>
  <c r="D51" i="4" l="1"/>
  <c r="B52" i="4" s="1"/>
  <c r="E52" i="4" s="1"/>
  <c r="A53" i="4"/>
  <c r="C52" i="4"/>
  <c r="AV22" i="10" s="1"/>
  <c r="D52" i="4" l="1"/>
  <c r="B53" i="4" s="1"/>
  <c r="E53" i="4" s="1"/>
  <c r="A54" i="4"/>
  <c r="C53" i="4"/>
  <c r="AW22" i="10" s="1"/>
  <c r="D53" i="4" l="1"/>
  <c r="B54" i="4" s="1"/>
  <c r="E54" i="4" s="1"/>
  <c r="F54" i="2" s="1"/>
  <c r="A55" i="4"/>
  <c r="C54" i="4"/>
  <c r="AX22" i="10" s="1"/>
  <c r="F45" i="2" l="1"/>
  <c r="F56" i="2"/>
  <c r="D54" i="4"/>
  <c r="B55" i="4" s="1"/>
  <c r="G53" i="6" s="1"/>
  <c r="A56" i="4"/>
  <c r="C55" i="4"/>
  <c r="AY22" i="10" s="1"/>
  <c r="F47" i="2" l="1"/>
  <c r="F48" i="2" s="1"/>
  <c r="AN20" i="10"/>
  <c r="AR20" i="10"/>
  <c r="AV20" i="10"/>
  <c r="AM20" i="10"/>
  <c r="AM27" i="10" s="1"/>
  <c r="AN13" i="10" s="1"/>
  <c r="AO20" i="10"/>
  <c r="AS20" i="10"/>
  <c r="AW20" i="10"/>
  <c r="AQ20" i="10"/>
  <c r="AP20" i="10"/>
  <c r="AT20" i="10"/>
  <c r="AX20" i="10"/>
  <c r="AU20" i="10"/>
  <c r="E55" i="4"/>
  <c r="D55" i="4" s="1"/>
  <c r="B56" i="4" s="1"/>
  <c r="E56" i="4" s="1"/>
  <c r="A57" i="4"/>
  <c r="C56" i="4"/>
  <c r="AZ22" i="10" s="1"/>
  <c r="F26" i="5"/>
  <c r="F58" i="2" l="1"/>
  <c r="F7" i="5" s="1"/>
  <c r="AN27" i="10"/>
  <c r="AO13" i="10" s="1"/>
  <c r="AO27" i="10" s="1"/>
  <c r="AP13" i="10" s="1"/>
  <c r="AP27" i="10" s="1"/>
  <c r="AQ13" i="10" s="1"/>
  <c r="AQ27" i="10" s="1"/>
  <c r="AR13" i="10" s="1"/>
  <c r="AR27" i="10" s="1"/>
  <c r="AS13" i="10" s="1"/>
  <c r="AS27" i="10" s="1"/>
  <c r="AT13" i="10" s="1"/>
  <c r="AT27" i="10" s="1"/>
  <c r="AU13" i="10" s="1"/>
  <c r="AU27" i="10" s="1"/>
  <c r="AV13" i="10" s="1"/>
  <c r="AV27" i="10" s="1"/>
  <c r="AW13" i="10" s="1"/>
  <c r="AW27" i="10" s="1"/>
  <c r="AX13" i="10" s="1"/>
  <c r="AX27" i="10" s="1"/>
  <c r="AY13" i="10" s="1"/>
  <c r="D56" i="4"/>
  <c r="B57" i="4" s="1"/>
  <c r="E57" i="4" s="1"/>
  <c r="A58" i="4"/>
  <c r="C57" i="4"/>
  <c r="BA22" i="10" s="1"/>
  <c r="F32" i="5"/>
  <c r="F63" i="2" l="1"/>
  <c r="F66" i="2" s="1"/>
  <c r="G30" i="6" s="1"/>
  <c r="G35" i="6" s="1"/>
  <c r="D57" i="4"/>
  <c r="B58" i="4" s="1"/>
  <c r="E58" i="4" s="1"/>
  <c r="A59" i="4"/>
  <c r="C58" i="4"/>
  <c r="BB22" i="10" s="1"/>
  <c r="BG23" i="10" l="1"/>
  <c r="G13" i="6"/>
  <c r="G12" i="5"/>
  <c r="H12" i="5" s="1"/>
  <c r="G45" i="6"/>
  <c r="F68" i="2"/>
  <c r="F70" i="2" s="1"/>
  <c r="F14" i="5"/>
  <c r="F34" i="5" s="1"/>
  <c r="F38" i="5" s="1"/>
  <c r="D58" i="4"/>
  <c r="B59" i="4" s="1"/>
  <c r="E59" i="4" s="1"/>
  <c r="A60" i="4"/>
  <c r="C59" i="4"/>
  <c r="BC22" i="10" s="1"/>
  <c r="G28" i="5" l="1"/>
  <c r="BA24" i="10"/>
  <c r="F72" i="2"/>
  <c r="G73" i="6" s="1"/>
  <c r="G75" i="6" s="1"/>
  <c r="G46" i="6"/>
  <c r="G49" i="6" s="1"/>
  <c r="H28" i="5"/>
  <c r="D59" i="4"/>
  <c r="B60" i="4" s="1"/>
  <c r="E60" i="4" s="1"/>
  <c r="G9" i="6"/>
  <c r="G15" i="6" s="1"/>
  <c r="G37" i="6" s="1"/>
  <c r="G36" i="5"/>
  <c r="A61" i="4"/>
  <c r="C60" i="4"/>
  <c r="BD22" i="10" s="1"/>
  <c r="G56" i="6" l="1"/>
  <c r="G65" i="6"/>
  <c r="G77" i="6" s="1"/>
  <c r="G78" i="6" s="1"/>
  <c r="D60" i="4"/>
  <c r="B61" i="4" s="1"/>
  <c r="E61" i="4" s="1"/>
  <c r="A62" i="4"/>
  <c r="C61" i="4"/>
  <c r="BE22" i="10" s="1"/>
  <c r="D61" i="4" l="1"/>
  <c r="B62" i="4" s="1"/>
  <c r="E62" i="4" s="1"/>
  <c r="A63" i="4"/>
  <c r="C62" i="4"/>
  <c r="BF22" i="10" s="1"/>
  <c r="D62" i="4" l="1"/>
  <c r="B63" i="4" s="1"/>
  <c r="E63" i="4" s="1"/>
  <c r="C63" i="4"/>
  <c r="BG22" i="10" s="1"/>
  <c r="A64" i="4"/>
  <c r="D63" i="4" l="1"/>
  <c r="B64" i="4" s="1"/>
  <c r="E64" i="4" s="1"/>
  <c r="A65" i="4"/>
  <c r="C64" i="4"/>
  <c r="BH22" i="10" s="1"/>
  <c r="D64" i="4" l="1"/>
  <c r="B65" i="4" s="1"/>
  <c r="E65" i="4" s="1"/>
  <c r="A66" i="4"/>
  <c r="C65" i="4"/>
  <c r="BI22" i="10" s="1"/>
  <c r="D65" i="4" l="1"/>
  <c r="B66" i="4" s="1"/>
  <c r="E66" i="4" s="1"/>
  <c r="G54" i="2" s="1"/>
  <c r="A67" i="4"/>
  <c r="C66" i="4"/>
  <c r="BJ22" i="10" s="1"/>
  <c r="G45" i="2" l="1"/>
  <c r="G56" i="2"/>
  <c r="D66" i="4"/>
  <c r="A68" i="4"/>
  <c r="C67" i="4"/>
  <c r="B67" i="4"/>
  <c r="H53" i="6" s="1"/>
  <c r="D67" i="4"/>
  <c r="E67" i="4"/>
  <c r="G47" i="2" l="1"/>
  <c r="G48" i="2" s="1"/>
  <c r="AZ20" i="10"/>
  <c r="BD20" i="10"/>
  <c r="BH20" i="10"/>
  <c r="AY20" i="10"/>
  <c r="AY27" i="10" s="1"/>
  <c r="AZ13" i="10" s="1"/>
  <c r="BA20" i="10"/>
  <c r="BE20" i="10"/>
  <c r="BI20" i="10"/>
  <c r="BG20" i="10"/>
  <c r="BB20" i="10"/>
  <c r="BF20" i="10"/>
  <c r="BJ20" i="10"/>
  <c r="BC20" i="10"/>
  <c r="A69" i="4"/>
  <c r="D68" i="4"/>
  <c r="C68" i="4"/>
  <c r="B68" i="4"/>
  <c r="E68" i="4"/>
  <c r="G26" i="5"/>
  <c r="AZ27" i="10" l="1"/>
  <c r="BA13" i="10" s="1"/>
  <c r="BA27" i="10" s="1"/>
  <c r="BB13" i="10" s="1"/>
  <c r="BB27" i="10" s="1"/>
  <c r="BC13" i="10" s="1"/>
  <c r="BC27" i="10" s="1"/>
  <c r="BD13" i="10" s="1"/>
  <c r="BD27" i="10" s="1"/>
  <c r="BE13" i="10" s="1"/>
  <c r="BE27" i="10" s="1"/>
  <c r="BF13" i="10" s="1"/>
  <c r="BF27" i="10" s="1"/>
  <c r="BG13" i="10" s="1"/>
  <c r="BG27" i="10" s="1"/>
  <c r="BH13" i="10" s="1"/>
  <c r="BH27" i="10" s="1"/>
  <c r="BI13" i="10" s="1"/>
  <c r="BI27" i="10" s="1"/>
  <c r="BJ13" i="10" s="1"/>
  <c r="BJ27" i="10" s="1"/>
  <c r="G58" i="2"/>
  <c r="G7" i="5" s="1"/>
  <c r="E69" i="4"/>
  <c r="D69" i="4"/>
  <c r="C69" i="4"/>
  <c r="A70" i="4"/>
  <c r="B69" i="4"/>
  <c r="G32" i="5"/>
  <c r="H26" i="5"/>
  <c r="G63" i="2" l="1"/>
  <c r="G66" i="2" s="1"/>
  <c r="H45" i="6" s="1"/>
  <c r="H32" i="5"/>
  <c r="A71" i="4"/>
  <c r="E70" i="4"/>
  <c r="D70" i="4"/>
  <c r="C70" i="4"/>
  <c r="B70" i="4"/>
  <c r="G68" i="2" l="1"/>
  <c r="H13" i="6"/>
  <c r="H30" i="6"/>
  <c r="H35" i="6" s="1"/>
  <c r="G70" i="2"/>
  <c r="H46" i="6" s="1"/>
  <c r="H49" i="6" s="1"/>
  <c r="C71" i="4"/>
  <c r="E71" i="4"/>
  <c r="D71" i="4"/>
  <c r="A72" i="4"/>
  <c r="B71" i="4"/>
  <c r="G14" i="5" l="1"/>
  <c r="H7" i="5"/>
  <c r="H65" i="6"/>
  <c r="H56" i="6"/>
  <c r="G72" i="2"/>
  <c r="H73" i="6" s="1"/>
  <c r="H75" i="6" s="1"/>
  <c r="A73" i="4"/>
  <c r="D72" i="4"/>
  <c r="E72" i="4"/>
  <c r="B72" i="4"/>
  <c r="C72" i="4"/>
  <c r="H77" i="6" l="1"/>
  <c r="H14" i="5"/>
  <c r="G34" i="5"/>
  <c r="A74" i="4"/>
  <c r="E73" i="4"/>
  <c r="D73" i="4"/>
  <c r="C73" i="4"/>
  <c r="B73" i="4"/>
  <c r="H34" i="5" l="1"/>
  <c r="G38" i="5"/>
  <c r="A75" i="4"/>
  <c r="C74" i="4"/>
  <c r="D74" i="4"/>
  <c r="B74" i="4"/>
  <c r="E74" i="4"/>
  <c r="H9" i="6" l="1"/>
  <c r="H15" i="6" s="1"/>
  <c r="H37" i="6" s="1"/>
  <c r="H78" i="6" s="1"/>
  <c r="H38" i="5"/>
  <c r="A76" i="4"/>
  <c r="C75" i="4"/>
  <c r="B75" i="4"/>
  <c r="E75" i="4"/>
  <c r="D75" i="4"/>
  <c r="A77" i="4" l="1"/>
  <c r="D76" i="4"/>
  <c r="C76" i="4"/>
  <c r="B76" i="4"/>
  <c r="E76" i="4"/>
  <c r="A78" i="4" l="1"/>
  <c r="E77" i="4"/>
  <c r="D77" i="4"/>
  <c r="C77" i="4"/>
  <c r="B77" i="4"/>
  <c r="A79" i="4" l="1"/>
  <c r="E78" i="4"/>
  <c r="C78" i="4"/>
  <c r="D78" i="4"/>
  <c r="B78" i="4"/>
  <c r="A80" i="4" l="1"/>
  <c r="C79" i="4"/>
  <c r="E79" i="4"/>
  <c r="D79" i="4"/>
  <c r="B79" i="4"/>
  <c r="A81" i="4" l="1"/>
  <c r="D80" i="4"/>
  <c r="C80" i="4"/>
  <c r="B80" i="4"/>
  <c r="E80" i="4"/>
  <c r="A82" i="4" l="1"/>
  <c r="E81" i="4"/>
  <c r="D81" i="4"/>
  <c r="C81" i="4"/>
  <c r="B81" i="4"/>
  <c r="A83" i="4" l="1"/>
  <c r="D82" i="4"/>
  <c r="C82" i="4"/>
  <c r="E82" i="4"/>
  <c r="B82" i="4"/>
  <c r="A84" i="4" l="1"/>
  <c r="C83" i="4"/>
  <c r="B83" i="4"/>
  <c r="E83" i="4"/>
  <c r="D83" i="4"/>
  <c r="A85" i="4" l="1"/>
  <c r="D84" i="4"/>
  <c r="C84" i="4"/>
  <c r="B84" i="4"/>
  <c r="E84" i="4"/>
  <c r="A86" i="4" l="1"/>
  <c r="E85" i="4"/>
  <c r="D85" i="4"/>
  <c r="C85" i="4"/>
  <c r="B85" i="4"/>
  <c r="A87" i="4" l="1"/>
  <c r="E86" i="4"/>
  <c r="D86" i="4"/>
  <c r="C86" i="4"/>
  <c r="B86" i="4"/>
  <c r="A88" i="4" l="1"/>
  <c r="C87" i="4"/>
  <c r="B87" i="4"/>
  <c r="E87" i="4"/>
  <c r="D87" i="4"/>
  <c r="A89" i="4" l="1"/>
  <c r="D88" i="4"/>
  <c r="E88" i="4"/>
  <c r="C88" i="4"/>
  <c r="B88" i="4"/>
  <c r="A90" i="4" l="1"/>
  <c r="E89" i="4"/>
  <c r="D89" i="4"/>
  <c r="B89" i="4"/>
  <c r="C89" i="4"/>
  <c r="A91" i="4" l="1"/>
  <c r="E90" i="4"/>
  <c r="D90" i="4"/>
  <c r="C90" i="4"/>
  <c r="B90" i="4"/>
  <c r="A92" i="4" l="1"/>
  <c r="C91" i="4"/>
  <c r="B91" i="4"/>
  <c r="D91" i="4"/>
  <c r="E91" i="4"/>
  <c r="D92" i="4" l="1"/>
  <c r="C92" i="4"/>
  <c r="A93" i="4"/>
  <c r="B92" i="4"/>
  <c r="E92" i="4"/>
  <c r="E93" i="4" l="1"/>
  <c r="A94" i="4"/>
  <c r="C93" i="4"/>
  <c r="D93" i="4"/>
  <c r="B93" i="4"/>
  <c r="A95" i="4" l="1"/>
  <c r="E94" i="4"/>
  <c r="D94" i="4"/>
  <c r="C94" i="4"/>
  <c r="B94" i="4"/>
  <c r="C95" i="4" l="1"/>
  <c r="A96" i="4"/>
  <c r="D95" i="4"/>
  <c r="E95" i="4"/>
  <c r="B95" i="4"/>
  <c r="A97" i="4" l="1"/>
  <c r="D96" i="4"/>
  <c r="E96" i="4"/>
  <c r="B96" i="4"/>
  <c r="C96" i="4"/>
  <c r="A98" i="4" l="1"/>
  <c r="E97" i="4"/>
  <c r="D97" i="4"/>
  <c r="C97" i="4"/>
  <c r="B97" i="4"/>
  <c r="A99" i="4" l="1"/>
  <c r="E98" i="4"/>
  <c r="D98" i="4"/>
  <c r="B98" i="4"/>
  <c r="C98" i="4"/>
  <c r="A100" i="4" l="1"/>
  <c r="C99" i="4"/>
  <c r="D99" i="4"/>
  <c r="B99" i="4"/>
  <c r="E99" i="4"/>
  <c r="A101" i="4" l="1"/>
  <c r="D100" i="4"/>
  <c r="C100" i="4"/>
  <c r="B100" i="4"/>
  <c r="E100" i="4"/>
  <c r="A102" i="4" l="1"/>
  <c r="E101" i="4"/>
  <c r="D101" i="4"/>
  <c r="C101" i="4"/>
  <c r="B101" i="4"/>
  <c r="A103" i="4" l="1"/>
  <c r="E102" i="4"/>
  <c r="D102" i="4"/>
  <c r="B102" i="4"/>
  <c r="C102" i="4"/>
  <c r="A104" i="4" l="1"/>
  <c r="C103" i="4"/>
  <c r="E103" i="4"/>
  <c r="D103" i="4"/>
  <c r="B103" i="4"/>
  <c r="A105" i="4" l="1"/>
  <c r="D104" i="4"/>
  <c r="B104" i="4"/>
  <c r="E104" i="4"/>
  <c r="C104" i="4"/>
  <c r="A106" i="4" l="1"/>
  <c r="E105" i="4"/>
  <c r="D105" i="4"/>
  <c r="C105" i="4"/>
  <c r="B105" i="4"/>
  <c r="A107" i="4" l="1"/>
  <c r="E106" i="4"/>
  <c r="C106" i="4"/>
  <c r="D106" i="4"/>
  <c r="B106" i="4"/>
  <c r="A108" i="4" l="1"/>
  <c r="C107" i="4"/>
  <c r="E107" i="4"/>
  <c r="D107" i="4"/>
  <c r="B107" i="4"/>
  <c r="D108" i="4" l="1"/>
  <c r="C108" i="4"/>
  <c r="B108" i="4"/>
  <c r="A109" i="4"/>
  <c r="E108" i="4"/>
  <c r="E109" i="4" l="1"/>
  <c r="D109" i="4"/>
  <c r="A110" i="4"/>
  <c r="B109" i="4"/>
  <c r="C109" i="4"/>
  <c r="A111" i="4" l="1"/>
  <c r="E110" i="4"/>
  <c r="C110" i="4"/>
  <c r="B110" i="4"/>
  <c r="D110" i="4"/>
  <c r="A112" i="4" l="1"/>
  <c r="C111" i="4"/>
  <c r="E111" i="4"/>
  <c r="D111" i="4"/>
  <c r="B111" i="4"/>
  <c r="A113" i="4" l="1"/>
  <c r="D112" i="4"/>
  <c r="C112" i="4"/>
  <c r="B112" i="4"/>
  <c r="E112" i="4"/>
  <c r="A114" i="4" l="1"/>
  <c r="E113" i="4"/>
  <c r="D113" i="4"/>
  <c r="B113" i="4"/>
  <c r="C113" i="4"/>
  <c r="A115" i="4" l="1"/>
  <c r="D114" i="4"/>
  <c r="C114" i="4"/>
  <c r="B114" i="4"/>
  <c r="E114" i="4"/>
  <c r="A116" i="4" l="1"/>
  <c r="C115" i="4"/>
  <c r="E115" i="4"/>
  <c r="D115" i="4"/>
  <c r="B115" i="4"/>
  <c r="A117" i="4" l="1"/>
  <c r="D116" i="4"/>
  <c r="C116" i="4"/>
  <c r="E116" i="4"/>
  <c r="B116" i="4"/>
  <c r="E117" i="4" l="1"/>
  <c r="A118" i="4"/>
  <c r="C117" i="4"/>
  <c r="D117" i="4"/>
  <c r="B117" i="4"/>
  <c r="A119" i="4" l="1"/>
  <c r="E118" i="4"/>
  <c r="D118" i="4"/>
  <c r="C118" i="4"/>
  <c r="B118" i="4"/>
  <c r="A120" i="4" l="1"/>
  <c r="C119" i="4"/>
  <c r="E119" i="4"/>
  <c r="B119" i="4"/>
  <c r="D119" i="4"/>
  <c r="A121" i="4" l="1"/>
  <c r="D120" i="4"/>
  <c r="E120" i="4"/>
  <c r="C120" i="4"/>
  <c r="B120" i="4"/>
  <c r="A122" i="4" l="1"/>
  <c r="E121" i="4"/>
  <c r="C121" i="4"/>
  <c r="D121" i="4"/>
  <c r="B121" i="4"/>
  <c r="A123" i="4" l="1"/>
  <c r="C122" i="4"/>
  <c r="E122" i="4"/>
  <c r="D122" i="4"/>
  <c r="B122" i="4"/>
  <c r="A124" i="4" l="1"/>
  <c r="C123" i="4"/>
  <c r="E123" i="4"/>
  <c r="B123" i="4"/>
  <c r="D123" i="4"/>
  <c r="A125" i="4" l="1"/>
  <c r="E124" i="4"/>
  <c r="B124" i="4"/>
  <c r="D124" i="4"/>
  <c r="C124" i="4"/>
  <c r="A126" i="4" l="1"/>
  <c r="E125" i="4"/>
  <c r="C125" i="4"/>
  <c r="D125" i="4"/>
  <c r="B125" i="4"/>
  <c r="A127" i="4" l="1"/>
  <c r="E126" i="4"/>
  <c r="C126" i="4"/>
  <c r="D126" i="4"/>
  <c r="B126" i="4"/>
  <c r="A128" i="4" l="1"/>
  <c r="C127" i="4"/>
  <c r="E127" i="4"/>
  <c r="B127" i="4"/>
  <c r="D127" i="4"/>
  <c r="A129" i="4" l="1"/>
  <c r="D128" i="4"/>
  <c r="E128" i="4"/>
  <c r="C128" i="4"/>
  <c r="B128" i="4"/>
  <c r="A130" i="4" l="1"/>
  <c r="D129" i="4"/>
  <c r="C129" i="4"/>
  <c r="E129" i="4"/>
  <c r="B129" i="4"/>
  <c r="A131" i="4" l="1"/>
  <c r="D130" i="4"/>
  <c r="E130" i="4"/>
  <c r="C130" i="4"/>
  <c r="B130" i="4"/>
  <c r="A132" i="4" l="1"/>
  <c r="C131" i="4"/>
  <c r="E131" i="4"/>
  <c r="D131" i="4"/>
  <c r="B131" i="4"/>
  <c r="A133" i="4" l="1"/>
  <c r="D132" i="4"/>
  <c r="C132" i="4"/>
  <c r="E132" i="4"/>
  <c r="B132" i="4"/>
  <c r="E133" i="4" l="1"/>
  <c r="A134" i="4"/>
  <c r="C133" i="4"/>
  <c r="B133" i="4"/>
  <c r="D133" i="4"/>
  <c r="A135" i="4" l="1"/>
  <c r="E134" i="4"/>
  <c r="D134" i="4"/>
  <c r="C134" i="4"/>
  <c r="B134" i="4"/>
  <c r="C135" i="4" l="1"/>
  <c r="D135" i="4"/>
  <c r="B135" i="4"/>
  <c r="A136" i="4"/>
  <c r="E135" i="4"/>
  <c r="A137" i="4" l="1"/>
  <c r="D136" i="4"/>
  <c r="E136" i="4"/>
  <c r="C136" i="4"/>
  <c r="B136" i="4"/>
  <c r="A138" i="4" l="1"/>
  <c r="E137" i="4"/>
  <c r="D137" i="4"/>
  <c r="C137" i="4"/>
  <c r="B137" i="4"/>
  <c r="A139" i="4" l="1"/>
  <c r="E138" i="4"/>
  <c r="D138" i="4"/>
  <c r="C138" i="4"/>
  <c r="B138" i="4"/>
  <c r="A140" i="4" l="1"/>
  <c r="C139" i="4"/>
  <c r="B139" i="4"/>
  <c r="D139" i="4"/>
  <c r="E139" i="4"/>
  <c r="D140" i="4" l="1"/>
  <c r="C140" i="4"/>
  <c r="A141" i="4"/>
  <c r="E140" i="4"/>
  <c r="B140" i="4"/>
  <c r="E141" i="4" l="1"/>
  <c r="C141" i="4"/>
  <c r="A142" i="4"/>
  <c r="D141" i="4"/>
  <c r="B141" i="4"/>
  <c r="A143" i="4" l="1"/>
  <c r="E142" i="4"/>
  <c r="C142" i="4"/>
  <c r="D142" i="4"/>
  <c r="B142" i="4"/>
  <c r="C143" i="4" l="1"/>
  <c r="D143" i="4"/>
  <c r="E143" i="4"/>
  <c r="A144" i="4"/>
  <c r="B143" i="4"/>
  <c r="A145" i="4" l="1"/>
  <c r="D144" i="4"/>
  <c r="E144" i="4"/>
  <c r="C144" i="4"/>
  <c r="B144" i="4"/>
  <c r="A146" i="4" l="1"/>
  <c r="E145" i="4"/>
  <c r="D145" i="4"/>
  <c r="C145" i="4"/>
  <c r="B145" i="4"/>
  <c r="A147" i="4" l="1"/>
  <c r="C146" i="4"/>
  <c r="D146" i="4"/>
  <c r="E146" i="4"/>
  <c r="B146" i="4"/>
  <c r="A148" i="4" l="1"/>
  <c r="C147" i="4"/>
  <c r="D147" i="4"/>
  <c r="B147" i="4"/>
  <c r="E147" i="4"/>
  <c r="A149" i="4" l="1"/>
  <c r="D148" i="4"/>
  <c r="C148" i="4"/>
  <c r="B148" i="4"/>
  <c r="E148" i="4"/>
  <c r="E149" i="4" l="1"/>
  <c r="D149" i="4"/>
  <c r="C149" i="4"/>
  <c r="A150" i="4"/>
  <c r="B149" i="4"/>
  <c r="A151" i="4" l="1"/>
  <c r="E150" i="4"/>
  <c r="D150" i="4"/>
  <c r="C150" i="4"/>
  <c r="B150" i="4"/>
  <c r="A152" i="4" l="1"/>
  <c r="C151" i="4"/>
  <c r="E151" i="4"/>
  <c r="D151" i="4"/>
  <c r="B151" i="4"/>
  <c r="A153" i="4" l="1"/>
  <c r="D152" i="4"/>
  <c r="C152" i="4"/>
  <c r="B152" i="4"/>
  <c r="E152" i="4"/>
  <c r="A154" i="4" l="1"/>
  <c r="E153" i="4"/>
  <c r="D153" i="4"/>
  <c r="C153" i="4"/>
  <c r="B153" i="4"/>
  <c r="A155" i="4" l="1"/>
  <c r="C154" i="4"/>
  <c r="E154" i="4"/>
  <c r="B154" i="4"/>
  <c r="D154" i="4"/>
  <c r="A156" i="4" l="1"/>
  <c r="C155" i="4"/>
  <c r="E155" i="4"/>
  <c r="B155" i="4"/>
  <c r="D155" i="4"/>
  <c r="D156" i="4" l="1"/>
  <c r="A157" i="4"/>
  <c r="C156" i="4"/>
  <c r="B156" i="4"/>
  <c r="E156" i="4"/>
  <c r="E157" i="4" l="1"/>
  <c r="D157" i="4"/>
  <c r="A158" i="4"/>
  <c r="C157" i="4"/>
  <c r="B157" i="4"/>
  <c r="A159" i="4" l="1"/>
  <c r="E158" i="4"/>
  <c r="C158" i="4"/>
  <c r="D158" i="4"/>
  <c r="B158" i="4"/>
  <c r="C159" i="4" l="1"/>
  <c r="A160" i="4"/>
  <c r="D159" i="4"/>
  <c r="E159" i="4"/>
  <c r="B159" i="4"/>
  <c r="A161" i="4" l="1"/>
  <c r="D160" i="4"/>
  <c r="C160" i="4"/>
  <c r="B160" i="4"/>
  <c r="E160" i="4"/>
  <c r="A162" i="4" l="1"/>
  <c r="E161" i="4"/>
  <c r="D161" i="4"/>
  <c r="C161" i="4"/>
  <c r="B161" i="4"/>
  <c r="A163" i="4" l="1"/>
  <c r="D162" i="4"/>
  <c r="C162" i="4"/>
  <c r="E162" i="4"/>
  <c r="B162" i="4"/>
  <c r="A164" i="4" l="1"/>
  <c r="C163" i="4"/>
  <c r="E163" i="4"/>
  <c r="B163" i="4"/>
  <c r="D163" i="4"/>
  <c r="A165" i="4" l="1"/>
  <c r="D164" i="4"/>
  <c r="C164" i="4"/>
  <c r="E164" i="4"/>
  <c r="B164" i="4"/>
  <c r="A166" i="4" l="1"/>
  <c r="E165" i="4"/>
  <c r="D165" i="4"/>
  <c r="C165" i="4"/>
  <c r="B165" i="4"/>
  <c r="A167" i="4" l="1"/>
  <c r="E166" i="4"/>
  <c r="D166" i="4"/>
  <c r="C166" i="4"/>
  <c r="B166" i="4"/>
  <c r="C167" i="4" l="1"/>
  <c r="A168" i="4"/>
  <c r="D167" i="4"/>
  <c r="E167" i="4"/>
  <c r="B167" i="4"/>
  <c r="A169" i="4" l="1"/>
  <c r="D168" i="4"/>
  <c r="E168" i="4"/>
  <c r="C168" i="4"/>
  <c r="B168" i="4"/>
  <c r="A170" i="4" l="1"/>
  <c r="E169" i="4"/>
  <c r="D169" i="4"/>
  <c r="C169" i="4"/>
  <c r="B169" i="4"/>
  <c r="A171" i="4" l="1"/>
  <c r="E170" i="4"/>
  <c r="D170" i="4"/>
  <c r="C170" i="4"/>
  <c r="B170" i="4"/>
  <c r="A172" i="4" l="1"/>
  <c r="C171" i="4"/>
  <c r="E171" i="4"/>
  <c r="D171" i="4"/>
  <c r="B171" i="4"/>
  <c r="D172" i="4" l="1"/>
  <c r="C172" i="4"/>
  <c r="E172" i="4"/>
  <c r="B172" i="4"/>
  <c r="A173" i="4"/>
  <c r="E173" i="4" l="1"/>
  <c r="C173" i="4"/>
  <c r="D173" i="4"/>
  <c r="B173" i="4"/>
  <c r="A174" i="4"/>
  <c r="A175" i="4" l="1"/>
  <c r="E174" i="4"/>
  <c r="D174" i="4"/>
  <c r="C174" i="4"/>
  <c r="B174" i="4"/>
  <c r="A176" i="4" l="1"/>
  <c r="C175" i="4"/>
  <c r="D175" i="4"/>
  <c r="E175" i="4"/>
  <c r="B175" i="4"/>
  <c r="A177" i="4" l="1"/>
  <c r="D176" i="4"/>
  <c r="C176" i="4"/>
  <c r="B176" i="4"/>
  <c r="E176" i="4"/>
  <c r="A178" i="4" l="1"/>
  <c r="E177" i="4"/>
  <c r="D177" i="4"/>
  <c r="C177" i="4"/>
  <c r="B177" i="4"/>
  <c r="A179" i="4" l="1"/>
  <c r="E178" i="4"/>
  <c r="D178" i="4"/>
  <c r="C178" i="4"/>
  <c r="B178" i="4"/>
  <c r="A180" i="4" l="1"/>
  <c r="C179" i="4"/>
  <c r="D179" i="4"/>
  <c r="E179" i="4"/>
  <c r="B179" i="4"/>
  <c r="D180" i="4" l="1"/>
  <c r="A181" i="4"/>
  <c r="C180" i="4"/>
  <c r="B180" i="4"/>
  <c r="E180" i="4"/>
  <c r="E181" i="4" l="1"/>
  <c r="A182" i="4"/>
  <c r="D181" i="4"/>
  <c r="B181" i="4"/>
  <c r="C181" i="4"/>
  <c r="A183" i="4" l="1"/>
  <c r="E182" i="4"/>
  <c r="D182" i="4"/>
  <c r="C182" i="4"/>
  <c r="B182" i="4"/>
  <c r="C183" i="4" l="1"/>
  <c r="E183" i="4"/>
  <c r="D183" i="4"/>
  <c r="A184" i="4"/>
  <c r="B183" i="4"/>
  <c r="A185" i="4" l="1"/>
  <c r="D184" i="4"/>
  <c r="E184" i="4"/>
  <c r="B184" i="4"/>
  <c r="C184" i="4"/>
  <c r="A186" i="4" l="1"/>
  <c r="E185" i="4"/>
  <c r="D185" i="4"/>
  <c r="C185" i="4"/>
  <c r="B185" i="4"/>
  <c r="A187" i="4" l="1"/>
  <c r="C186" i="4"/>
  <c r="D186" i="4"/>
  <c r="E186" i="4"/>
  <c r="B186" i="4"/>
  <c r="A188" i="4" l="1"/>
  <c r="C187" i="4"/>
  <c r="E187" i="4"/>
  <c r="D187" i="4"/>
  <c r="B187" i="4"/>
  <c r="D188" i="4" l="1"/>
  <c r="C188" i="4"/>
  <c r="B188" i="4"/>
  <c r="A189" i="4"/>
  <c r="E188" i="4"/>
  <c r="A190" i="4" l="1"/>
  <c r="E189" i="4"/>
  <c r="D189" i="4"/>
  <c r="C189" i="4"/>
  <c r="B189" i="4"/>
  <c r="A191" i="4" l="1"/>
  <c r="E190" i="4"/>
  <c r="C190" i="4"/>
  <c r="B190" i="4"/>
  <c r="D190" i="4"/>
  <c r="C191" i="4" l="1"/>
  <c r="E191" i="4"/>
  <c r="D191" i="4"/>
  <c r="B191" i="4"/>
  <c r="A192" i="4"/>
  <c r="A193" i="4" l="1"/>
  <c r="D192" i="4"/>
  <c r="C192" i="4"/>
  <c r="E192" i="4"/>
  <c r="B192" i="4"/>
  <c r="A194" i="4" l="1"/>
  <c r="E193" i="4"/>
  <c r="D193" i="4"/>
  <c r="C193" i="4"/>
  <c r="B193" i="4"/>
  <c r="A195" i="4" l="1"/>
  <c r="D194" i="4"/>
  <c r="C194" i="4"/>
  <c r="E194" i="4"/>
  <c r="B194" i="4"/>
  <c r="C195" i="4" l="1"/>
  <c r="A196" i="4"/>
  <c r="E195" i="4"/>
  <c r="B195" i="4"/>
  <c r="D195" i="4"/>
  <c r="A197" i="4" l="1"/>
  <c r="D196" i="4"/>
  <c r="C196" i="4"/>
  <c r="E196" i="4"/>
  <c r="B196" i="4"/>
  <c r="A198" i="4" l="1"/>
  <c r="E197" i="4"/>
  <c r="C197" i="4"/>
  <c r="B197" i="4"/>
  <c r="D197" i="4"/>
  <c r="A199" i="4" l="1"/>
  <c r="E198" i="4"/>
  <c r="D198" i="4"/>
  <c r="C198" i="4"/>
  <c r="B198" i="4"/>
  <c r="C199" i="4" l="1"/>
  <c r="A200" i="4"/>
  <c r="E199" i="4"/>
  <c r="D199" i="4"/>
  <c r="B199" i="4"/>
  <c r="A201" i="4" l="1"/>
  <c r="D200" i="4"/>
  <c r="E200" i="4"/>
  <c r="C200" i="4"/>
  <c r="B200" i="4"/>
  <c r="A202" i="4" l="1"/>
  <c r="E201" i="4"/>
  <c r="D201" i="4"/>
  <c r="C201" i="4"/>
  <c r="B201" i="4"/>
  <c r="A203" i="4" l="1"/>
  <c r="E202" i="4"/>
  <c r="D202" i="4"/>
  <c r="B202" i="4"/>
  <c r="C202" i="4"/>
  <c r="A204" i="4" l="1"/>
  <c r="C203" i="4"/>
  <c r="B203" i="4"/>
  <c r="D203" i="4"/>
  <c r="E203" i="4"/>
  <c r="A205" i="4" l="1"/>
  <c r="D204" i="4"/>
  <c r="C204" i="4"/>
  <c r="E204" i="4"/>
  <c r="B204" i="4"/>
  <c r="E205" i="4" l="1"/>
  <c r="C205" i="4"/>
  <c r="D205" i="4"/>
  <c r="A206" i="4"/>
  <c r="B205" i="4"/>
  <c r="E206" i="4" l="1"/>
  <c r="A207" i="4"/>
  <c r="D206" i="4"/>
  <c r="C206" i="4"/>
  <c r="B206" i="4"/>
  <c r="A208" i="4" l="1"/>
  <c r="C207" i="4"/>
  <c r="D207" i="4"/>
  <c r="E207" i="4"/>
  <c r="B207" i="4"/>
  <c r="A209" i="4" l="1"/>
  <c r="D208" i="4"/>
  <c r="E208" i="4"/>
  <c r="B208" i="4"/>
  <c r="C208" i="4"/>
  <c r="A210" i="4" l="1"/>
  <c r="D209" i="4"/>
  <c r="E209" i="4"/>
  <c r="C209" i="4"/>
  <c r="B209" i="4"/>
  <c r="A211" i="4" l="1"/>
  <c r="C210" i="4"/>
  <c r="E210" i="4"/>
  <c r="D210" i="4"/>
  <c r="B210" i="4"/>
  <c r="D211" i="4" l="1"/>
  <c r="E211" i="4"/>
  <c r="A212" i="4"/>
  <c r="B211" i="4"/>
  <c r="C211" i="4"/>
  <c r="C212" i="4" l="1"/>
  <c r="E212" i="4"/>
  <c r="A213" i="4"/>
  <c r="B212" i="4"/>
  <c r="D212" i="4"/>
  <c r="C213" i="4" l="1"/>
  <c r="E213" i="4"/>
  <c r="A214" i="4"/>
  <c r="D213" i="4"/>
  <c r="B213" i="4"/>
  <c r="A215" i="4" l="1"/>
  <c r="E214" i="4"/>
  <c r="D214" i="4"/>
  <c r="C214" i="4"/>
  <c r="B214" i="4"/>
  <c r="A216" i="4" l="1"/>
  <c r="E215" i="4"/>
  <c r="C215" i="4"/>
  <c r="D215" i="4"/>
  <c r="B215" i="4"/>
  <c r="A217" i="4" l="1"/>
  <c r="C216" i="4"/>
  <c r="E216" i="4"/>
  <c r="B216" i="4"/>
  <c r="D216" i="4"/>
  <c r="A218" i="4" l="1"/>
  <c r="D217" i="4"/>
  <c r="E217" i="4"/>
  <c r="C217" i="4"/>
  <c r="B217" i="4"/>
  <c r="A219" i="4" l="1"/>
  <c r="E218" i="4"/>
  <c r="D218" i="4"/>
  <c r="C218" i="4"/>
  <c r="B218" i="4"/>
  <c r="A220" i="4" l="1"/>
  <c r="C219" i="4"/>
  <c r="D219" i="4"/>
  <c r="B219" i="4"/>
  <c r="E219" i="4"/>
  <c r="C220" i="4" l="1"/>
  <c r="A221" i="4"/>
  <c r="E220" i="4"/>
  <c r="B220" i="4"/>
  <c r="D220" i="4"/>
  <c r="A222" i="4" l="1"/>
  <c r="E221" i="4"/>
  <c r="D221" i="4"/>
  <c r="C221" i="4"/>
  <c r="B221" i="4"/>
  <c r="E222" i="4" l="1"/>
  <c r="C222" i="4"/>
  <c r="D222" i="4"/>
  <c r="A223" i="4"/>
  <c r="B222" i="4"/>
  <c r="E223" i="4" l="1"/>
  <c r="D223" i="4"/>
  <c r="C223" i="4"/>
  <c r="B223" i="4"/>
  <c r="A224" i="4"/>
  <c r="A225" i="4" l="1"/>
  <c r="C224" i="4"/>
  <c r="D224" i="4"/>
  <c r="B224" i="4"/>
  <c r="E224" i="4"/>
  <c r="A226" i="4" l="1"/>
  <c r="D225" i="4"/>
  <c r="E225" i="4"/>
  <c r="C225" i="4"/>
  <c r="B225" i="4"/>
  <c r="A227" i="4" l="1"/>
  <c r="E226" i="4"/>
  <c r="D226" i="4"/>
  <c r="C226" i="4"/>
  <c r="B226" i="4"/>
  <c r="A228" i="4" l="1"/>
  <c r="E227" i="4"/>
  <c r="D227" i="4"/>
  <c r="B227" i="4"/>
  <c r="C227" i="4"/>
  <c r="A229" i="4" l="1"/>
  <c r="C228" i="4"/>
  <c r="B228" i="4"/>
  <c r="E228" i="4"/>
  <c r="D228" i="4"/>
  <c r="D229" i="4" l="1"/>
  <c r="A230" i="4"/>
  <c r="C229" i="4"/>
  <c r="E229" i="4"/>
  <c r="B229" i="4"/>
  <c r="E230" i="4" l="1"/>
  <c r="C230" i="4"/>
  <c r="A231" i="4"/>
  <c r="D230" i="4"/>
  <c r="B230" i="4"/>
  <c r="E231" i="4" l="1"/>
  <c r="C231" i="4"/>
  <c r="A232" i="4"/>
  <c r="D231" i="4"/>
  <c r="B231" i="4"/>
  <c r="A233" i="4" l="1"/>
  <c r="C232" i="4"/>
  <c r="D232" i="4"/>
  <c r="E232" i="4"/>
  <c r="B232" i="4"/>
  <c r="A234" i="4" l="1"/>
  <c r="D233" i="4"/>
  <c r="E233" i="4"/>
  <c r="C233" i="4"/>
  <c r="B233" i="4"/>
  <c r="A235" i="4" l="1"/>
  <c r="E234" i="4"/>
  <c r="D234" i="4"/>
  <c r="C234" i="4"/>
  <c r="B234" i="4"/>
  <c r="A236" i="4" l="1"/>
  <c r="C235" i="4"/>
  <c r="B235" i="4"/>
  <c r="E235" i="4"/>
  <c r="D235" i="4"/>
  <c r="C236" i="4" l="1"/>
  <c r="D236" i="4"/>
  <c r="E236" i="4"/>
  <c r="B236" i="4"/>
  <c r="A237" i="4"/>
  <c r="D237" i="4" l="1"/>
  <c r="C237" i="4"/>
  <c r="A238" i="4"/>
  <c r="E237" i="4"/>
  <c r="B237" i="4"/>
  <c r="E238" i="4" l="1"/>
  <c r="D238" i="4"/>
  <c r="A239" i="4"/>
  <c r="C238" i="4"/>
  <c r="B238" i="4"/>
  <c r="A240" i="4" l="1"/>
  <c r="E239" i="4"/>
  <c r="C239" i="4"/>
  <c r="D239" i="4"/>
  <c r="B239" i="4"/>
  <c r="A241" i="4" l="1"/>
  <c r="C240" i="4"/>
  <c r="E240" i="4"/>
  <c r="D240" i="4"/>
  <c r="B240" i="4"/>
  <c r="A242" i="4" l="1"/>
  <c r="D241" i="4"/>
  <c r="C241" i="4"/>
  <c r="E241" i="4"/>
  <c r="B241" i="4"/>
  <c r="A243" i="4" l="1"/>
  <c r="E242" i="4"/>
  <c r="D242" i="4"/>
  <c r="C242" i="4"/>
  <c r="B242" i="4"/>
  <c r="A244" i="4" l="1"/>
  <c r="C243" i="4"/>
  <c r="E243" i="4"/>
  <c r="D243" i="4"/>
  <c r="B243" i="4"/>
  <c r="C244" i="4" l="1"/>
  <c r="E244" i="4"/>
  <c r="D244" i="4"/>
  <c r="B244" i="4"/>
  <c r="A245" i="4"/>
  <c r="D245" i="4" l="1"/>
  <c r="C245" i="4"/>
  <c r="A246" i="4"/>
  <c r="E245" i="4"/>
  <c r="B245" i="4"/>
  <c r="A247" i="4" l="1"/>
  <c r="E246" i="4"/>
  <c r="D246" i="4"/>
  <c r="B246" i="4"/>
  <c r="C246" i="4"/>
  <c r="E247" i="4" l="1"/>
  <c r="C247" i="4"/>
  <c r="A248" i="4"/>
  <c r="D247" i="4"/>
  <c r="B247" i="4"/>
  <c r="A249" i="4" l="1"/>
  <c r="C248" i="4"/>
  <c r="D248" i="4"/>
  <c r="E248" i="4"/>
  <c r="B248" i="4"/>
  <c r="A250" i="4" l="1"/>
  <c r="D249" i="4"/>
  <c r="C249" i="4"/>
  <c r="B249" i="4"/>
  <c r="E249" i="4"/>
  <c r="A251" i="4" l="1"/>
  <c r="E250" i="4"/>
  <c r="D250" i="4"/>
  <c r="C250" i="4"/>
  <c r="B250" i="4"/>
  <c r="D251" i="4" l="1"/>
  <c r="C251" i="4"/>
  <c r="E251" i="4"/>
  <c r="B251" i="4"/>
  <c r="A252" i="4"/>
  <c r="C252" i="4" l="1"/>
  <c r="E252" i="4"/>
  <c r="B252" i="4"/>
  <c r="D252" i="4"/>
  <c r="A253" i="4"/>
  <c r="A254" i="4" l="1"/>
  <c r="D253" i="4"/>
  <c r="C253" i="4"/>
  <c r="E253" i="4"/>
  <c r="B253" i="4"/>
  <c r="A255" i="4" l="1"/>
  <c r="E254" i="4"/>
  <c r="D254" i="4"/>
  <c r="C254" i="4"/>
  <c r="B254" i="4"/>
  <c r="E255" i="4" l="1"/>
  <c r="D255" i="4"/>
  <c r="C255" i="4"/>
  <c r="A256" i="4"/>
  <c r="B255" i="4"/>
  <c r="A257" i="4" l="1"/>
  <c r="C256" i="4"/>
  <c r="B256" i="4"/>
  <c r="D256" i="4"/>
  <c r="E256" i="4"/>
  <c r="A258" i="4" l="1"/>
  <c r="D257" i="4"/>
  <c r="E257" i="4"/>
  <c r="C257" i="4"/>
  <c r="B257" i="4"/>
  <c r="A259" i="4" l="1"/>
  <c r="E258" i="4"/>
  <c r="D258" i="4"/>
  <c r="C258" i="4"/>
  <c r="B258" i="4"/>
  <c r="A260" i="4" l="1"/>
  <c r="E259" i="4"/>
  <c r="D259" i="4"/>
  <c r="B259" i="4"/>
  <c r="C259" i="4"/>
  <c r="A261" i="4" l="1"/>
  <c r="C260" i="4"/>
  <c r="B260" i="4"/>
  <c r="D260" i="4"/>
  <c r="E260" i="4"/>
  <c r="D261" i="4" l="1"/>
  <c r="C261" i="4"/>
  <c r="A262" i="4"/>
  <c r="E261" i="4"/>
  <c r="B261" i="4"/>
  <c r="E262" i="4" l="1"/>
  <c r="C262" i="4"/>
  <c r="A263" i="4"/>
  <c r="D262" i="4"/>
  <c r="B262" i="4"/>
  <c r="E263" i="4" l="1"/>
  <c r="D263" i="4"/>
  <c r="A264" i="4"/>
  <c r="C263" i="4"/>
  <c r="B263" i="4"/>
  <c r="A265" i="4" l="1"/>
  <c r="C264" i="4"/>
  <c r="D264" i="4"/>
  <c r="E264" i="4"/>
  <c r="B264" i="4"/>
  <c r="A266" i="4" l="1"/>
  <c r="D265" i="4"/>
  <c r="C265" i="4"/>
  <c r="E265" i="4"/>
  <c r="B265" i="4"/>
  <c r="A267" i="4" l="1"/>
  <c r="E266" i="4"/>
  <c r="D266" i="4"/>
  <c r="C266" i="4"/>
  <c r="B266" i="4"/>
  <c r="A268" i="4" l="1"/>
  <c r="E267" i="4"/>
  <c r="B267" i="4"/>
  <c r="C267" i="4"/>
  <c r="D267" i="4"/>
  <c r="A269" i="4" l="1"/>
  <c r="C268" i="4"/>
  <c r="D268" i="4"/>
  <c r="E268" i="4"/>
  <c r="B268" i="4"/>
  <c r="D269" i="4" l="1"/>
  <c r="C269" i="4"/>
  <c r="A270" i="4"/>
  <c r="B269" i="4"/>
  <c r="E269" i="4"/>
  <c r="E270" i="4" l="1"/>
  <c r="D270" i="4"/>
  <c r="A271" i="4"/>
  <c r="C270" i="4"/>
  <c r="B270" i="4"/>
  <c r="E271" i="4" l="1"/>
  <c r="A272" i="4"/>
  <c r="D271" i="4"/>
  <c r="C271" i="4"/>
  <c r="B271" i="4"/>
  <c r="A273" i="4" l="1"/>
  <c r="C272" i="4"/>
  <c r="E272" i="4"/>
  <c r="D272" i="4"/>
  <c r="B272" i="4"/>
  <c r="A274" i="4" l="1"/>
  <c r="D273" i="4"/>
  <c r="E273" i="4"/>
  <c r="C273" i="4"/>
  <c r="B273" i="4"/>
  <c r="A275" i="4" l="1"/>
  <c r="E274" i="4"/>
  <c r="D274" i="4"/>
  <c r="C274" i="4"/>
  <c r="B274" i="4"/>
  <c r="C275" i="4" l="1"/>
  <c r="D275" i="4"/>
  <c r="E275" i="4"/>
  <c r="A276" i="4"/>
  <c r="B275" i="4"/>
  <c r="C276" i="4" l="1"/>
  <c r="E276" i="4"/>
  <c r="D276" i="4"/>
  <c r="A277" i="4"/>
  <c r="B276" i="4"/>
  <c r="D277" i="4" l="1"/>
  <c r="C277" i="4"/>
  <c r="A278" i="4"/>
  <c r="B277" i="4"/>
  <c r="E277" i="4"/>
  <c r="A279" i="4" l="1"/>
  <c r="E278" i="4"/>
  <c r="D278" i="4"/>
  <c r="C278" i="4"/>
  <c r="B278" i="4"/>
  <c r="A280" i="4" l="1"/>
  <c r="E279" i="4"/>
  <c r="C279" i="4"/>
  <c r="D279" i="4"/>
  <c r="B279" i="4"/>
  <c r="A281" i="4" l="1"/>
  <c r="C280" i="4"/>
  <c r="E280" i="4"/>
  <c r="D280" i="4"/>
  <c r="B280" i="4"/>
  <c r="A282" i="4" l="1"/>
  <c r="D281" i="4"/>
  <c r="C281" i="4"/>
  <c r="E281" i="4"/>
  <c r="B281" i="4"/>
  <c r="A283" i="4" l="1"/>
  <c r="E282" i="4"/>
  <c r="D282" i="4"/>
  <c r="C282" i="4"/>
  <c r="B282" i="4"/>
  <c r="A284" i="4" l="1"/>
  <c r="D283" i="4"/>
  <c r="E283" i="4"/>
  <c r="B283" i="4"/>
  <c r="C283" i="4"/>
  <c r="C284" i="4" l="1"/>
  <c r="E284" i="4"/>
  <c r="D284" i="4"/>
  <c r="B284" i="4"/>
  <c r="A285" i="4"/>
  <c r="D285" i="4" l="1"/>
  <c r="C285" i="4"/>
  <c r="A286" i="4"/>
  <c r="E285" i="4"/>
  <c r="B285" i="4"/>
  <c r="E286" i="4" l="1"/>
  <c r="C286" i="4"/>
  <c r="D286" i="4"/>
  <c r="A287" i="4"/>
  <c r="B286" i="4"/>
  <c r="E287" i="4" l="1"/>
  <c r="A288" i="4"/>
  <c r="D287" i="4"/>
  <c r="C287" i="4"/>
  <c r="B287" i="4"/>
  <c r="A289" i="4" l="1"/>
  <c r="C288" i="4"/>
  <c r="E288" i="4"/>
  <c r="B288" i="4"/>
  <c r="D288" i="4"/>
  <c r="A290" i="4" l="1"/>
  <c r="D289" i="4"/>
  <c r="E289" i="4"/>
  <c r="C289" i="4"/>
  <c r="B289" i="4"/>
  <c r="A291" i="4" l="1"/>
  <c r="E290" i="4"/>
  <c r="D290" i="4"/>
  <c r="B290" i="4"/>
  <c r="C290" i="4"/>
  <c r="E291" i="4" l="1"/>
  <c r="D291" i="4"/>
  <c r="B291" i="4"/>
  <c r="A292" i="4"/>
  <c r="C291" i="4"/>
  <c r="A293" i="4" l="1"/>
  <c r="C292" i="4"/>
  <c r="D292" i="4"/>
  <c r="B292" i="4"/>
  <c r="E292" i="4"/>
  <c r="D293" i="4" l="1"/>
  <c r="A294" i="4"/>
  <c r="C293" i="4"/>
  <c r="E293" i="4"/>
  <c r="B293" i="4"/>
  <c r="E294" i="4" l="1"/>
  <c r="C294" i="4"/>
  <c r="A295" i="4"/>
  <c r="B294" i="4"/>
  <c r="D294" i="4"/>
  <c r="E295" i="4" l="1"/>
  <c r="A296" i="4"/>
  <c r="D295" i="4"/>
  <c r="C295" i="4"/>
  <c r="B295" i="4"/>
  <c r="A297" i="4" l="1"/>
  <c r="C296" i="4"/>
  <c r="D296" i="4"/>
  <c r="E296" i="4"/>
  <c r="B296" i="4"/>
  <c r="A298" i="4" l="1"/>
  <c r="D297" i="4"/>
  <c r="E297" i="4"/>
  <c r="C297" i="4"/>
  <c r="B297" i="4"/>
  <c r="A299" i="4" l="1"/>
  <c r="E298" i="4"/>
  <c r="D298" i="4"/>
  <c r="C298" i="4"/>
  <c r="B298" i="4"/>
  <c r="A300" i="4" l="1"/>
  <c r="D299" i="4"/>
  <c r="C299" i="4"/>
  <c r="B299" i="4"/>
  <c r="E299" i="4"/>
  <c r="C300" i="4" l="1"/>
  <c r="A301" i="4"/>
  <c r="D300" i="4"/>
  <c r="B300" i="4"/>
  <c r="E300" i="4"/>
  <c r="D301" i="4" l="1"/>
  <c r="C301" i="4"/>
  <c r="A302" i="4"/>
  <c r="B301" i="4"/>
  <c r="E301" i="4"/>
  <c r="E302" i="4" l="1"/>
  <c r="D302" i="4"/>
  <c r="C302" i="4"/>
  <c r="B302" i="4"/>
  <c r="A303" i="4"/>
  <c r="A304" i="4" l="1"/>
  <c r="E303" i="4"/>
  <c r="C303" i="4"/>
  <c r="D303" i="4"/>
  <c r="B303" i="4"/>
  <c r="A305" i="4" l="1"/>
  <c r="C304" i="4"/>
  <c r="E304" i="4"/>
  <c r="B304" i="4"/>
  <c r="D304" i="4"/>
  <c r="A306" i="4" l="1"/>
  <c r="D305" i="4"/>
  <c r="E305" i="4"/>
  <c r="C305" i="4"/>
  <c r="B305" i="4"/>
  <c r="A307" i="4" l="1"/>
  <c r="E306" i="4"/>
  <c r="D306" i="4"/>
  <c r="C306" i="4"/>
  <c r="B306" i="4"/>
  <c r="A308" i="4" l="1"/>
  <c r="C307" i="4"/>
  <c r="E307" i="4"/>
  <c r="D307" i="4"/>
  <c r="B307" i="4"/>
  <c r="C308" i="4" l="1"/>
  <c r="E308" i="4"/>
  <c r="D308" i="4"/>
  <c r="B308" i="4"/>
  <c r="A309" i="4"/>
  <c r="D309" i="4" l="1"/>
  <c r="C309" i="4"/>
  <c r="A310" i="4"/>
  <c r="E309" i="4"/>
  <c r="B309" i="4"/>
  <c r="A311" i="4" l="1"/>
  <c r="E310" i="4"/>
  <c r="D310" i="4"/>
  <c r="C310" i="4"/>
  <c r="B310" i="4"/>
  <c r="E311" i="4" l="1"/>
  <c r="C311" i="4"/>
  <c r="A312" i="4"/>
  <c r="D311" i="4"/>
  <c r="B311" i="4"/>
  <c r="A313" i="4" l="1"/>
  <c r="C312" i="4"/>
  <c r="E312" i="4"/>
  <c r="D312" i="4"/>
  <c r="B312" i="4"/>
  <c r="A314" i="4" l="1"/>
  <c r="D313" i="4"/>
  <c r="C313" i="4"/>
  <c r="E313" i="4"/>
  <c r="B313" i="4"/>
  <c r="A315" i="4" l="1"/>
  <c r="E314" i="4"/>
  <c r="D314" i="4"/>
  <c r="C314" i="4"/>
  <c r="B314" i="4"/>
  <c r="D315" i="4" l="1"/>
  <c r="E315" i="4"/>
  <c r="C315" i="4"/>
  <c r="A316" i="4"/>
  <c r="B315" i="4"/>
  <c r="D316" i="4" l="1"/>
  <c r="E316" i="4"/>
  <c r="A317" i="4"/>
  <c r="B316" i="4"/>
  <c r="C316" i="4"/>
  <c r="A318" i="4" l="1"/>
  <c r="E317" i="4"/>
  <c r="D317" i="4"/>
  <c r="B317" i="4"/>
  <c r="C317" i="4"/>
  <c r="C318" i="4" l="1"/>
  <c r="A319" i="4"/>
  <c r="D318" i="4"/>
  <c r="E318" i="4"/>
  <c r="B318" i="4"/>
  <c r="D319" i="4" l="1"/>
  <c r="A320" i="4"/>
  <c r="E319" i="4"/>
  <c r="C319" i="4"/>
  <c r="B319" i="4"/>
  <c r="A321" i="4" l="1"/>
  <c r="E320" i="4"/>
  <c r="D320" i="4"/>
  <c r="C320" i="4"/>
  <c r="B320" i="4"/>
  <c r="A322" i="4" l="1"/>
  <c r="D321" i="4"/>
  <c r="C321" i="4"/>
  <c r="E321" i="4"/>
  <c r="B321" i="4"/>
  <c r="A323" i="4" l="1"/>
  <c r="E322" i="4"/>
  <c r="C322" i="4"/>
  <c r="D322" i="4"/>
  <c r="B322" i="4"/>
  <c r="D323" i="4" l="1"/>
  <c r="C323" i="4"/>
  <c r="A324" i="4"/>
  <c r="E323" i="4"/>
  <c r="B323" i="4"/>
  <c r="E324" i="4" l="1"/>
  <c r="D324" i="4"/>
  <c r="A325" i="4"/>
  <c r="B324" i="4"/>
  <c r="C324" i="4"/>
  <c r="E325" i="4" l="1"/>
  <c r="D325" i="4"/>
  <c r="C325" i="4"/>
  <c r="B325" i="4"/>
  <c r="A326" i="4"/>
  <c r="C326" i="4" l="1"/>
  <c r="E326" i="4"/>
  <c r="D326" i="4"/>
  <c r="A327" i="4"/>
  <c r="B326" i="4"/>
  <c r="E327" i="4" l="1"/>
  <c r="A328" i="4"/>
  <c r="D327" i="4"/>
  <c r="C327" i="4"/>
  <c r="B327" i="4"/>
  <c r="A329" i="4" l="1"/>
  <c r="E328" i="4"/>
  <c r="D328" i="4"/>
  <c r="C328" i="4"/>
  <c r="B328" i="4"/>
  <c r="A330" i="4" l="1"/>
  <c r="D329" i="4"/>
  <c r="E329" i="4"/>
  <c r="C329" i="4"/>
  <c r="B329" i="4"/>
  <c r="A331" i="4" l="1"/>
  <c r="C330" i="4"/>
  <c r="E330" i="4"/>
  <c r="D330" i="4"/>
  <c r="B330" i="4"/>
  <c r="D331" i="4" l="1"/>
  <c r="C331" i="4"/>
  <c r="A332" i="4"/>
  <c r="E331" i="4"/>
  <c r="B331" i="4"/>
  <c r="C332" i="4" l="1"/>
  <c r="A333" i="4"/>
  <c r="D332" i="4"/>
  <c r="B332" i="4"/>
  <c r="E332" i="4"/>
  <c r="E333" i="4" l="1"/>
  <c r="D333" i="4"/>
  <c r="A334" i="4"/>
  <c r="B333" i="4"/>
  <c r="C333" i="4"/>
  <c r="C334" i="4" l="1"/>
  <c r="E334" i="4"/>
  <c r="D334" i="4"/>
  <c r="B334" i="4"/>
  <c r="A335" i="4"/>
  <c r="D335" i="4" l="1"/>
  <c r="C335" i="4"/>
  <c r="A336" i="4"/>
  <c r="E335" i="4"/>
  <c r="B335" i="4"/>
  <c r="A337" i="4" l="1"/>
  <c r="E336" i="4"/>
  <c r="D336" i="4"/>
  <c r="B336" i="4"/>
  <c r="C336" i="4"/>
  <c r="A338" i="4" l="1"/>
  <c r="D337" i="4"/>
  <c r="E337" i="4"/>
  <c r="C337" i="4"/>
  <c r="B337" i="4"/>
  <c r="A339" i="4" l="1"/>
  <c r="E338" i="4"/>
  <c r="D338" i="4"/>
  <c r="C338" i="4"/>
  <c r="B338" i="4"/>
  <c r="D339" i="4" l="1"/>
  <c r="C339" i="4"/>
  <c r="E339" i="4"/>
  <c r="B339" i="4"/>
  <c r="A340" i="4"/>
  <c r="E340" i="4" l="1"/>
  <c r="A341" i="4"/>
  <c r="D340" i="4"/>
  <c r="B340" i="4"/>
  <c r="C340" i="4"/>
  <c r="E341" i="4" l="1"/>
  <c r="A342" i="4"/>
  <c r="B341" i="4"/>
  <c r="D341" i="4"/>
  <c r="C341" i="4"/>
  <c r="C342" i="4" l="1"/>
  <c r="A343" i="4"/>
  <c r="E342" i="4"/>
  <c r="D342" i="4"/>
  <c r="B342" i="4"/>
  <c r="A344" i="4" l="1"/>
  <c r="D343" i="4"/>
  <c r="C343" i="4"/>
  <c r="E343" i="4"/>
  <c r="B343" i="4"/>
  <c r="A345" i="4" l="1"/>
  <c r="E344" i="4"/>
  <c r="D344" i="4"/>
  <c r="C344" i="4"/>
  <c r="B344" i="4"/>
  <c r="A346" i="4" l="1"/>
  <c r="E345" i="4"/>
  <c r="D345" i="4"/>
  <c r="B345" i="4"/>
  <c r="C345" i="4"/>
  <c r="A347" i="4" l="1"/>
  <c r="C346" i="4"/>
  <c r="D346" i="4"/>
  <c r="E346" i="4"/>
  <c r="B346" i="4"/>
  <c r="D347" i="4" l="1"/>
  <c r="C347" i="4"/>
  <c r="E347" i="4"/>
  <c r="A348" i="4"/>
  <c r="B347" i="4"/>
  <c r="C348" i="4" l="1"/>
  <c r="E348" i="4"/>
  <c r="D348" i="4"/>
  <c r="B348" i="4"/>
  <c r="A349" i="4"/>
  <c r="E349" i="4" l="1"/>
  <c r="D349" i="4"/>
  <c r="C349" i="4"/>
  <c r="A350" i="4"/>
  <c r="B349" i="4"/>
  <c r="C350" i="4" l="1"/>
  <c r="A351" i="4"/>
  <c r="E350" i="4"/>
  <c r="D350" i="4"/>
  <c r="B350" i="4"/>
  <c r="D351" i="4" l="1"/>
  <c r="E351" i="4"/>
  <c r="C351" i="4"/>
  <c r="B351" i="4"/>
  <c r="A352" i="4"/>
  <c r="A353" i="4" l="1"/>
  <c r="E352" i="4"/>
  <c r="D352" i="4"/>
  <c r="C352" i="4"/>
  <c r="B352" i="4"/>
  <c r="A354" i="4" l="1"/>
  <c r="D353" i="4"/>
  <c r="C353" i="4"/>
  <c r="E353" i="4"/>
  <c r="B353" i="4"/>
  <c r="A355" i="4" l="1"/>
  <c r="E354" i="4"/>
  <c r="D354" i="4"/>
  <c r="C354" i="4"/>
  <c r="B354" i="4"/>
  <c r="D355" i="4" l="1"/>
  <c r="C355" i="4"/>
  <c r="E355" i="4"/>
  <c r="B355" i="4"/>
  <c r="A356" i="4"/>
  <c r="A357" i="4" l="1"/>
  <c r="E356" i="4"/>
  <c r="D356" i="4"/>
  <c r="B356" i="4"/>
  <c r="C356" i="4"/>
  <c r="E357" i="4" l="1"/>
  <c r="D357" i="4"/>
  <c r="C357" i="4"/>
  <c r="A358" i="4"/>
  <c r="B357" i="4"/>
  <c r="C358" i="4" l="1"/>
  <c r="E358" i="4"/>
  <c r="A359" i="4"/>
  <c r="D358" i="4"/>
  <c r="B358" i="4"/>
  <c r="D359" i="4" l="1"/>
  <c r="A360" i="4"/>
  <c r="C359" i="4"/>
  <c r="B359" i="4"/>
  <c r="E359" i="4"/>
  <c r="A361" i="4" l="1"/>
  <c r="E360" i="4"/>
  <c r="D360" i="4"/>
  <c r="C360" i="4"/>
  <c r="B360" i="4"/>
  <c r="A362" i="4" l="1"/>
  <c r="E361" i="4"/>
  <c r="D361" i="4"/>
  <c r="C361" i="4"/>
  <c r="B361" i="4"/>
  <c r="A363" i="4" l="1"/>
  <c r="E362" i="4"/>
  <c r="C362" i="4"/>
  <c r="D362" i="4"/>
  <c r="B362" i="4"/>
  <c r="D363" i="4" l="1"/>
  <c r="C363" i="4"/>
  <c r="A364" i="4"/>
  <c r="E363" i="4"/>
  <c r="B363" i="4"/>
  <c r="C364" i="4" l="1"/>
  <c r="A365" i="4"/>
  <c r="E364" i="4"/>
  <c r="D364" i="4"/>
  <c r="B364" i="4"/>
  <c r="E365" i="4" l="1"/>
  <c r="D365" i="4"/>
  <c r="C365" i="4"/>
  <c r="A366" i="4"/>
  <c r="B365" i="4"/>
  <c r="C366" i="4" l="1"/>
  <c r="D366" i="4"/>
  <c r="E366" i="4"/>
  <c r="B366" i="4"/>
</calcChain>
</file>

<file path=xl/sharedStrings.xml><?xml version="1.0" encoding="utf-8"?>
<sst xmlns="http://schemas.openxmlformats.org/spreadsheetml/2006/main" count="402" uniqueCount="229">
  <si>
    <t>Revenue</t>
  </si>
  <si>
    <t>Insurance</t>
  </si>
  <si>
    <t>Year 1</t>
  </si>
  <si>
    <t>Year 2</t>
  </si>
  <si>
    <t>Year 3</t>
  </si>
  <si>
    <t>Year 4</t>
  </si>
  <si>
    <t>Year 5</t>
  </si>
  <si>
    <t>Utilities</t>
  </si>
  <si>
    <t>Depreciation</t>
  </si>
  <si>
    <t>Cost of goods sold</t>
  </si>
  <si>
    <t>Property taxes</t>
  </si>
  <si>
    <t>Administrative fees</t>
  </si>
  <si>
    <t>Interest expense on long-term debt</t>
  </si>
  <si>
    <t>Other</t>
  </si>
  <si>
    <t>Operating expenses</t>
  </si>
  <si>
    <t>Total revenue</t>
  </si>
  <si>
    <t>Total operating expenses</t>
  </si>
  <si>
    <t>Maintenance, repair, and overhaul</t>
  </si>
  <si>
    <t>Deposits</t>
  </si>
  <si>
    <t>Goodwill</t>
  </si>
  <si>
    <t>Accounts receivable</t>
  </si>
  <si>
    <t>Total inventory</t>
  </si>
  <si>
    <t>Prepaid expenses</t>
  </si>
  <si>
    <t>Accounts payable</t>
  </si>
  <si>
    <t>Accrued expenses</t>
  </si>
  <si>
    <t>Other current liabilities</t>
  </si>
  <si>
    <t>Owner's equity (common)</t>
  </si>
  <si>
    <t>Preferred equity</t>
  </si>
  <si>
    <t>Retained earnings</t>
  </si>
  <si>
    <t>Cash and short-term investments</t>
  </si>
  <si>
    <t>Long-term investments</t>
  </si>
  <si>
    <t>Other long-term assets</t>
  </si>
  <si>
    <t>Other long-term debt</t>
  </si>
  <si>
    <t>Total current assets</t>
  </si>
  <si>
    <t>Initial balance</t>
  </si>
  <si>
    <t>Paid-in capital</t>
  </si>
  <si>
    <t>Total</t>
  </si>
  <si>
    <t>Inventories</t>
  </si>
  <si>
    <t>Capital expenditures</t>
  </si>
  <si>
    <t>Other investing cash flow items</t>
  </si>
  <si>
    <t>Long-term debt/financing</t>
  </si>
  <si>
    <t>Total cash dividends paid</t>
  </si>
  <si>
    <t>Other financing cash flow items</t>
  </si>
  <si>
    <t>Operating activities</t>
  </si>
  <si>
    <t>Total operating activities</t>
  </si>
  <si>
    <t>Total investing activities</t>
  </si>
  <si>
    <t>Investing activities</t>
  </si>
  <si>
    <t>Financing activities</t>
  </si>
  <si>
    <t>Total financing activities</t>
  </si>
  <si>
    <t>Ending cash balance</t>
  </si>
  <si>
    <t>Beginning cash balance</t>
  </si>
  <si>
    <t>Cumulative cash flow</t>
  </si>
  <si>
    <t>Monthly rate</t>
  </si>
  <si>
    <t>Term of loan (months)</t>
  </si>
  <si>
    <t>Annual interest rate</t>
  </si>
  <si>
    <t>FORECASTED REVENUE</t>
  </si>
  <si>
    <t>COST OF GOODS SOLD</t>
  </si>
  <si>
    <t>ANNUAL MAINTENANCE, REPAIR AND OVERHAUL</t>
  </si>
  <si>
    <t>ASSET DEPRECIATION</t>
  </si>
  <si>
    <t>Number of Years</t>
  </si>
  <si>
    <t>TAX</t>
  </si>
  <si>
    <t>Annual Tax Rate</t>
  </si>
  <si>
    <t>FUNDING</t>
  </si>
  <si>
    <t>Average
price per unit</t>
  </si>
  <si>
    <t>Expected 
gross margin</t>
  </si>
  <si>
    <t>Company Name</t>
  </si>
  <si>
    <t>Loan Amount</t>
  </si>
  <si>
    <t>Total Non-Recurring Expenses</t>
  </si>
  <si>
    <t>Cost of Sales</t>
  </si>
  <si>
    <t>INCOME</t>
  </si>
  <si>
    <t>Gross Profit</t>
  </si>
  <si>
    <t>TAXES</t>
  </si>
  <si>
    <t>TOTAL TAXES</t>
  </si>
  <si>
    <t>EXPENSES</t>
  </si>
  <si>
    <t>NET PROFIT</t>
  </si>
  <si>
    <t>PROFIT AND LOSS PROJECTION</t>
  </si>
  <si>
    <t>5-YEAR FINANCIAL PLAN</t>
  </si>
  <si>
    <t>BALANCE SHEET PROJECTION</t>
  </si>
  <si>
    <t>ASSETS</t>
  </si>
  <si>
    <t>LIABILITIES</t>
  </si>
  <si>
    <t>EQUITY</t>
  </si>
  <si>
    <t>Other Assets</t>
  </si>
  <si>
    <t>Property and Equipment</t>
  </si>
  <si>
    <t>Total Property and Equipment</t>
  </si>
  <si>
    <t>Total Other Assets</t>
  </si>
  <si>
    <t>Current Assets</t>
  </si>
  <si>
    <t>Current Liabilities</t>
  </si>
  <si>
    <t>Debt</t>
  </si>
  <si>
    <t>Total Debt</t>
  </si>
  <si>
    <t>Total Current Liabilities</t>
  </si>
  <si>
    <t>Other Liabilities</t>
  </si>
  <si>
    <t>Other liabilities (specify)</t>
  </si>
  <si>
    <t>Total Other Liabilities</t>
  </si>
  <si>
    <t>TOTAL LIABILITIES</t>
  </si>
  <si>
    <t>TOTAL ASSETS</t>
  </si>
  <si>
    <t>TOTAL EQUITY</t>
  </si>
  <si>
    <t>TOTAL LIABILITIES AND EQUITY</t>
  </si>
  <si>
    <t>Long-term debt/loan</t>
  </si>
  <si>
    <t>CASH FLOW PROJECTION</t>
  </si>
  <si>
    <t>Less Accumulated depreciation expense</t>
  </si>
  <si>
    <t>LOAN AMORTIZATION SCHEDULE</t>
  </si>
  <si>
    <t>MONTH</t>
  </si>
  <si>
    <t>BALANCE</t>
  </si>
  <si>
    <t>SCHEDULED PAYMENT</t>
  </si>
  <si>
    <t>PRINCIPAL</t>
  </si>
  <si>
    <t>INTEREST</t>
  </si>
  <si>
    <t>NOTES AND ASSUMPTIONS</t>
  </si>
  <si>
    <t>[Document key financial planning assumptions here.]
[Use Alt+Enter to start from a new row.]</t>
  </si>
  <si>
    <t>Total Amount Payable</t>
  </si>
  <si>
    <t>Gross margin %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</si>
  <si>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</si>
  <si>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</si>
  <si>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</si>
  <si>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</si>
  <si>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</si>
  <si>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</si>
  <si>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</si>
  <si>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</si>
  <si>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</si>
  <si>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</si>
  <si>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</si>
  <si>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</si>
  <si>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Opening Cash</t>
  </si>
  <si>
    <t>Cash in</t>
  </si>
  <si>
    <t>Monthly seasonal factors (total 100)</t>
  </si>
  <si>
    <t>Monthly forecast sales</t>
  </si>
  <si>
    <t xml:space="preserve">Cash in from current month sales </t>
  </si>
  <si>
    <t xml:space="preserve">Cash in from prior month sales </t>
  </si>
  <si>
    <t xml:space="preserve">Cash in from 2 month prior sales </t>
  </si>
  <si>
    <t>Cash from prior year sales</t>
  </si>
  <si>
    <t xml:space="preserve">Cash in from 3+ month prior sales </t>
  </si>
  <si>
    <t>Monthly cost of sales</t>
  </si>
  <si>
    <t>Average collection period (Months, 1,2, 3)</t>
  </si>
  <si>
    <t>Ave payment period (mths, 1, 2, 3)</t>
  </si>
  <si>
    <t>Other Income</t>
  </si>
  <si>
    <t>Cash Out</t>
  </si>
  <si>
    <t>Expenses</t>
  </si>
  <si>
    <t>Tax payable</t>
  </si>
  <si>
    <t>Total sales cash in</t>
  </si>
  <si>
    <t>Product, Service, Region or BU 1</t>
  </si>
  <si>
    <t>Product, Service, Region or BU 2</t>
  </si>
  <si>
    <t>Product, Service, Region or BU 3</t>
  </si>
  <si>
    <t>Product, Service, Region or BU 4</t>
  </si>
  <si>
    <t>Units sold 
Year 1</t>
  </si>
  <si>
    <t>Annual volume growth %</t>
  </si>
  <si>
    <t>Annual price changes %</t>
  </si>
  <si>
    <t>revenue 
year 1</t>
  </si>
  <si>
    <t>Year 1 cost of 
goods sold</t>
  </si>
  <si>
    <t>One off Expenses</t>
  </si>
  <si>
    <t>Net operating profit</t>
  </si>
  <si>
    <t>PROFIT AND LOSS</t>
  </si>
  <si>
    <t>INFLATION RATE FOR EXPENSES</t>
  </si>
  <si>
    <t>Expense cost inflation</t>
  </si>
  <si>
    <t>Net Margin %</t>
  </si>
  <si>
    <t>PROFIT BEFORE TAX</t>
  </si>
  <si>
    <t xml:space="preserve">DIVIDEND RATE </t>
  </si>
  <si>
    <t>Dividend as % of profit after tax</t>
  </si>
  <si>
    <t>Dividends payable</t>
  </si>
  <si>
    <t>RETAINED PROFIT</t>
  </si>
  <si>
    <t>WORKING CAPITAL MANAGEMENT</t>
  </si>
  <si>
    <t>Receivables Days</t>
  </si>
  <si>
    <t>Payables Days</t>
  </si>
  <si>
    <t>Inventory Days</t>
  </si>
  <si>
    <t>Profit Tax</t>
  </si>
  <si>
    <t>Tax Due</t>
  </si>
  <si>
    <t>Tax credit</t>
  </si>
  <si>
    <t>Dividends Due</t>
  </si>
  <si>
    <t>Buildings at cost</t>
  </si>
  <si>
    <t>Land at cost</t>
  </si>
  <si>
    <t>CAPITAL EXPENDITURE</t>
  </si>
  <si>
    <t>Tax paid</t>
  </si>
  <si>
    <t>Profit before tax</t>
  </si>
  <si>
    <t>Tax Credits</t>
  </si>
  <si>
    <t>Sales volumes (units)</t>
  </si>
  <si>
    <t>Direct costs</t>
  </si>
  <si>
    <t>Gross profit</t>
  </si>
  <si>
    <t>Gross Profit per Unit</t>
  </si>
  <si>
    <t>Monthly Payment</t>
  </si>
  <si>
    <t>Sales and Marketing as % or sales revenues</t>
  </si>
  <si>
    <t>Sales &amp; Marketing</t>
  </si>
  <si>
    <t xml:space="preserve">Average management and admin salaries p.a. </t>
  </si>
  <si>
    <t xml:space="preserve">Number of management and admin staff </t>
  </si>
  <si>
    <t>Annual pay increase mgt and admin staff</t>
  </si>
  <si>
    <t>Staff costs</t>
  </si>
  <si>
    <t>Capital equipment</t>
  </si>
  <si>
    <t>Non-operating Expenses</t>
  </si>
  <si>
    <t xml:space="preserve">Other Tax </t>
  </si>
  <si>
    <t>Sales receipts</t>
  </si>
  <si>
    <t>Year end debtors</t>
  </si>
  <si>
    <t>Cash out for current month COS</t>
  </si>
  <si>
    <t>Cash out for prior month COS</t>
  </si>
  <si>
    <t>Cash out for 3 months prior COS</t>
  </si>
  <si>
    <t>Cash out of 2 month prior COS</t>
  </si>
  <si>
    <t>Cash out for prior year COS</t>
  </si>
  <si>
    <t>Total COS cash out</t>
  </si>
  <si>
    <t>Yr end creditors</t>
  </si>
  <si>
    <t>For simplicity Assumes opening trade debtors and creditors paid in month 1</t>
  </si>
  <si>
    <t>Note: Opening retained earnings used as balancing item to ensure opening BS balances</t>
  </si>
  <si>
    <t>Diff check</t>
  </si>
  <si>
    <t>Closing Cash</t>
  </si>
  <si>
    <t>9 mths after yr end</t>
  </si>
  <si>
    <t>Dividend payable</t>
  </si>
  <si>
    <t>3 mths after yr end</t>
  </si>
  <si>
    <t>Y</t>
  </si>
  <si>
    <t>N</t>
  </si>
  <si>
    <t>Interest and debt repayments</t>
  </si>
  <si>
    <t>Capital expenditure</t>
  </si>
  <si>
    <t>Assumed end of year</t>
  </si>
  <si>
    <t>Purchases</t>
  </si>
  <si>
    <t>Changes in inventory</t>
  </si>
  <si>
    <t>COS</t>
  </si>
  <si>
    <t>opening stock</t>
  </si>
  <si>
    <t>closing stock</t>
  </si>
  <si>
    <t>Cash spent</t>
  </si>
  <si>
    <t>Yr end creds</t>
  </si>
  <si>
    <t>Opening creds</t>
  </si>
  <si>
    <t>TOTAL OF FORECASTED REVENUE YEAR 1</t>
  </si>
  <si>
    <t>PRODUCT PRICE and VOLUME TRENDS</t>
  </si>
  <si>
    <t>TOTAL COST OF GOODS SOLD YEAR 1</t>
  </si>
  <si>
    <t>% of capital equipment costs</t>
  </si>
  <si>
    <t>Annual Capital expenditure</t>
  </si>
  <si>
    <t xml:space="preserve">Rent and rates </t>
  </si>
  <si>
    <t>INPUTS</t>
  </si>
  <si>
    <t>SECTOR PROFITABILITY</t>
  </si>
  <si>
    <t>New equity</t>
  </si>
  <si>
    <t>New Preferred stock</t>
  </si>
  <si>
    <t>Seasonal factors</t>
  </si>
  <si>
    <t>Spread evenly over year</t>
  </si>
  <si>
    <t>MONTHLY CASH FLOW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</si>
</sst>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164" formatCode="_-* #,##0_-;\-* #,##0_-;_-* &quot;-&quot;_-;_-@_-"/>
    <numFmt numFmtId="165" formatCode="_-* #,##0.00_-;\-* #,##0.00_-;_-* &quot;-&quot;??_-;_-@_-"/>
    <numFmt numFmtId="166" formatCode="&quot;$&quot;#,##0"/>
    <numFmt numFmtId="167" formatCode="[$$-409]#,##0"/>
    <numFmt numFmtId="168" formatCode="_-* #,##0.00_-;[Red]\-* #,##0.00_-;_-* &quot;-&quot;??_-;_-@_-"/>
    <numFmt numFmtId="169" formatCode="0.00%_)"/>
    <numFmt numFmtId="170" formatCode="_-* #,##0_-;\-* #,##0_-;_-* &quot;-&quot;??_-;_-@_-"/>
    <numFmt numFmtId="171" formatCode="_-* #,##0_-;[Red]\-* #,##0_-;_-* &quot;-&quot;??_-;_-@_-"/>
  </numFmts>
  <fonts count="37" x14ac:knownFonts="1">
    <font>
      <sz val="10"/>
      <name val="Arial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sz val="10"/>
      <color indexed="63"/>
      <name val="Arial"/>
      <family val="2"/>
    </font>
    <font>
      <sz val="14"/>
      <name val="Arial"/>
      <family val="2"/>
    </font>
    <font>
      <sz val="10"/>
      <color indexed="47"/>
      <name val="Arial"/>
      <family val="2"/>
    </font>
    <font>
      <sz val="2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/>
      <diagonal/>
    </border>
    <border>
      <left style="hair">
        <color indexed="55"/>
      </left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hair">
        <color indexed="55"/>
      </right>
      <top/>
      <bottom/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/>
      <top/>
      <bottom style="thick">
        <color indexed="1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5" borderId="1" applyNumberFormat="0" applyAlignment="0" applyProtection="0"/>
    <xf numFmtId="0" fontId="10" fillId="14" borderId="2" applyNumberFormat="0" applyAlignment="0" applyProtection="0"/>
    <xf numFmtId="0" fontId="11" fillId="0" borderId="0" applyNumberFormat="0" applyFill="0" applyBorder="0" applyAlignment="0" applyProtection="0"/>
    <xf numFmtId="0" fontId="12" fillId="15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1" applyNumberFormat="0" applyAlignment="0" applyProtection="0"/>
    <xf numFmtId="0" fontId="17" fillId="0" borderId="6" applyNumberFormat="0" applyFill="0" applyAlignment="0" applyProtection="0"/>
    <xf numFmtId="0" fontId="18" fillId="7" borderId="0" applyNumberFormat="0" applyBorder="0" applyAlignment="0" applyProtection="0"/>
    <xf numFmtId="0" fontId="1" fillId="4" borderId="7" applyNumberFormat="0" applyFont="0" applyAlignment="0" applyProtection="0"/>
    <xf numFmtId="0" fontId="19" fillId="5" borderId="8" applyNumberFormat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218">
    <xf numFmtId="0" fontId="0" fillId="0" borderId="0" xfId="0"/>
    <xf numFmtId="0" fontId="0" fillId="16" borderId="0" xfId="0" applyFill="1" applyAlignment="1">
      <alignment vertical="center"/>
    </xf>
    <xf numFmtId="0" fontId="23" fillId="16" borderId="0" xfId="0" applyFont="1" applyFill="1" applyAlignment="1">
      <alignment horizontal="right" vertical="center"/>
    </xf>
    <xf numFmtId="0" fontId="0" fillId="16" borderId="0" xfId="0" applyFill="1" applyAlignment="1">
      <alignment horizontal="center" vertical="center"/>
    </xf>
    <xf numFmtId="0" fontId="23" fillId="16" borderId="0" xfId="0" applyFont="1" applyFill="1" applyAlignment="1">
      <alignment vertical="center"/>
    </xf>
    <xf numFmtId="9" fontId="0" fillId="16" borderId="0" xfId="0" applyNumberFormat="1" applyFill="1" applyAlignment="1">
      <alignment horizontal="center" vertical="center"/>
    </xf>
    <xf numFmtId="0" fontId="23" fillId="16" borderId="0" xfId="0" applyFont="1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27" fillId="17" borderId="0" xfId="0" applyFont="1" applyFill="1" applyAlignment="1">
      <alignment vertical="center"/>
    </xf>
    <xf numFmtId="9" fontId="27" fillId="17" borderId="0" xfId="0" applyNumberFormat="1" applyFont="1" applyFill="1" applyAlignment="1">
      <alignment horizontal="center" vertical="center"/>
    </xf>
    <xf numFmtId="38" fontId="28" fillId="17" borderId="0" xfId="0" applyNumberFormat="1" applyFont="1" applyFill="1" applyAlignment="1">
      <alignment horizontal="center" vertical="center"/>
    </xf>
    <xf numFmtId="9" fontId="28" fillId="17" borderId="0" xfId="0" applyNumberFormat="1" applyFont="1" applyFill="1" applyAlignment="1">
      <alignment horizontal="center" vertical="center"/>
    </xf>
    <xf numFmtId="6" fontId="28" fillId="17" borderId="0" xfId="0" applyNumberFormat="1" applyFont="1" applyFill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18" borderId="11" xfId="0" applyFill="1" applyBorder="1" applyAlignment="1">
      <alignment vertical="center"/>
    </xf>
    <xf numFmtId="165" fontId="0" fillId="18" borderId="11" xfId="0" applyNumberFormat="1" applyFill="1" applyBorder="1" applyAlignment="1">
      <alignment vertical="center"/>
    </xf>
    <xf numFmtId="0" fontId="26" fillId="18" borderId="11" xfId="0" applyFont="1" applyFill="1" applyBorder="1" applyAlignment="1">
      <alignment horizontal="left" vertical="center"/>
    </xf>
    <xf numFmtId="9" fontId="23" fillId="0" borderId="10" xfId="0" applyNumberFormat="1" applyFont="1" applyBorder="1" applyAlignment="1">
      <alignment horizontal="center" vertical="center"/>
    </xf>
    <xf numFmtId="38" fontId="23" fillId="0" borderId="10" xfId="0" applyNumberFormat="1" applyFont="1" applyBorder="1" applyAlignment="1">
      <alignment horizontal="center" vertical="center"/>
    </xf>
    <xf numFmtId="165" fontId="0" fillId="16" borderId="0" xfId="0" applyNumberFormat="1" applyFill="1" applyAlignment="1">
      <alignment horizontal="center" vertical="center"/>
    </xf>
    <xf numFmtId="0" fontId="23" fillId="16" borderId="0" xfId="0" applyFont="1" applyFill="1" applyAlignment="1">
      <alignment horizontal="left" vertical="center" indent="1"/>
    </xf>
    <xf numFmtId="0" fontId="23" fillId="16" borderId="0" xfId="0" applyFont="1" applyFill="1" applyAlignment="1">
      <alignment horizontal="left" vertical="center" wrapText="1" indent="1"/>
    </xf>
    <xf numFmtId="0" fontId="26" fillId="16" borderId="0" xfId="0" applyFont="1" applyFill="1" applyAlignment="1">
      <alignment vertical="center"/>
    </xf>
    <xf numFmtId="6" fontId="5" fillId="16" borderId="0" xfId="0" applyNumberFormat="1" applyFont="1" applyFill="1" applyAlignment="1">
      <alignment horizontal="center" vertical="center"/>
    </xf>
    <xf numFmtId="9" fontId="23" fillId="16" borderId="0" xfId="0" applyNumberFormat="1" applyFont="1" applyFill="1" applyAlignment="1">
      <alignment horizontal="center" vertical="center"/>
    </xf>
    <xf numFmtId="9" fontId="5" fillId="16" borderId="0" xfId="0" applyNumberFormat="1" applyFont="1" applyFill="1" applyAlignment="1">
      <alignment horizontal="center" vertical="center"/>
    </xf>
    <xf numFmtId="38" fontId="23" fillId="16" borderId="0" xfId="0" applyNumberFormat="1" applyFont="1" applyFill="1" applyAlignment="1">
      <alignment horizontal="center" vertical="center"/>
    </xf>
    <xf numFmtId="38" fontId="5" fillId="16" borderId="0" xfId="0" applyNumberFormat="1" applyFont="1" applyFill="1" applyAlignment="1">
      <alignment horizontal="center" vertical="center"/>
    </xf>
    <xf numFmtId="9" fontId="26" fillId="16" borderId="0" xfId="0" applyNumberFormat="1" applyFont="1" applyFill="1" applyAlignment="1">
      <alignment horizontal="center" vertical="center"/>
    </xf>
    <xf numFmtId="0" fontId="0" fillId="16" borderId="0" xfId="0" applyFill="1" applyAlignment="1">
      <alignment horizontal="left" vertical="center" indent="1"/>
    </xf>
    <xf numFmtId="0" fontId="23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right" vertical="center"/>
    </xf>
    <xf numFmtId="0" fontId="23" fillId="17" borderId="0" xfId="0" applyFont="1" applyFill="1" applyAlignment="1">
      <alignment vertical="center"/>
    </xf>
    <xf numFmtId="0" fontId="31" fillId="17" borderId="0" xfId="0" applyFont="1" applyFill="1" applyAlignment="1">
      <alignment vertical="center"/>
    </xf>
    <xf numFmtId="167" fontId="31" fillId="17" borderId="0" xfId="0" applyNumberFormat="1" applyFont="1" applyFill="1" applyAlignment="1">
      <alignment horizontal="right" vertical="center"/>
    </xf>
    <xf numFmtId="0" fontId="24" fillId="19" borderId="0" xfId="0" applyFont="1" applyFill="1" applyAlignment="1">
      <alignment vertical="center"/>
    </xf>
    <xf numFmtId="6" fontId="23" fillId="20" borderId="0" xfId="0" applyNumberFormat="1" applyFont="1" applyFill="1" applyAlignment="1">
      <alignment horizontal="right" vertical="center"/>
    </xf>
    <xf numFmtId="0" fontId="23" fillId="20" borderId="0" xfId="0" applyFont="1" applyFill="1" applyAlignment="1">
      <alignment vertical="center"/>
    </xf>
    <xf numFmtId="167" fontId="23" fillId="20" borderId="0" xfId="0" applyNumberFormat="1" applyFont="1" applyFill="1" applyAlignment="1">
      <alignment horizontal="right" vertical="center"/>
    </xf>
    <xf numFmtId="6" fontId="23" fillId="16" borderId="0" xfId="0" applyNumberFormat="1" applyFont="1" applyFill="1" applyAlignment="1">
      <alignment horizontal="right" vertical="center"/>
    </xf>
    <xf numFmtId="167" fontId="23" fillId="16" borderId="0" xfId="0" applyNumberFormat="1" applyFont="1" applyFill="1" applyAlignment="1">
      <alignment horizontal="right" vertical="center"/>
    </xf>
    <xf numFmtId="0" fontId="26" fillId="18" borderId="11" xfId="0" applyFont="1" applyFill="1" applyBorder="1" applyAlignment="1">
      <alignment vertical="center"/>
    </xf>
    <xf numFmtId="0" fontId="23" fillId="18" borderId="11" xfId="0" applyFont="1" applyFill="1" applyBorder="1" applyAlignment="1">
      <alignment vertical="center"/>
    </xf>
    <xf numFmtId="168" fontId="23" fillId="16" borderId="0" xfId="0" applyNumberFormat="1" applyFont="1" applyFill="1" applyAlignment="1">
      <alignment horizontal="right" vertical="center"/>
    </xf>
    <xf numFmtId="168" fontId="23" fillId="20" borderId="0" xfId="0" applyNumberFormat="1" applyFont="1" applyFill="1" applyAlignment="1">
      <alignment horizontal="right" vertical="center"/>
    </xf>
    <xf numFmtId="168" fontId="23" fillId="0" borderId="13" xfId="0" applyNumberFormat="1" applyFont="1" applyBorder="1" applyAlignment="1">
      <alignment horizontal="right" vertical="center"/>
    </xf>
    <xf numFmtId="0" fontId="3" fillId="20" borderId="0" xfId="0" applyFont="1" applyFill="1" applyAlignment="1">
      <alignment horizontal="left" vertical="center" indent="1"/>
    </xf>
    <xf numFmtId="0" fontId="23" fillId="16" borderId="0" xfId="0" applyFont="1" applyFill="1" applyAlignment="1">
      <alignment horizontal="left" vertical="center" indent="2"/>
    </xf>
    <xf numFmtId="0" fontId="27" fillId="19" borderId="0" xfId="0" applyFont="1" applyFill="1" applyAlignment="1">
      <alignment vertical="center"/>
    </xf>
    <xf numFmtId="0" fontId="27" fillId="21" borderId="0" xfId="0" applyFont="1" applyFill="1" applyAlignment="1">
      <alignment vertical="center"/>
    </xf>
    <xf numFmtId="0" fontId="24" fillId="21" borderId="0" xfId="0" applyFont="1" applyFill="1" applyAlignment="1">
      <alignment vertical="center"/>
    </xf>
    <xf numFmtId="0" fontId="23" fillId="22" borderId="0" xfId="0" applyFont="1" applyFill="1" applyAlignment="1">
      <alignment vertical="center"/>
    </xf>
    <xf numFmtId="10" fontId="23" fillId="22" borderId="0" xfId="0" applyNumberFormat="1" applyFont="1" applyFill="1" applyAlignment="1">
      <alignment horizontal="center" vertical="center"/>
    </xf>
    <xf numFmtId="0" fontId="32" fillId="0" borderId="0" xfId="0" applyFont="1" applyAlignment="1">
      <alignment vertical="center"/>
    </xf>
    <xf numFmtId="167" fontId="23" fillId="16" borderId="0" xfId="0" applyNumberFormat="1" applyFont="1" applyFill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14" fontId="31" fillId="17" borderId="0" xfId="0" applyNumberFormat="1" applyFont="1" applyFill="1" applyAlignment="1">
      <alignment horizontal="right" vertical="center"/>
    </xf>
    <xf numFmtId="14" fontId="31" fillId="17" borderId="0" xfId="0" applyNumberFormat="1" applyFont="1" applyFill="1" applyAlignment="1">
      <alignment horizontal="center" vertical="center"/>
    </xf>
    <xf numFmtId="167" fontId="31" fillId="17" borderId="0" xfId="0" applyNumberFormat="1" applyFont="1" applyFill="1" applyAlignment="1">
      <alignment horizontal="center" vertical="center"/>
    </xf>
    <xf numFmtId="168" fontId="23" fillId="0" borderId="0" xfId="0" applyNumberFormat="1" applyFont="1" applyAlignment="1">
      <alignment vertical="center"/>
    </xf>
    <xf numFmtId="167" fontId="23" fillId="20" borderId="0" xfId="0" applyNumberFormat="1" applyFont="1" applyFill="1" applyAlignment="1">
      <alignment horizontal="center" vertical="center"/>
    </xf>
    <xf numFmtId="0" fontId="27" fillId="16" borderId="0" xfId="0" applyFont="1" applyFill="1" applyAlignment="1">
      <alignment vertical="center"/>
    </xf>
    <xf numFmtId="167" fontId="31" fillId="16" borderId="0" xfId="0" applyNumberFormat="1" applyFont="1" applyFill="1" applyAlignment="1">
      <alignment horizontal="right" vertical="center"/>
    </xf>
    <xf numFmtId="167" fontId="31" fillId="16" borderId="0" xfId="0" applyNumberFormat="1" applyFont="1" applyFill="1" applyAlignment="1">
      <alignment horizontal="center" vertical="center"/>
    </xf>
    <xf numFmtId="0" fontId="23" fillId="18" borderId="16" xfId="0" applyFont="1" applyFill="1" applyBorder="1" applyAlignment="1">
      <alignment vertical="center"/>
    </xf>
    <xf numFmtId="0" fontId="26" fillId="18" borderId="16" xfId="0" applyFont="1" applyFill="1" applyBorder="1" applyAlignment="1">
      <alignment vertical="center"/>
    </xf>
    <xf numFmtId="168" fontId="23" fillId="0" borderId="0" xfId="0" applyNumberFormat="1" applyFont="1" applyAlignment="1">
      <alignment horizontal="right" vertical="center"/>
    </xf>
    <xf numFmtId="14" fontId="23" fillId="20" borderId="0" xfId="0" applyNumberFormat="1" applyFont="1" applyFill="1" applyAlignment="1">
      <alignment horizontal="center" vertical="center"/>
    </xf>
    <xf numFmtId="168" fontId="23" fillId="0" borderId="0" xfId="39" applyNumberFormat="1" applyFont="1" applyAlignment="1">
      <alignment horizontal="right" vertical="center"/>
    </xf>
    <xf numFmtId="0" fontId="24" fillId="17" borderId="0" xfId="0" applyFont="1" applyFill="1" applyAlignment="1">
      <alignment horizontal="center" vertical="center"/>
    </xf>
    <xf numFmtId="168" fontId="24" fillId="17" borderId="0" xfId="0" applyNumberFormat="1" applyFont="1" applyFill="1" applyAlignment="1">
      <alignment horizontal="center" vertical="center"/>
    </xf>
    <xf numFmtId="0" fontId="24" fillId="17" borderId="0" xfId="0" applyFont="1" applyFill="1" applyAlignment="1">
      <alignment vertical="center"/>
    </xf>
    <xf numFmtId="38" fontId="23" fillId="0" borderId="0" xfId="0" applyNumberFormat="1" applyFont="1" applyAlignment="1">
      <alignment vertical="center" wrapText="1"/>
    </xf>
    <xf numFmtId="0" fontId="32" fillId="0" borderId="25" xfId="0" applyFont="1" applyBorder="1" applyAlignment="1">
      <alignment vertical="center"/>
    </xf>
    <xf numFmtId="0" fontId="32" fillId="0" borderId="25" xfId="0" applyFont="1" applyBorder="1" applyAlignment="1">
      <alignment horizontal="left" vertical="center"/>
    </xf>
    <xf numFmtId="168" fontId="30" fillId="0" borderId="25" xfId="0" applyNumberFormat="1" applyFont="1" applyBorder="1" applyAlignment="1">
      <alignment vertical="center"/>
    </xf>
    <xf numFmtId="0" fontId="30" fillId="0" borderId="25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164" fontId="23" fillId="0" borderId="10" xfId="0" applyNumberFormat="1" applyFont="1" applyBorder="1" applyAlignment="1">
      <alignment horizontal="center" vertical="center"/>
    </xf>
    <xf numFmtId="169" fontId="23" fillId="0" borderId="10" xfId="39" applyNumberFormat="1" applyFont="1" applyBorder="1" applyAlignment="1">
      <alignment horizontal="right" vertical="center"/>
    </xf>
    <xf numFmtId="169" fontId="23" fillId="16" borderId="0" xfId="39" applyNumberFormat="1" applyFont="1" applyFill="1" applyAlignment="1">
      <alignment horizontal="right" vertical="center"/>
    </xf>
    <xf numFmtId="0" fontId="24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6" fillId="18" borderId="11" xfId="0" quotePrefix="1" applyFont="1" applyFill="1" applyBorder="1" applyAlignment="1">
      <alignment horizontal="left" vertical="center"/>
    </xf>
    <xf numFmtId="0" fontId="23" fillId="16" borderId="0" xfId="0" quotePrefix="1" applyFont="1" applyFill="1" applyAlignment="1">
      <alignment horizontal="left" vertical="center" indent="1"/>
    </xf>
    <xf numFmtId="170" fontId="23" fillId="16" borderId="0" xfId="0" applyNumberFormat="1" applyFont="1" applyFill="1" applyAlignment="1">
      <alignment horizontal="center" vertical="center"/>
    </xf>
    <xf numFmtId="170" fontId="23" fillId="18" borderId="11" xfId="0" applyNumberFormat="1" applyFont="1" applyFill="1" applyBorder="1" applyAlignment="1">
      <alignment horizontal="center" vertical="center"/>
    </xf>
    <xf numFmtId="171" fontId="23" fillId="0" borderId="10" xfId="0" applyNumberFormat="1" applyFont="1" applyBorder="1" applyAlignment="1">
      <alignment horizontal="center" vertical="center"/>
    </xf>
    <xf numFmtId="171" fontId="23" fillId="16" borderId="0" xfId="0" applyNumberFormat="1" applyFont="1" applyFill="1" applyAlignment="1">
      <alignment horizontal="center" vertical="center"/>
    </xf>
    <xf numFmtId="171" fontId="23" fillId="16" borderId="0" xfId="0" applyNumberFormat="1" applyFont="1" applyFill="1" applyAlignment="1">
      <alignment horizontal="right" vertical="center"/>
    </xf>
    <xf numFmtId="171" fontId="23" fillId="20" borderId="0" xfId="0" applyNumberFormat="1" applyFont="1" applyFill="1" applyAlignment="1">
      <alignment horizontal="right" vertical="center"/>
    </xf>
    <xf numFmtId="171" fontId="23" fillId="16" borderId="0" xfId="0" applyNumberFormat="1" applyFont="1" applyFill="1" applyAlignment="1">
      <alignment vertical="center"/>
    </xf>
    <xf numFmtId="171" fontId="23" fillId="0" borderId="0" xfId="0" applyNumberFormat="1" applyFont="1" applyAlignment="1">
      <alignment horizontal="right" vertical="center"/>
    </xf>
    <xf numFmtId="171" fontId="24" fillId="19" borderId="0" xfId="0" applyNumberFormat="1" applyFont="1" applyFill="1" applyAlignment="1">
      <alignment horizontal="right" vertical="center"/>
    </xf>
    <xf numFmtId="171" fontId="23" fillId="18" borderId="11" xfId="0" applyNumberFormat="1" applyFont="1" applyFill="1" applyBorder="1" applyAlignment="1">
      <alignment horizontal="right" vertical="center"/>
    </xf>
    <xf numFmtId="171" fontId="23" fillId="0" borderId="13" xfId="0" applyNumberFormat="1" applyFont="1" applyBorder="1" applyAlignment="1">
      <alignment horizontal="right" vertical="center"/>
    </xf>
    <xf numFmtId="171" fontId="23" fillId="20" borderId="0" xfId="0" applyNumberFormat="1" applyFont="1" applyFill="1" applyAlignment="1">
      <alignment horizontal="center" vertical="center"/>
    </xf>
    <xf numFmtId="171" fontId="23" fillId="18" borderId="16" xfId="0" applyNumberFormat="1" applyFont="1" applyFill="1" applyBorder="1" applyAlignment="1">
      <alignment horizontal="right" vertical="center"/>
    </xf>
    <xf numFmtId="0" fontId="34" fillId="0" borderId="0" xfId="0" applyFont="1"/>
    <xf numFmtId="0" fontId="3" fillId="20" borderId="0" xfId="0" quotePrefix="1" applyFont="1" applyFill="1" applyAlignment="1">
      <alignment horizontal="left" vertical="center" indent="1"/>
    </xf>
    <xf numFmtId="0" fontId="0" fillId="23" borderId="0" xfId="0" applyFill="1"/>
    <xf numFmtId="0" fontId="23" fillId="23" borderId="0" xfId="0" applyFont="1" applyFill="1"/>
    <xf numFmtId="0" fontId="23" fillId="23" borderId="0" xfId="0" quotePrefix="1" applyFont="1" applyFill="1" applyAlignment="1">
      <alignment horizontal="left"/>
    </xf>
    <xf numFmtId="0" fontId="34" fillId="23" borderId="0" xfId="0" applyFont="1" applyFill="1"/>
    <xf numFmtId="0" fontId="23" fillId="23" borderId="0" xfId="0" applyFont="1" applyFill="1" applyAlignment="1">
      <alignment horizontal="left"/>
    </xf>
    <xf numFmtId="0" fontId="0" fillId="23" borderId="0" xfId="0" quotePrefix="1" applyFill="1" applyAlignment="1">
      <alignment horizontal="left"/>
    </xf>
    <xf numFmtId="1" fontId="0" fillId="23" borderId="0" xfId="0" applyNumberFormat="1" applyFill="1"/>
    <xf numFmtId="0" fontId="23" fillId="23" borderId="0" xfId="0" quotePrefix="1" applyFont="1" applyFill="1" applyAlignment="1">
      <alignment horizontal="right"/>
    </xf>
    <xf numFmtId="0" fontId="3" fillId="23" borderId="0" xfId="0" applyFont="1" applyFill="1"/>
    <xf numFmtId="0" fontId="0" fillId="0" borderId="26" xfId="0" applyBorder="1"/>
    <xf numFmtId="0" fontId="23" fillId="16" borderId="0" xfId="0" quotePrefix="1" applyFont="1" applyFill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23" fillId="16" borderId="0" xfId="0" quotePrefix="1" applyFont="1" applyFill="1" applyAlignment="1">
      <alignment horizontal="right" vertical="center" wrapText="1"/>
    </xf>
    <xf numFmtId="0" fontId="23" fillId="16" borderId="0" xfId="0" applyFont="1" applyFill="1" applyAlignment="1">
      <alignment horizontal="right" vertical="center" wrapText="1"/>
    </xf>
    <xf numFmtId="0" fontId="23" fillId="16" borderId="0" xfId="0" applyFont="1" applyFill="1" applyAlignment="1">
      <alignment horizontal="right" vertical="center" wrapText="1" indent="1"/>
    </xf>
    <xf numFmtId="0" fontId="0" fillId="16" borderId="0" xfId="0" applyFill="1" applyAlignment="1">
      <alignment horizontal="right" vertical="center"/>
    </xf>
    <xf numFmtId="9" fontId="0" fillId="18" borderId="11" xfId="39" applyFont="1" applyFill="1" applyBorder="1" applyAlignment="1">
      <alignment horizontal="center" vertical="center"/>
    </xf>
    <xf numFmtId="0" fontId="27" fillId="17" borderId="0" xfId="0" quotePrefix="1" applyFont="1" applyFill="1" applyAlignment="1">
      <alignment horizontal="left" vertical="center"/>
    </xf>
    <xf numFmtId="9" fontId="23" fillId="0" borderId="0" xfId="39" applyFont="1" applyAlignment="1">
      <alignment horizontal="right" vertical="center"/>
    </xf>
    <xf numFmtId="0" fontId="23" fillId="16" borderId="0" xfId="0" quotePrefix="1" applyFont="1" applyFill="1" applyAlignment="1">
      <alignment horizontal="left" vertical="center" indent="2"/>
    </xf>
    <xf numFmtId="0" fontId="27" fillId="21" borderId="0" xfId="0" quotePrefix="1" applyFont="1" applyFill="1" applyAlignment="1">
      <alignment horizontal="left" vertical="center"/>
    </xf>
    <xf numFmtId="9" fontId="23" fillId="0" borderId="0" xfId="39" applyFont="1" applyAlignment="1">
      <alignment vertical="center"/>
    </xf>
    <xf numFmtId="171" fontId="31" fillId="17" borderId="0" xfId="0" applyNumberFormat="1" applyFont="1" applyFill="1" applyAlignment="1">
      <alignment horizontal="right" vertical="center"/>
    </xf>
    <xf numFmtId="171" fontId="23" fillId="0" borderId="0" xfId="0" applyNumberFormat="1" applyFont="1" applyAlignment="1">
      <alignment vertical="center"/>
    </xf>
    <xf numFmtId="0" fontId="23" fillId="24" borderId="0" xfId="0" applyFont="1" applyFill="1" applyAlignment="1">
      <alignment vertical="center"/>
    </xf>
    <xf numFmtId="0" fontId="23" fillId="20" borderId="30" xfId="0" applyFont="1" applyFill="1" applyBorder="1" applyAlignment="1">
      <alignment horizontal="center" vertical="center"/>
    </xf>
    <xf numFmtId="0" fontId="23" fillId="16" borderId="31" xfId="0" applyFont="1" applyFill="1" applyBorder="1" applyAlignment="1">
      <alignment horizontal="right" vertical="center"/>
    </xf>
    <xf numFmtId="168" fontId="23" fillId="16" borderId="31" xfId="0" applyNumberFormat="1" applyFont="1" applyFill="1" applyBorder="1" applyAlignment="1">
      <alignment horizontal="right" vertical="center"/>
    </xf>
    <xf numFmtId="168" fontId="23" fillId="0" borderId="31" xfId="0" applyNumberFormat="1" applyFont="1" applyBorder="1" applyAlignment="1">
      <alignment horizontal="right" vertical="center"/>
    </xf>
    <xf numFmtId="0" fontId="23" fillId="20" borderId="31" xfId="0" applyFont="1" applyFill="1" applyBorder="1" applyAlignment="1">
      <alignment horizontal="center" vertical="center"/>
    </xf>
    <xf numFmtId="171" fontId="23" fillId="16" borderId="31" xfId="0" applyNumberFormat="1" applyFont="1" applyFill="1" applyBorder="1" applyAlignment="1">
      <alignment horizontal="right" vertical="center"/>
    </xf>
    <xf numFmtId="171" fontId="23" fillId="0" borderId="29" xfId="0" applyNumberFormat="1" applyFont="1" applyBorder="1" applyAlignment="1">
      <alignment horizontal="right" vertical="center"/>
    </xf>
    <xf numFmtId="171" fontId="23" fillId="20" borderId="31" xfId="0" applyNumberFormat="1" applyFont="1" applyFill="1" applyBorder="1" applyAlignment="1">
      <alignment horizontal="right" vertical="center"/>
    </xf>
    <xf numFmtId="171" fontId="23" fillId="0" borderId="31" xfId="0" applyNumberFormat="1" applyFont="1" applyBorder="1" applyAlignment="1">
      <alignment horizontal="right" vertical="center"/>
    </xf>
    <xf numFmtId="171" fontId="23" fillId="20" borderId="31" xfId="0" applyNumberFormat="1" applyFont="1" applyFill="1" applyBorder="1" applyAlignment="1">
      <alignment horizontal="center" vertical="center"/>
    </xf>
    <xf numFmtId="170" fontId="23" fillId="0" borderId="0" xfId="0" applyNumberFormat="1" applyFont="1" applyAlignment="1">
      <alignment vertical="center"/>
    </xf>
    <xf numFmtId="14" fontId="23" fillId="16" borderId="0" xfId="0" applyNumberFormat="1" applyFont="1" applyFill="1" applyAlignment="1">
      <alignment horizontal="right" vertical="center"/>
    </xf>
    <xf numFmtId="1" fontId="0" fillId="0" borderId="10" xfId="0" applyNumberFormat="1" applyBorder="1" applyAlignment="1">
      <alignment horizontal="center" vertical="center"/>
    </xf>
    <xf numFmtId="9" fontId="3" fillId="24" borderId="0" xfId="0" applyNumberFormat="1" applyFont="1" applyFill="1" applyAlignment="1">
      <alignment horizontal="center" vertical="center"/>
    </xf>
    <xf numFmtId="0" fontId="23" fillId="20" borderId="0" xfId="0" applyFont="1" applyFill="1" applyAlignment="1">
      <alignment horizontal="left" vertical="center"/>
    </xf>
    <xf numFmtId="0" fontId="23" fillId="0" borderId="0" xfId="0" applyFont="1"/>
    <xf numFmtId="0" fontId="34" fillId="16" borderId="0" xfId="0" quotePrefix="1" applyFont="1" applyFill="1" applyAlignment="1">
      <alignment horizontal="left" vertical="center" indent="2"/>
    </xf>
    <xf numFmtId="0" fontId="0" fillId="0" borderId="0" xfId="0" applyAlignment="1">
      <alignment horizontal="right"/>
    </xf>
    <xf numFmtId="1" fontId="23" fillId="23" borderId="0" xfId="0" applyNumberFormat="1" applyFont="1" applyFill="1"/>
    <xf numFmtId="1" fontId="0" fillId="0" borderId="0" xfId="0" applyNumberFormat="1"/>
    <xf numFmtId="1" fontId="0" fillId="25" borderId="0" xfId="0" applyNumberFormat="1" applyFill="1"/>
    <xf numFmtId="0" fontId="23" fillId="25" borderId="0" xfId="0" applyFont="1" applyFill="1"/>
    <xf numFmtId="1" fontId="23" fillId="25" borderId="0" xfId="0" applyNumberFormat="1" applyFont="1" applyFill="1"/>
    <xf numFmtId="0" fontId="0" fillId="25" borderId="0" xfId="0" applyFill="1"/>
    <xf numFmtId="1" fontId="0" fillId="26" borderId="0" xfId="0" applyNumberFormat="1" applyFill="1"/>
    <xf numFmtId="0" fontId="23" fillId="26" borderId="0" xfId="0" applyFont="1" applyFill="1"/>
    <xf numFmtId="1" fontId="23" fillId="26" borderId="0" xfId="0" applyNumberFormat="1" applyFont="1" applyFill="1"/>
    <xf numFmtId="0" fontId="0" fillId="26" borderId="0" xfId="0" applyFill="1"/>
    <xf numFmtId="1" fontId="0" fillId="27" borderId="0" xfId="0" applyNumberFormat="1" applyFill="1"/>
    <xf numFmtId="0" fontId="23" fillId="27" borderId="0" xfId="0" applyFont="1" applyFill="1"/>
    <xf numFmtId="1" fontId="23" fillId="27" borderId="0" xfId="0" applyNumberFormat="1" applyFont="1" applyFill="1"/>
    <xf numFmtId="0" fontId="0" fillId="27" borderId="0" xfId="0" applyFill="1"/>
    <xf numFmtId="1" fontId="0" fillId="28" borderId="0" xfId="0" applyNumberFormat="1" applyFill="1"/>
    <xf numFmtId="0" fontId="23" fillId="28" borderId="0" xfId="0" applyFont="1" applyFill="1"/>
    <xf numFmtId="1" fontId="23" fillId="28" borderId="0" xfId="0" applyNumberFormat="1" applyFont="1" applyFill="1"/>
    <xf numFmtId="0" fontId="0" fillId="28" borderId="0" xfId="0" applyFill="1"/>
    <xf numFmtId="0" fontId="0" fillId="23" borderId="0" xfId="0" applyFill="1" applyAlignment="1">
      <alignment horizontal="right"/>
    </xf>
    <xf numFmtId="0" fontId="34" fillId="0" borderId="0" xfId="0" quotePrefix="1" applyFont="1" applyAlignment="1">
      <alignment horizontal="left"/>
    </xf>
    <xf numFmtId="0" fontId="23" fillId="29" borderId="0" xfId="0" applyFont="1" applyFill="1"/>
    <xf numFmtId="0" fontId="34" fillId="0" borderId="0" xfId="0" applyFont="1" applyAlignment="1">
      <alignment horizontal="left" vertical="center"/>
    </xf>
    <xf numFmtId="0" fontId="0" fillId="25" borderId="0" xfId="0" applyFill="1" applyAlignment="1">
      <alignment horizontal="right"/>
    </xf>
    <xf numFmtId="0" fontId="0" fillId="26" borderId="0" xfId="0" applyFill="1" applyAlignment="1">
      <alignment horizontal="right"/>
    </xf>
    <xf numFmtId="0" fontId="0" fillId="27" borderId="0" xfId="0" applyFill="1" applyAlignment="1">
      <alignment horizontal="right"/>
    </xf>
    <xf numFmtId="0" fontId="0" fillId="28" borderId="0" xfId="0" applyFill="1" applyAlignment="1">
      <alignment horizontal="right"/>
    </xf>
    <xf numFmtId="1" fontId="23" fillId="0" borderId="0" xfId="0" applyNumberFormat="1" applyFont="1" applyAlignment="1">
      <alignment vertical="center"/>
    </xf>
    <xf numFmtId="1" fontId="34" fillId="0" borderId="0" xfId="0" applyNumberFormat="1" applyFont="1"/>
    <xf numFmtId="1" fontId="34" fillId="23" borderId="0" xfId="0" applyNumberFormat="1" applyFont="1" applyFill="1"/>
    <xf numFmtId="0" fontId="23" fillId="0" borderId="13" xfId="0" applyFont="1" applyBorder="1" applyAlignment="1">
      <alignment horizontal="center" vertical="center"/>
    </xf>
    <xf numFmtId="171" fontId="23" fillId="24" borderId="0" xfId="0" applyNumberFormat="1" applyFont="1" applyFill="1" applyAlignment="1">
      <alignment horizontal="right" vertical="center"/>
    </xf>
    <xf numFmtId="0" fontId="33" fillId="0" borderId="25" xfId="0" applyFont="1" applyBorder="1" applyAlignment="1">
      <alignment vertical="center"/>
    </xf>
    <xf numFmtId="171" fontId="3" fillId="20" borderId="0" xfId="0" applyNumberFormat="1" applyFont="1" applyFill="1" applyAlignment="1">
      <alignment horizontal="right" vertical="center"/>
    </xf>
    <xf numFmtId="171" fontId="3" fillId="20" borderId="32" xfId="0" applyNumberFormat="1" applyFont="1" applyFill="1" applyBorder="1" applyAlignment="1">
      <alignment horizontal="right" vertical="center"/>
    </xf>
    <xf numFmtId="0" fontId="23" fillId="23" borderId="0" xfId="0" applyFont="1" applyFill="1" applyAlignment="1">
      <alignment horizontal="right"/>
    </xf>
    <xf numFmtId="1" fontId="0" fillId="23" borderId="33" xfId="0" applyNumberFormat="1" applyFill="1" applyBorder="1"/>
    <xf numFmtId="0" fontId="0" fillId="24" borderId="0" xfId="0" applyFill="1"/>
    <xf numFmtId="0" fontId="23" fillId="24" borderId="0" xfId="0" quotePrefix="1" applyFont="1" applyFill="1" applyAlignment="1">
      <alignment horizontal="left"/>
    </xf>
    <xf numFmtId="1" fontId="0" fillId="24" borderId="0" xfId="0" applyNumberFormat="1" applyFill="1"/>
    <xf numFmtId="0" fontId="23" fillId="24" borderId="0" xfId="0" applyFont="1" applyFill="1"/>
    <xf numFmtId="9" fontId="0" fillId="24" borderId="0" xfId="39" applyFont="1" applyFill="1"/>
    <xf numFmtId="2" fontId="0" fillId="24" borderId="0" xfId="0" applyNumberFormat="1" applyFill="1"/>
    <xf numFmtId="0" fontId="35" fillId="30" borderId="0" xfId="0" applyFont="1" applyFill="1"/>
    <xf numFmtId="0" fontId="36" fillId="30" borderId="0" xfId="0" applyFont="1" applyFill="1" applyAlignment="1">
      <alignment horizontal="left"/>
    </xf>
    <xf numFmtId="0" fontId="3" fillId="29" borderId="0" xfId="0" applyFont="1" applyFill="1"/>
    <xf numFmtId="1" fontId="3" fillId="29" borderId="0" xfId="0" applyNumberFormat="1" applyFont="1" applyFill="1"/>
    <xf numFmtId="1" fontId="3" fillId="31" borderId="0" xfId="0" applyNumberFormat="1" applyFont="1" applyFill="1"/>
    <xf numFmtId="1" fontId="3" fillId="32" borderId="0" xfId="0" applyNumberFormat="1" applyFont="1" applyFill="1"/>
    <xf numFmtId="1" fontId="3" fillId="33" borderId="0" xfId="0" applyNumberFormat="1" applyFont="1" applyFill="1"/>
    <xf numFmtId="1" fontId="3" fillId="34" borderId="0" xfId="0" applyNumberFormat="1" applyFont="1" applyFill="1"/>
    <xf numFmtId="0" fontId="25" fillId="0" borderId="25" xfId="0" quotePrefix="1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7" xfId="0" applyFont="1" applyBorder="1" applyAlignment="1">
      <alignment horizontal="left" vertical="center"/>
    </xf>
    <xf numFmtId="0" fontId="29" fillId="0" borderId="15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top" wrapText="1" indent="1"/>
    </xf>
    <xf numFmtId="0" fontId="23" fillId="0" borderId="19" xfId="0" applyFont="1" applyBorder="1" applyAlignment="1">
      <alignment horizontal="left" vertical="top" wrapText="1" indent="1"/>
    </xf>
    <xf numFmtId="0" fontId="23" fillId="0" borderId="20" xfId="0" applyFont="1" applyBorder="1" applyAlignment="1">
      <alignment horizontal="left" vertical="top" wrapText="1" indent="1"/>
    </xf>
    <xf numFmtId="0" fontId="23" fillId="0" borderId="12" xfId="0" applyFont="1" applyBorder="1" applyAlignment="1">
      <alignment horizontal="left" vertical="top" wrapText="1" indent="1"/>
    </xf>
    <xf numFmtId="0" fontId="23" fillId="0" borderId="0" xfId="0" applyFont="1" applyAlignment="1">
      <alignment horizontal="left" vertical="top" wrapText="1" indent="1"/>
    </xf>
    <xf numFmtId="0" fontId="23" fillId="0" borderId="21" xfId="0" applyFont="1" applyBorder="1" applyAlignment="1">
      <alignment horizontal="left" vertical="top" wrapText="1" indent="1"/>
    </xf>
    <xf numFmtId="0" fontId="23" fillId="0" borderId="22" xfId="0" applyFont="1" applyBorder="1" applyAlignment="1">
      <alignment horizontal="left" vertical="top" wrapText="1" indent="1"/>
    </xf>
    <xf numFmtId="0" fontId="23" fillId="0" borderId="23" xfId="0" applyFont="1" applyBorder="1" applyAlignment="1">
      <alignment horizontal="left" vertical="top" wrapText="1" indent="1"/>
    </xf>
    <xf numFmtId="0" fontId="23" fillId="0" borderId="24" xfId="0" applyFont="1" applyBorder="1" applyAlignment="1">
      <alignment horizontal="left" vertical="top" wrapText="1" inden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 style="thin">
          <color indexed="23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C00"/>
      <rgbColor rgb="00F2F2F2"/>
      <rgbColor rgb="00F26B61"/>
      <rgbColor rgb="00A0CC41"/>
      <rgbColor rgb="00376092"/>
      <rgbColor rgb="00FFF3B9"/>
      <rgbColor rgb="00FFA099"/>
      <rgbColor rgb="00ACD8F1"/>
      <rgbColor rgb="00D9372B"/>
      <rgbColor rgb="006E9912"/>
      <rgbColor rgb="00244062"/>
      <rgbColor rgb="00FFE14F"/>
      <rgbColor rgb="00404040"/>
      <rgbColor rgb="0059B1E2"/>
      <rgbColor rgb="00D9D9D9"/>
      <rgbColor rgb="00A6A6A6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B8CCE4"/>
      <rgbColor rgb="00D6EBF8"/>
      <rgbColor rgb="00BBE560"/>
      <rgbColor rgb="00FFF9DC"/>
      <rgbColor rgb="00DCE6F1"/>
      <rgbColor rgb="00FFCFCC"/>
      <rgbColor rgb="00808080"/>
      <rgbColor rgb="00FFFFFF"/>
      <rgbColor rgb="0095B3D7"/>
      <rgbColor rgb="0083C4E9"/>
      <rgbColor rgb="00FFE772"/>
      <rgbColor rgb="00F0B873"/>
      <rgbColor rgb="00F0AD5B"/>
      <rgbColor rgb="00EFA143"/>
      <rgbColor rgb="00262626"/>
      <rgbColor rgb="00BFBFBF"/>
      <rgbColor rgb="00309DDB"/>
      <rgbColor rgb="0086B327"/>
      <rgbColor rgb="00587F03"/>
      <rgbColor rgb="006D4129"/>
      <rgbColor rgb="00000000"/>
      <rgbColor rgb="00595959"/>
      <rgbColor rgb="000D0D0D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H84"/>
  <sheetViews>
    <sheetView showGridLines="0" tabSelected="1" workbookViewId="0">
      <selection activeCell="N6" sqref="N6"/>
    </sheetView>
  </sheetViews>
  <sheetFormatPr defaultColWidth="9.140625" defaultRowHeight="12.75" x14ac:dyDescent="0.2"/>
  <cols>
    <col min="1" max="1" width="9.140625" style="9"/>
    <col min="2" max="2" width="54.5703125" style="9" customWidth="1"/>
    <col min="3" max="3" width="13.5703125" style="9" customWidth="1"/>
    <col min="4" max="4" width="14.5703125" style="9" customWidth="1"/>
    <col min="5" max="5" width="13.85546875" style="10" customWidth="1"/>
    <col min="6" max="6" width="11.42578125" style="9" customWidth="1"/>
    <col min="7" max="7" width="12.42578125" style="9" customWidth="1"/>
    <col min="8" max="8" width="14.85546875" style="9" customWidth="1"/>
    <col min="9" max="16384" width="9.140625" style="9"/>
  </cols>
  <sheetData>
    <row r="1" spans="2:8" s="8" customFormat="1" ht="35.1" customHeight="1" thickBot="1" x14ac:dyDescent="0.25">
      <c r="B1" s="85" t="s">
        <v>76</v>
      </c>
      <c r="C1" s="184" t="s">
        <v>222</v>
      </c>
      <c r="D1" s="85"/>
      <c r="E1" s="85"/>
      <c r="F1" s="86"/>
      <c r="G1" s="86"/>
    </row>
    <row r="2" spans="2:8" ht="18" customHeight="1" thickTop="1" x14ac:dyDescent="0.2">
      <c r="B2" s="134"/>
      <c r="C2" s="134"/>
      <c r="D2" s="134"/>
      <c r="E2" s="134"/>
      <c r="F2" s="134"/>
      <c r="G2" s="134"/>
    </row>
    <row r="3" spans="2:8" ht="18" customHeight="1" x14ac:dyDescent="0.2">
      <c r="B3" s="204" t="s">
        <v>65</v>
      </c>
      <c r="C3" s="205"/>
      <c r="D3" s="134"/>
      <c r="E3" s="134"/>
      <c r="F3" s="134"/>
      <c r="G3" s="134"/>
    </row>
    <row r="4" spans="2:8" ht="15" customHeight="1" x14ac:dyDescent="0.2">
      <c r="B4" s="134"/>
      <c r="C4" s="134"/>
      <c r="D4" s="134"/>
      <c r="E4" s="134"/>
      <c r="F4" s="134"/>
      <c r="G4" s="134"/>
    </row>
    <row r="5" spans="2:8" s="12" customFormat="1" ht="20.100000000000001" customHeight="1" x14ac:dyDescent="0.2">
      <c r="B5" s="13" t="s">
        <v>55</v>
      </c>
      <c r="C5" s="13"/>
      <c r="D5" s="13"/>
      <c r="E5" s="13"/>
      <c r="F5" s="13"/>
      <c r="G5" s="13"/>
    </row>
    <row r="6" spans="2:8" ht="30" customHeight="1" x14ac:dyDescent="0.2">
      <c r="B6" s="4"/>
      <c r="C6" s="122" t="s">
        <v>143</v>
      </c>
      <c r="D6" s="123" t="s">
        <v>63</v>
      </c>
      <c r="E6" s="122" t="s">
        <v>146</v>
      </c>
      <c r="F6" s="1"/>
      <c r="G6" s="1"/>
      <c r="H6" s="121"/>
    </row>
    <row r="7" spans="2:8" ht="18" customHeight="1" x14ac:dyDescent="0.2">
      <c r="B7" s="94" t="s">
        <v>139</v>
      </c>
      <c r="C7" s="19">
        <v>2500</v>
      </c>
      <c r="D7" s="20">
        <v>125</v>
      </c>
      <c r="E7" s="95">
        <f>IF(OR(ISBLANK(C7),ISBLANK(D7)),0,C7*D7)</f>
        <v>312500</v>
      </c>
      <c r="F7" s="1"/>
      <c r="G7" s="1"/>
    </row>
    <row r="8" spans="2:8" ht="18" customHeight="1" x14ac:dyDescent="0.2">
      <c r="B8" s="94" t="s">
        <v>140</v>
      </c>
      <c r="C8" s="19">
        <v>4300</v>
      </c>
      <c r="D8" s="20">
        <v>100</v>
      </c>
      <c r="E8" s="95">
        <f>IF(OR(ISBLANK(C8),ISBLANK(D8)),0,C8*D8)</f>
        <v>430000</v>
      </c>
      <c r="F8" s="1"/>
      <c r="G8" s="1"/>
    </row>
    <row r="9" spans="2:8" ht="18" customHeight="1" x14ac:dyDescent="0.2">
      <c r="B9" s="94" t="s">
        <v>141</v>
      </c>
      <c r="C9" s="19">
        <v>2100</v>
      </c>
      <c r="D9" s="20">
        <v>65</v>
      </c>
      <c r="E9" s="95">
        <f>IF(OR(ISBLANK(C9),ISBLANK(D9)),0,C9*D9)</f>
        <v>136500</v>
      </c>
      <c r="F9" s="1"/>
      <c r="G9" s="1"/>
    </row>
    <row r="10" spans="2:8" ht="18" customHeight="1" x14ac:dyDescent="0.2">
      <c r="B10" s="94" t="s">
        <v>142</v>
      </c>
      <c r="C10" s="19">
        <v>5400</v>
      </c>
      <c r="D10" s="20">
        <v>25</v>
      </c>
      <c r="E10" s="95">
        <f>IF(OR(ISBLANK(C10),ISBLANK(D10)),0,C10*D10)</f>
        <v>135000</v>
      </c>
      <c r="F10" s="1"/>
      <c r="G10" s="1"/>
    </row>
    <row r="11" spans="2:8" ht="6.95" customHeight="1" thickBot="1" x14ac:dyDescent="0.25">
      <c r="B11" s="6"/>
      <c r="C11" s="3"/>
      <c r="D11" s="26"/>
      <c r="E11" s="95"/>
      <c r="F11" s="1"/>
      <c r="G11" s="1"/>
    </row>
    <row r="12" spans="2:8" ht="20.100000000000001" customHeight="1" thickTop="1" x14ac:dyDescent="0.2">
      <c r="B12" s="93" t="s">
        <v>216</v>
      </c>
      <c r="C12" s="21"/>
      <c r="D12" s="22"/>
      <c r="E12" s="96">
        <f>SUM(E7:E10)</f>
        <v>1014000</v>
      </c>
      <c r="F12" s="21"/>
      <c r="G12" s="21"/>
    </row>
    <row r="13" spans="2:8" ht="6.95" customHeight="1" x14ac:dyDescent="0.2">
      <c r="B13" s="10"/>
    </row>
    <row r="14" spans="2:8" ht="29.1" customHeight="1" x14ac:dyDescent="0.2">
      <c r="B14" s="127" t="s">
        <v>217</v>
      </c>
      <c r="C14" s="13"/>
      <c r="D14" s="13"/>
      <c r="E14" s="13"/>
      <c r="F14" s="13"/>
      <c r="G14" s="13"/>
    </row>
    <row r="15" spans="2:8" ht="30" customHeight="1" x14ac:dyDescent="0.2">
      <c r="B15" s="4"/>
      <c r="C15" s="120" t="s">
        <v>145</v>
      </c>
      <c r="D15" s="28" t="s">
        <v>144</v>
      </c>
      <c r="E15" s="28"/>
      <c r="F15" s="1"/>
      <c r="G15" s="1"/>
    </row>
    <row r="16" spans="2:8" ht="20.100000000000001" customHeight="1" x14ac:dyDescent="0.2">
      <c r="B16" s="94" t="str">
        <f>B7</f>
        <v>Product, Service, Region or BU 1</v>
      </c>
      <c r="C16" s="18">
        <v>0.02</v>
      </c>
      <c r="D16" s="18">
        <v>0.05</v>
      </c>
      <c r="E16" s="95"/>
      <c r="F16" s="1"/>
      <c r="G16" s="1"/>
    </row>
    <row r="17" spans="2:7" ht="20.100000000000001" customHeight="1" x14ac:dyDescent="0.2">
      <c r="B17" s="94" t="str">
        <f t="shared" ref="B17:B19" si="0">B8</f>
        <v>Product, Service, Region or BU 2</v>
      </c>
      <c r="C17" s="18">
        <v>0.02</v>
      </c>
      <c r="D17" s="18">
        <v>0.05</v>
      </c>
      <c r="E17" s="95"/>
      <c r="F17" s="1"/>
      <c r="G17" s="1"/>
    </row>
    <row r="18" spans="2:7" ht="20.100000000000001" customHeight="1" x14ac:dyDescent="0.2">
      <c r="B18" s="94" t="str">
        <f t="shared" si="0"/>
        <v>Product, Service, Region or BU 3</v>
      </c>
      <c r="C18" s="18">
        <v>0.02</v>
      </c>
      <c r="D18" s="18">
        <v>0.05</v>
      </c>
      <c r="E18" s="95"/>
      <c r="F18" s="1"/>
      <c r="G18" s="1"/>
    </row>
    <row r="19" spans="2:7" ht="20.100000000000001" customHeight="1" x14ac:dyDescent="0.2">
      <c r="B19" s="94" t="str">
        <f t="shared" si="0"/>
        <v>Product, Service, Region or BU 4</v>
      </c>
      <c r="C19" s="18">
        <v>0.02</v>
      </c>
      <c r="D19" s="18">
        <v>0.05</v>
      </c>
      <c r="E19" s="95"/>
      <c r="F19" s="1"/>
      <c r="G19" s="1"/>
    </row>
    <row r="20" spans="2:7" ht="20.100000000000001" customHeight="1" thickBot="1" x14ac:dyDescent="0.25">
      <c r="B20" s="6"/>
      <c r="C20" s="3"/>
      <c r="D20" s="26"/>
      <c r="E20" s="95"/>
      <c r="F20" s="1"/>
      <c r="G20" s="1"/>
    </row>
    <row r="21" spans="2:7" ht="20.100000000000001" customHeight="1" thickTop="1" x14ac:dyDescent="0.2">
      <c r="B21" s="23"/>
      <c r="C21" s="21"/>
      <c r="D21" s="22"/>
      <c r="E21" s="96"/>
      <c r="F21" s="21"/>
      <c r="G21" s="21"/>
    </row>
    <row r="22" spans="2:7" ht="6.95" customHeight="1" x14ac:dyDescent="0.2">
      <c r="B22" s="10"/>
    </row>
    <row r="23" spans="2:7" s="12" customFormat="1" ht="20.100000000000001" customHeight="1" x14ac:dyDescent="0.2">
      <c r="B23" s="13" t="s">
        <v>56</v>
      </c>
      <c r="C23" s="13"/>
      <c r="D23" s="13"/>
      <c r="E23" s="13"/>
      <c r="F23" s="13"/>
      <c r="G23" s="13"/>
    </row>
    <row r="24" spans="2:7" ht="30" customHeight="1" x14ac:dyDescent="0.2">
      <c r="B24" s="4"/>
      <c r="C24" s="124" t="s">
        <v>64</v>
      </c>
      <c r="D24" s="125"/>
      <c r="E24" s="122" t="s">
        <v>147</v>
      </c>
      <c r="F24" s="1"/>
      <c r="G24" s="1"/>
    </row>
    <row r="25" spans="2:7" ht="18" customHeight="1" x14ac:dyDescent="0.2">
      <c r="B25" s="27" t="str">
        <f>B7</f>
        <v>Product, Service, Region or BU 1</v>
      </c>
      <c r="C25" s="18">
        <v>0.65</v>
      </c>
      <c r="D25" s="1"/>
      <c r="E25" s="95">
        <f>E7*(1-C25)</f>
        <v>109375</v>
      </c>
      <c r="F25" s="1"/>
      <c r="G25" s="1"/>
    </row>
    <row r="26" spans="2:7" ht="18" customHeight="1" x14ac:dyDescent="0.2">
      <c r="B26" s="27" t="str">
        <f>B8</f>
        <v>Product, Service, Region or BU 2</v>
      </c>
      <c r="C26" s="18">
        <v>0.55000000000000004</v>
      </c>
      <c r="D26" s="1"/>
      <c r="E26" s="95">
        <f t="shared" ref="E26:E28" si="1">E8*(1-C26)</f>
        <v>193499.99999999997</v>
      </c>
      <c r="F26" s="1"/>
      <c r="G26" s="1"/>
    </row>
    <row r="27" spans="2:7" ht="18" customHeight="1" x14ac:dyDescent="0.2">
      <c r="B27" s="27" t="str">
        <f>B9</f>
        <v>Product, Service, Region or BU 3</v>
      </c>
      <c r="C27" s="18">
        <v>0.4</v>
      </c>
      <c r="D27" s="1"/>
      <c r="E27" s="95">
        <f t="shared" si="1"/>
        <v>81900</v>
      </c>
      <c r="F27" s="1"/>
      <c r="G27" s="1"/>
    </row>
    <row r="28" spans="2:7" ht="18" customHeight="1" x14ac:dyDescent="0.2">
      <c r="B28" s="27" t="str">
        <f>B10</f>
        <v>Product, Service, Region or BU 4</v>
      </c>
      <c r="C28" s="18">
        <v>0.45</v>
      </c>
      <c r="D28" s="1"/>
      <c r="E28" s="95">
        <f t="shared" si="1"/>
        <v>74250</v>
      </c>
      <c r="F28" s="1"/>
      <c r="G28" s="1"/>
    </row>
    <row r="29" spans="2:7" ht="6.95" customHeight="1" thickBot="1" x14ac:dyDescent="0.25">
      <c r="B29" s="6"/>
      <c r="C29" s="5"/>
      <c r="D29" s="1"/>
      <c r="E29" s="95"/>
      <c r="F29" s="1"/>
      <c r="G29" s="1"/>
    </row>
    <row r="30" spans="2:7" ht="20.100000000000001" customHeight="1" thickTop="1" x14ac:dyDescent="0.2">
      <c r="B30" s="93" t="s">
        <v>218</v>
      </c>
      <c r="C30" s="126">
        <f>1-E30/E12</f>
        <v>0.54731262327416175</v>
      </c>
      <c r="D30" s="21"/>
      <c r="E30" s="96">
        <f>SUM(E25:E28)</f>
        <v>459025</v>
      </c>
      <c r="F30" s="21"/>
      <c r="G30" s="21"/>
    </row>
    <row r="31" spans="2:7" ht="14.1" customHeight="1" x14ac:dyDescent="0.2">
      <c r="B31" s="10"/>
    </row>
    <row r="32" spans="2:7" ht="15" customHeight="1" x14ac:dyDescent="0.2">
      <c r="B32" s="13" t="s">
        <v>73</v>
      </c>
      <c r="C32" s="17"/>
      <c r="D32" s="13"/>
      <c r="E32" s="13"/>
      <c r="F32" s="13"/>
      <c r="G32" s="13"/>
    </row>
    <row r="33" spans="2:7" ht="15" customHeight="1" x14ac:dyDescent="0.2">
      <c r="B33" s="134"/>
      <c r="C33" s="148" t="s">
        <v>2</v>
      </c>
      <c r="D33" s="148" t="s">
        <v>3</v>
      </c>
      <c r="E33" s="148" t="s">
        <v>4</v>
      </c>
      <c r="F33" s="148" t="s">
        <v>5</v>
      </c>
      <c r="G33" s="148" t="s">
        <v>6</v>
      </c>
    </row>
    <row r="34" spans="2:7" ht="15" customHeight="1" x14ac:dyDescent="0.2">
      <c r="B34" s="94" t="s">
        <v>178</v>
      </c>
      <c r="C34" s="18">
        <v>0.12</v>
      </c>
      <c r="D34" s="1"/>
      <c r="E34" s="95">
        <f>E15*(1-C34)</f>
        <v>0</v>
      </c>
      <c r="F34" s="1"/>
      <c r="G34" s="1"/>
    </row>
    <row r="35" spans="2:7" ht="15" customHeight="1" x14ac:dyDescent="0.2">
      <c r="B35" s="94" t="s">
        <v>181</v>
      </c>
      <c r="C35" s="147">
        <v>10</v>
      </c>
      <c r="D35" s="147">
        <v>10</v>
      </c>
      <c r="E35" s="147">
        <v>11</v>
      </c>
      <c r="F35" s="147">
        <v>12</v>
      </c>
      <c r="G35" s="147">
        <v>12</v>
      </c>
    </row>
    <row r="36" spans="2:7" ht="15" customHeight="1" x14ac:dyDescent="0.2">
      <c r="B36" s="94" t="s">
        <v>180</v>
      </c>
      <c r="C36" s="147">
        <v>25000</v>
      </c>
      <c r="D36" s="1"/>
      <c r="E36" s="95">
        <f>E17*(1-C36)</f>
        <v>0</v>
      </c>
      <c r="F36" s="1"/>
      <c r="G36" s="1"/>
    </row>
    <row r="37" spans="2:7" ht="15" customHeight="1" x14ac:dyDescent="0.2">
      <c r="B37" s="27" t="s">
        <v>1</v>
      </c>
      <c r="C37" s="182">
        <v>7500</v>
      </c>
      <c r="D37" s="1"/>
      <c r="E37" s="95"/>
      <c r="F37" s="1"/>
      <c r="G37" s="1"/>
    </row>
    <row r="38" spans="2:7" ht="15" customHeight="1" x14ac:dyDescent="0.2">
      <c r="B38" s="27" t="s">
        <v>221</v>
      </c>
      <c r="C38" s="182">
        <v>25000</v>
      </c>
      <c r="D38" s="1"/>
      <c r="E38" s="95"/>
      <c r="F38" s="1"/>
      <c r="G38" s="1"/>
    </row>
    <row r="39" spans="2:7" ht="15" customHeight="1" x14ac:dyDescent="0.2">
      <c r="B39" s="27" t="s">
        <v>7</v>
      </c>
      <c r="C39" s="182">
        <v>18000</v>
      </c>
      <c r="D39" s="1"/>
      <c r="E39" s="95"/>
      <c r="F39" s="1"/>
      <c r="G39" s="1"/>
    </row>
    <row r="40" spans="2:7" ht="15" customHeight="1" x14ac:dyDescent="0.2">
      <c r="B40" s="27" t="s">
        <v>11</v>
      </c>
      <c r="C40" s="182">
        <v>5000</v>
      </c>
      <c r="D40" s="1"/>
      <c r="E40" s="95"/>
      <c r="F40" s="1"/>
      <c r="G40" s="1"/>
    </row>
    <row r="41" spans="2:7" ht="15" customHeight="1" x14ac:dyDescent="0.2">
      <c r="B41" s="27" t="s">
        <v>13</v>
      </c>
      <c r="C41" s="182">
        <v>1000</v>
      </c>
      <c r="D41" s="1"/>
      <c r="E41" s="95"/>
      <c r="F41" s="1"/>
      <c r="G41" s="1"/>
    </row>
    <row r="42" spans="2:7" ht="15" customHeight="1" x14ac:dyDescent="0.2">
      <c r="B42" s="13" t="s">
        <v>151</v>
      </c>
      <c r="C42" s="15"/>
      <c r="D42" s="13"/>
      <c r="E42" s="13"/>
      <c r="F42" s="13"/>
      <c r="G42" s="13"/>
    </row>
    <row r="43" spans="2:7" ht="15" customHeight="1" x14ac:dyDescent="0.2">
      <c r="B43" s="29"/>
      <c r="C43" s="34"/>
      <c r="D43" s="29"/>
      <c r="E43" s="29"/>
      <c r="F43" s="29"/>
      <c r="G43" s="29"/>
    </row>
    <row r="44" spans="2:7" ht="15" customHeight="1" x14ac:dyDescent="0.2">
      <c r="B44" s="94" t="s">
        <v>182</v>
      </c>
      <c r="C44" s="24">
        <v>0.03</v>
      </c>
      <c r="D44" s="29"/>
      <c r="E44" s="29"/>
      <c r="F44" s="29"/>
      <c r="G44" s="29"/>
    </row>
    <row r="45" spans="2:7" ht="15" customHeight="1" x14ac:dyDescent="0.2">
      <c r="B45" s="94" t="s">
        <v>152</v>
      </c>
      <c r="C45" s="24">
        <v>0.02</v>
      </c>
      <c r="D45" s="1"/>
      <c r="E45" s="4"/>
      <c r="F45" s="1"/>
      <c r="G45" s="1"/>
    </row>
    <row r="46" spans="2:7" ht="15" customHeight="1" x14ac:dyDescent="0.2">
      <c r="B46" s="1"/>
      <c r="C46" s="1"/>
      <c r="D46" s="1"/>
      <c r="E46" s="4"/>
      <c r="F46" s="1"/>
      <c r="G46" s="1"/>
    </row>
    <row r="47" spans="2:7" s="12" customFormat="1" ht="20.100000000000001" customHeight="1" x14ac:dyDescent="0.2">
      <c r="B47" s="13" t="s">
        <v>57</v>
      </c>
      <c r="C47" s="17"/>
      <c r="D47" s="13"/>
      <c r="E47" s="13"/>
      <c r="F47" s="13"/>
      <c r="G47" s="13"/>
    </row>
    <row r="48" spans="2:7" s="12" customFormat="1" ht="6.95" customHeight="1" x14ac:dyDescent="0.2">
      <c r="B48" s="29"/>
      <c r="C48" s="30"/>
      <c r="D48" s="29"/>
      <c r="E48" s="29"/>
      <c r="F48" s="29"/>
      <c r="G48" s="29"/>
    </row>
    <row r="49" spans="2:7" ht="18" customHeight="1" x14ac:dyDescent="0.2">
      <c r="B49" s="94" t="s">
        <v>219</v>
      </c>
      <c r="C49" s="24">
        <v>0.15</v>
      </c>
      <c r="D49" s="1"/>
      <c r="E49" s="4"/>
      <c r="F49" s="1"/>
      <c r="G49" s="1"/>
    </row>
    <row r="50" spans="2:7" ht="6.95" customHeight="1" x14ac:dyDescent="0.2">
      <c r="B50" s="27"/>
      <c r="C50" s="31"/>
      <c r="D50" s="1"/>
      <c r="E50" s="4"/>
      <c r="F50" s="1"/>
      <c r="G50" s="1"/>
    </row>
    <row r="51" spans="2:7" ht="6.95" customHeight="1" x14ac:dyDescent="0.2">
      <c r="B51" s="27"/>
      <c r="C51" s="31"/>
      <c r="D51" s="1"/>
      <c r="E51" s="4"/>
      <c r="F51" s="1"/>
      <c r="G51" s="1"/>
    </row>
    <row r="52" spans="2:7" ht="16.350000000000001" customHeight="1" x14ac:dyDescent="0.2">
      <c r="B52" s="13" t="s">
        <v>169</v>
      </c>
      <c r="C52" s="16"/>
      <c r="D52" s="13"/>
      <c r="E52" s="13"/>
      <c r="F52" s="13"/>
      <c r="G52" s="13"/>
    </row>
    <row r="53" spans="2:7" ht="17.850000000000001" customHeight="1" x14ac:dyDescent="0.2">
      <c r="B53" s="134"/>
      <c r="C53" s="148" t="s">
        <v>2</v>
      </c>
      <c r="D53" s="148" t="s">
        <v>3</v>
      </c>
      <c r="E53" s="148" t="s">
        <v>4</v>
      </c>
      <c r="F53" s="148" t="s">
        <v>5</v>
      </c>
      <c r="G53" s="148" t="s">
        <v>6</v>
      </c>
    </row>
    <row r="54" spans="2:7" ht="17.850000000000001" customHeight="1" x14ac:dyDescent="0.2">
      <c r="B54" s="54"/>
      <c r="C54" s="54"/>
      <c r="D54" s="54"/>
      <c r="E54" s="54"/>
      <c r="F54" s="54"/>
      <c r="G54" s="54"/>
    </row>
    <row r="55" spans="2:7" ht="17.100000000000001" customHeight="1" x14ac:dyDescent="0.2">
      <c r="B55" s="94" t="s">
        <v>220</v>
      </c>
      <c r="C55" s="147">
        <v>20000</v>
      </c>
      <c r="D55" s="147">
        <v>20000</v>
      </c>
      <c r="E55" s="147">
        <v>20000</v>
      </c>
      <c r="F55" s="147">
        <v>20000</v>
      </c>
      <c r="G55" s="147">
        <v>20000</v>
      </c>
    </row>
    <row r="56" spans="2:7" ht="16.5" customHeight="1" x14ac:dyDescent="0.2">
      <c r="B56" s="54"/>
      <c r="C56" s="54"/>
      <c r="D56" s="54"/>
      <c r="E56" s="54"/>
      <c r="F56" s="54"/>
      <c r="G56" s="54"/>
    </row>
    <row r="57" spans="2:7" s="12" customFormat="1" ht="20.100000000000001" customHeight="1" x14ac:dyDescent="0.2">
      <c r="B57" s="13" t="s">
        <v>58</v>
      </c>
      <c r="C57" s="16"/>
      <c r="D57" s="13"/>
      <c r="E57" s="13"/>
      <c r="F57" s="13"/>
      <c r="G57" s="13"/>
    </row>
    <row r="58" spans="2:7" s="12" customFormat="1" ht="6.95" customHeight="1" x14ac:dyDescent="0.2">
      <c r="B58" s="29"/>
      <c r="C58" s="32"/>
      <c r="D58" s="29"/>
      <c r="E58" s="29"/>
      <c r="F58" s="29"/>
      <c r="G58" s="29"/>
    </row>
    <row r="59" spans="2:7" ht="18" customHeight="1" x14ac:dyDescent="0.2">
      <c r="B59" s="27" t="s">
        <v>59</v>
      </c>
      <c r="C59" s="25">
        <v>5</v>
      </c>
      <c r="D59" s="1"/>
      <c r="E59" s="4"/>
      <c r="F59" s="1"/>
      <c r="G59" s="1"/>
    </row>
    <row r="60" spans="2:7" ht="6.95" customHeight="1" x14ac:dyDescent="0.2">
      <c r="B60" s="27"/>
      <c r="C60" s="33"/>
      <c r="D60" s="1"/>
      <c r="E60" s="4"/>
      <c r="F60" s="1"/>
      <c r="G60" s="1"/>
    </row>
    <row r="61" spans="2:7" s="12" customFormat="1" ht="20.100000000000001" customHeight="1" x14ac:dyDescent="0.2">
      <c r="B61" s="13" t="s">
        <v>60</v>
      </c>
      <c r="C61" s="15"/>
      <c r="D61" s="13"/>
      <c r="E61" s="13"/>
      <c r="F61" s="13"/>
      <c r="G61" s="13"/>
    </row>
    <row r="62" spans="2:7" s="12" customFormat="1" ht="6.95" customHeight="1" x14ac:dyDescent="0.2">
      <c r="B62" s="29"/>
      <c r="C62" s="34"/>
      <c r="D62" s="29"/>
      <c r="E62" s="29"/>
      <c r="F62" s="29"/>
      <c r="G62" s="29"/>
    </row>
    <row r="63" spans="2:7" ht="18" customHeight="1" x14ac:dyDescent="0.2">
      <c r="B63" s="27" t="s">
        <v>61</v>
      </c>
      <c r="C63" s="24">
        <v>0.2</v>
      </c>
      <c r="D63" s="1"/>
      <c r="E63" s="4"/>
      <c r="F63" s="1"/>
      <c r="G63" s="1"/>
    </row>
    <row r="64" spans="2:7" ht="6.75" customHeight="1" x14ac:dyDescent="0.2">
      <c r="B64" s="27"/>
      <c r="C64" s="31"/>
      <c r="D64" s="1"/>
      <c r="E64" s="4"/>
      <c r="F64" s="1"/>
      <c r="G64" s="1"/>
    </row>
    <row r="65" spans="2:7" ht="6.95" customHeight="1" x14ac:dyDescent="0.2">
      <c r="B65" s="27"/>
      <c r="C65" s="31"/>
      <c r="D65" s="1"/>
      <c r="E65" s="4"/>
      <c r="F65" s="1"/>
      <c r="G65" s="1"/>
    </row>
    <row r="66" spans="2:7" s="12" customFormat="1" ht="20.100000000000001" customHeight="1" x14ac:dyDescent="0.2">
      <c r="B66" s="13" t="s">
        <v>155</v>
      </c>
      <c r="C66" s="15"/>
      <c r="D66" s="13"/>
      <c r="E66" s="13"/>
      <c r="F66" s="13"/>
      <c r="G66" s="13"/>
    </row>
    <row r="67" spans="2:7" s="12" customFormat="1" ht="6.95" customHeight="1" x14ac:dyDescent="0.2">
      <c r="B67" s="29"/>
      <c r="C67" s="34"/>
      <c r="D67" s="29"/>
      <c r="E67" s="29"/>
      <c r="F67" s="29"/>
      <c r="G67" s="29"/>
    </row>
    <row r="68" spans="2:7" ht="18" customHeight="1" x14ac:dyDescent="0.2">
      <c r="B68" s="27" t="s">
        <v>156</v>
      </c>
      <c r="C68" s="24">
        <v>0.3</v>
      </c>
      <c r="D68" s="1"/>
      <c r="E68" s="4"/>
      <c r="F68" s="1"/>
      <c r="G68" s="1"/>
    </row>
    <row r="69" spans="2:7" ht="6.95" customHeight="1" x14ac:dyDescent="0.2">
      <c r="B69" s="27"/>
      <c r="C69" s="31"/>
      <c r="D69" s="1"/>
      <c r="E69" s="4"/>
      <c r="F69" s="1"/>
      <c r="G69" s="1"/>
    </row>
    <row r="70" spans="2:7" s="12" customFormat="1" ht="20.100000000000001" customHeight="1" x14ac:dyDescent="0.2">
      <c r="B70" s="13" t="s">
        <v>62</v>
      </c>
      <c r="C70" s="14"/>
      <c r="D70" s="13"/>
      <c r="E70" s="13"/>
      <c r="F70" s="13"/>
      <c r="G70" s="13"/>
    </row>
    <row r="71" spans="2:7" s="12" customFormat="1" ht="6.95" customHeight="1" x14ac:dyDescent="0.2">
      <c r="B71" s="29"/>
      <c r="C71" s="35"/>
      <c r="D71" s="29"/>
      <c r="E71" s="29"/>
      <c r="F71" s="29"/>
      <c r="G71" s="29"/>
    </row>
    <row r="72" spans="2:7" ht="18" customHeight="1" x14ac:dyDescent="0.2">
      <c r="B72" s="28" t="s">
        <v>66</v>
      </c>
      <c r="C72" s="97">
        <v>50000</v>
      </c>
      <c r="D72" s="1"/>
      <c r="E72" s="4"/>
      <c r="F72" s="1"/>
      <c r="G72" s="1"/>
    </row>
    <row r="73" spans="2:7" ht="18" customHeight="1" x14ac:dyDescent="0.2">
      <c r="B73" s="36" t="s">
        <v>54</v>
      </c>
      <c r="C73" s="88">
        <v>0.05</v>
      </c>
      <c r="D73" s="1"/>
      <c r="E73" s="4"/>
      <c r="F73" s="1"/>
      <c r="G73" s="1"/>
    </row>
    <row r="74" spans="2:7" ht="18" customHeight="1" x14ac:dyDescent="0.2">
      <c r="B74" s="36" t="s">
        <v>53</v>
      </c>
      <c r="C74" s="87">
        <v>60</v>
      </c>
      <c r="D74" s="1"/>
      <c r="E74" s="4"/>
      <c r="F74" s="1"/>
      <c r="G74" s="1"/>
    </row>
    <row r="75" spans="2:7" ht="18" customHeight="1" x14ac:dyDescent="0.2">
      <c r="B75" s="36" t="s">
        <v>52</v>
      </c>
      <c r="C75" s="89">
        <f>(1+'Model Inputs'!C73)^(1/12)-1</f>
        <v>4.0741237836483535E-3</v>
      </c>
      <c r="D75" s="1"/>
      <c r="E75" s="4"/>
      <c r="F75" s="1"/>
      <c r="G75" s="1"/>
    </row>
    <row r="76" spans="2:7" ht="18" customHeight="1" x14ac:dyDescent="0.2">
      <c r="B76" s="94" t="s">
        <v>177</v>
      </c>
      <c r="C76" s="98">
        <f>IF(ISBLANK(C74),0,-PMT('Model Inputs'!C75,'Model Inputs'!C74,'Model Inputs'!C72))</f>
        <v>941.019918477744</v>
      </c>
      <c r="D76" s="1"/>
      <c r="E76" s="4"/>
      <c r="F76" s="1"/>
      <c r="G76" s="1"/>
    </row>
    <row r="77" spans="2:7" ht="18" customHeight="1" x14ac:dyDescent="0.2">
      <c r="B77" s="36" t="s">
        <v>108</v>
      </c>
      <c r="C77" s="98">
        <f>IF(ISBLANK(C74),0,C74*C76)</f>
        <v>56461.195108664637</v>
      </c>
      <c r="D77" s="1"/>
      <c r="E77" s="4"/>
      <c r="F77" s="1"/>
      <c r="G77" s="1"/>
    </row>
    <row r="78" spans="2:7" ht="6.95" customHeight="1" x14ac:dyDescent="0.2">
      <c r="B78" s="1"/>
      <c r="C78" s="1"/>
      <c r="D78" s="1"/>
      <c r="E78" s="4"/>
      <c r="F78" s="1"/>
    </row>
    <row r="79" spans="2:7" ht="18" customHeight="1" x14ac:dyDescent="0.2">
      <c r="B79" s="13" t="s">
        <v>159</v>
      </c>
      <c r="C79" s="14"/>
      <c r="D79" s="13"/>
      <c r="E79" s="13"/>
      <c r="F79" s="13"/>
      <c r="G79" s="13"/>
    </row>
    <row r="80" spans="2:7" ht="15" x14ac:dyDescent="0.2">
      <c r="B80" s="29"/>
      <c r="C80" s="35"/>
      <c r="D80" s="29"/>
      <c r="E80" s="29"/>
      <c r="F80" s="29"/>
      <c r="G80" s="29"/>
    </row>
    <row r="81" spans="2:7" ht="18" customHeight="1" x14ac:dyDescent="0.2">
      <c r="B81" s="28" t="s">
        <v>160</v>
      </c>
      <c r="C81" s="97">
        <v>45</v>
      </c>
      <c r="D81" s="1"/>
      <c r="E81" s="4"/>
      <c r="F81" s="1"/>
      <c r="G81" s="1"/>
    </row>
    <row r="82" spans="2:7" ht="17.850000000000001" customHeight="1" x14ac:dyDescent="0.2">
      <c r="B82" s="28" t="s">
        <v>161</v>
      </c>
      <c r="C82" s="97">
        <v>30</v>
      </c>
      <c r="D82" s="1"/>
      <c r="E82" s="4"/>
      <c r="F82" s="1"/>
      <c r="G82" s="1"/>
    </row>
    <row r="83" spans="2:7" ht="17.850000000000001" customHeight="1" x14ac:dyDescent="0.2">
      <c r="B83" s="120" t="s">
        <v>162</v>
      </c>
      <c r="C83" s="97">
        <v>60</v>
      </c>
      <c r="D83" s="1"/>
      <c r="E83" s="4"/>
      <c r="F83" s="1"/>
      <c r="G83" s="1"/>
    </row>
    <row r="84" spans="2:7" ht="15" x14ac:dyDescent="0.2">
      <c r="B84" s="29"/>
      <c r="C84" s="35"/>
      <c r="D84" s="29"/>
      <c r="E84" s="29"/>
      <c r="F84" s="29"/>
      <c r="G84" s="29"/>
    </row>
  </sheetData>
  <mergeCells count="1">
    <mergeCell ref="B3:C3"/>
  </mergeCells>
  <phoneticPr fontId="4" type="noConversion"/>
  <pageMargins left="0.19685039370078741" right="0.19685039370078741" top="0.19685039370078741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H72"/>
  <sheetViews>
    <sheetView showGridLines="0" workbookViewId="0"/>
  </sheetViews>
  <sheetFormatPr defaultColWidth="9.140625" defaultRowHeight="18" customHeight="1" x14ac:dyDescent="0.2"/>
  <cols>
    <col min="1" max="1" width="9.140625" style="10"/>
    <col min="2" max="2" width="35.140625" style="10" customWidth="1"/>
    <col min="3" max="7" width="12.5703125" style="10" customWidth="1"/>
    <col min="8" max="8" width="3.5703125" style="10" customWidth="1"/>
    <col min="9" max="9" width="9.140625" style="10"/>
    <col min="10" max="10" width="10.42578125" style="10" bestFit="1" customWidth="1"/>
    <col min="11" max="16384" width="9.140625" style="10"/>
  </cols>
  <sheetData>
    <row r="1" spans="2:8" ht="35.1" customHeight="1" thickBot="1" x14ac:dyDescent="0.25">
      <c r="B1" s="81" t="s">
        <v>75</v>
      </c>
      <c r="C1" s="84"/>
      <c r="D1" s="84"/>
      <c r="E1" s="84"/>
      <c r="F1" s="84"/>
      <c r="G1" s="84"/>
      <c r="H1" s="84"/>
    </row>
    <row r="2" spans="2:8" ht="18" customHeight="1" thickTop="1" x14ac:dyDescent="0.2">
      <c r="B2" s="134"/>
      <c r="C2" s="134"/>
      <c r="D2" s="134"/>
      <c r="E2" s="134"/>
      <c r="F2" s="134"/>
      <c r="G2" s="134"/>
      <c r="H2" s="134"/>
    </row>
    <row r="3" spans="2:8" ht="18" customHeight="1" x14ac:dyDescent="0.2">
      <c r="B3" s="204" t="str">
        <f>'Model Inputs'!B3</f>
        <v>Company Name</v>
      </c>
      <c r="C3" s="205"/>
      <c r="D3" s="134"/>
      <c r="E3" s="134"/>
      <c r="F3" s="134"/>
      <c r="G3" s="134"/>
      <c r="H3" s="134"/>
    </row>
    <row r="4" spans="2:8" ht="18" customHeight="1" x14ac:dyDescent="0.2">
      <c r="B4" s="134"/>
      <c r="C4" s="134"/>
      <c r="D4" s="134"/>
      <c r="E4" s="134"/>
      <c r="F4" s="134"/>
      <c r="G4" s="134"/>
      <c r="H4" s="134"/>
    </row>
    <row r="5" spans="2:8" ht="20.100000000000001" customHeight="1" x14ac:dyDescent="0.2">
      <c r="B5" s="130" t="s">
        <v>150</v>
      </c>
      <c r="C5" s="56"/>
      <c r="D5" s="56"/>
      <c r="E5" s="56"/>
      <c r="F5" s="56"/>
      <c r="G5" s="56"/>
      <c r="H5" s="57"/>
    </row>
    <row r="6" spans="2:8" ht="18" customHeight="1" x14ac:dyDescent="0.2">
      <c r="B6" s="58"/>
      <c r="C6" s="59"/>
      <c r="D6" s="59"/>
      <c r="E6" s="59"/>
      <c r="F6" s="59"/>
      <c r="G6" s="59"/>
      <c r="H6" s="58"/>
    </row>
    <row r="7" spans="2:8" ht="20.100000000000001" customHeight="1" x14ac:dyDescent="0.2">
      <c r="B7" s="13" t="s">
        <v>69</v>
      </c>
      <c r="C7" s="40"/>
      <c r="D7" s="40"/>
      <c r="E7" s="40"/>
      <c r="F7" s="40"/>
      <c r="G7" s="40"/>
      <c r="H7" s="40"/>
    </row>
    <row r="8" spans="2:8" ht="18" customHeight="1" x14ac:dyDescent="0.2">
      <c r="B8" s="4"/>
      <c r="C8" s="146" t="s">
        <v>2</v>
      </c>
      <c r="D8" s="146" t="s">
        <v>3</v>
      </c>
      <c r="E8" s="146" t="s">
        <v>4</v>
      </c>
      <c r="F8" s="146" t="s">
        <v>5</v>
      </c>
      <c r="G8" s="146" t="s">
        <v>6</v>
      </c>
      <c r="H8" s="4"/>
    </row>
    <row r="9" spans="2:8" ht="18" customHeight="1" x14ac:dyDescent="0.2">
      <c r="B9" s="53" t="s">
        <v>0</v>
      </c>
      <c r="C9" s="43"/>
      <c r="D9" s="43"/>
      <c r="E9" s="43"/>
      <c r="F9" s="43"/>
      <c r="G9" s="43"/>
      <c r="H9" s="44"/>
    </row>
    <row r="10" spans="2:8" ht="6.95" customHeight="1" x14ac:dyDescent="0.2">
      <c r="B10" s="7"/>
      <c r="C10" s="46"/>
      <c r="D10" s="46"/>
      <c r="E10" s="46"/>
      <c r="F10" s="46"/>
      <c r="G10" s="46"/>
      <c r="H10" s="4"/>
    </row>
    <row r="11" spans="2:8" ht="18" customHeight="1" x14ac:dyDescent="0.2">
      <c r="B11" s="54" t="str">
        <f>'Model Inputs'!B7</f>
        <v>Product, Service, Region or BU 1</v>
      </c>
      <c r="C11" s="99">
        <f>'Model Inputs'!E7</f>
        <v>312500</v>
      </c>
      <c r="D11" s="99">
        <f>C11*(1+'Model Inputs'!$C16)*(1+'Model Inputs'!$D16)</f>
        <v>334687.5</v>
      </c>
      <c r="E11" s="99">
        <f>D11*(1+'Model Inputs'!$C16)*(1+'Model Inputs'!$D16)</f>
        <v>358450.3125</v>
      </c>
      <c r="F11" s="99">
        <f>E11*(1+'Model Inputs'!$C16)*(1+'Model Inputs'!$D16)</f>
        <v>383900.28468750004</v>
      </c>
      <c r="G11" s="99">
        <f>F11*(1+'Model Inputs'!$C16)*(1+'Model Inputs'!$D16)</f>
        <v>411157.20490031253</v>
      </c>
      <c r="H11" s="4"/>
    </row>
    <row r="12" spans="2:8" ht="18" customHeight="1" x14ac:dyDescent="0.2">
      <c r="B12" s="54" t="str">
        <f>'Model Inputs'!B8</f>
        <v>Product, Service, Region or BU 2</v>
      </c>
      <c r="C12" s="99">
        <f>'Model Inputs'!E8</f>
        <v>430000</v>
      </c>
      <c r="D12" s="99">
        <f>C12*(1+'Model Inputs'!$C17)*(1+'Model Inputs'!$D17)</f>
        <v>460530</v>
      </c>
      <c r="E12" s="99">
        <f>D12*(1+'Model Inputs'!$C17)*(1+'Model Inputs'!$D17)</f>
        <v>493227.63000000006</v>
      </c>
      <c r="F12" s="99">
        <f>E12*(1+'Model Inputs'!$C17)*(1+'Model Inputs'!$D17)</f>
        <v>528246.79173000006</v>
      </c>
      <c r="G12" s="99">
        <f>F12*(1+'Model Inputs'!$C17)*(1+'Model Inputs'!$D17)</f>
        <v>565752.31394283008</v>
      </c>
      <c r="H12" s="4"/>
    </row>
    <row r="13" spans="2:8" ht="18" customHeight="1" x14ac:dyDescent="0.2">
      <c r="B13" s="54" t="str">
        <f>'Model Inputs'!B9</f>
        <v>Product, Service, Region or BU 3</v>
      </c>
      <c r="C13" s="99">
        <f>'Model Inputs'!E9</f>
        <v>136500</v>
      </c>
      <c r="D13" s="99">
        <f>C13*(1+'Model Inputs'!$C18)*(1+'Model Inputs'!$D18)</f>
        <v>146191.5</v>
      </c>
      <c r="E13" s="99">
        <f>D13*(1+'Model Inputs'!$C18)*(1+'Model Inputs'!$D18)</f>
        <v>156571.09650000001</v>
      </c>
      <c r="F13" s="99">
        <f>E13*(1+'Model Inputs'!$C18)*(1+'Model Inputs'!$D18)</f>
        <v>167687.64435150003</v>
      </c>
      <c r="G13" s="99">
        <f>F13*(1+'Model Inputs'!$C18)*(1+'Model Inputs'!$D18)</f>
        <v>179593.46710045656</v>
      </c>
      <c r="H13" s="4"/>
    </row>
    <row r="14" spans="2:8" ht="18" customHeight="1" x14ac:dyDescent="0.2">
      <c r="B14" s="54" t="str">
        <f>'Model Inputs'!B10</f>
        <v>Product, Service, Region or BU 4</v>
      </c>
      <c r="C14" s="99">
        <f>'Model Inputs'!E10</f>
        <v>135000</v>
      </c>
      <c r="D14" s="99">
        <f>C14*(1+'Model Inputs'!$C19)*(1+'Model Inputs'!$D19)</f>
        <v>144585</v>
      </c>
      <c r="E14" s="99">
        <f>D14*(1+'Model Inputs'!$C19)*(1+'Model Inputs'!$D19)</f>
        <v>154850.53500000003</v>
      </c>
      <c r="F14" s="99">
        <f>E14*(1+'Model Inputs'!$C19)*(1+'Model Inputs'!$D19)</f>
        <v>165844.92298500004</v>
      </c>
      <c r="G14" s="99">
        <f>F14*(1+'Model Inputs'!$C19)*(1+'Model Inputs'!$D19)</f>
        <v>177619.91251693506</v>
      </c>
      <c r="H14" s="4"/>
    </row>
    <row r="15" spans="2:8" ht="6.95" customHeight="1" x14ac:dyDescent="0.2">
      <c r="B15" s="4"/>
      <c r="C15" s="99"/>
      <c r="D15" s="99"/>
      <c r="E15" s="99"/>
      <c r="F15" s="99"/>
      <c r="G15" s="99"/>
      <c r="H15" s="4"/>
    </row>
    <row r="16" spans="2:8" ht="18" customHeight="1" x14ac:dyDescent="0.2">
      <c r="B16" s="53" t="s">
        <v>15</v>
      </c>
      <c r="C16" s="100">
        <f>SUM(C11:C14)</f>
        <v>1014000</v>
      </c>
      <c r="D16" s="100">
        <f>SUM(D11:D14)</f>
        <v>1085994</v>
      </c>
      <c r="E16" s="100">
        <f>SUM(E11:E14)</f>
        <v>1163099.574</v>
      </c>
      <c r="F16" s="100">
        <f>SUM(F11:F14)</f>
        <v>1245679.6437540003</v>
      </c>
      <c r="G16" s="100">
        <f>SUM(G11:G14)</f>
        <v>1334122.8984605342</v>
      </c>
      <c r="H16" s="44"/>
    </row>
    <row r="17" spans="2:8" ht="18" customHeight="1" x14ac:dyDescent="0.2">
      <c r="C17" s="38"/>
      <c r="D17" s="38"/>
      <c r="E17" s="38"/>
      <c r="F17" s="38"/>
      <c r="G17" s="38"/>
    </row>
    <row r="18" spans="2:8" ht="18" customHeight="1" x14ac:dyDescent="0.2">
      <c r="B18" s="53" t="s">
        <v>68</v>
      </c>
      <c r="C18" s="45"/>
      <c r="D18" s="45"/>
      <c r="E18" s="45"/>
      <c r="F18" s="45"/>
      <c r="G18" s="45"/>
      <c r="H18" s="44"/>
    </row>
    <row r="19" spans="2:8" ht="6.95" customHeight="1" x14ac:dyDescent="0.2">
      <c r="B19" s="7"/>
      <c r="C19" s="47"/>
      <c r="D19" s="47"/>
      <c r="E19" s="47"/>
      <c r="F19" s="47"/>
      <c r="G19" s="47"/>
      <c r="H19" s="4"/>
    </row>
    <row r="20" spans="2:8" ht="18" customHeight="1" x14ac:dyDescent="0.2">
      <c r="B20" s="54" t="str">
        <f>'Model Inputs'!B25</f>
        <v>Product, Service, Region or BU 1</v>
      </c>
      <c r="C20" s="101">
        <f>'Model Inputs'!E25</f>
        <v>109375</v>
      </c>
      <c r="D20" s="99">
        <f>D11*(1-'Model Inputs'!$C25)</f>
        <v>117140.62499999999</v>
      </c>
      <c r="E20" s="99">
        <f>E11*(1-'Model Inputs'!$C25)</f>
        <v>125457.60937499999</v>
      </c>
      <c r="F20" s="99">
        <f>F11*(1-'Model Inputs'!$C25)</f>
        <v>134365.09964062501</v>
      </c>
      <c r="G20" s="99">
        <f>G11*(1-'Model Inputs'!$C25)</f>
        <v>143905.02171510938</v>
      </c>
      <c r="H20" s="4"/>
    </row>
    <row r="21" spans="2:8" ht="18" customHeight="1" x14ac:dyDescent="0.2">
      <c r="B21" s="54" t="str">
        <f>'Model Inputs'!B26</f>
        <v>Product, Service, Region or BU 2</v>
      </c>
      <c r="C21" s="101">
        <f>'Model Inputs'!E26</f>
        <v>193499.99999999997</v>
      </c>
      <c r="D21" s="99">
        <f>D12*(1-'Model Inputs'!$C26)</f>
        <v>207238.49999999997</v>
      </c>
      <c r="E21" s="99">
        <f>E12*(1-'Model Inputs'!$C26)</f>
        <v>221952.43350000001</v>
      </c>
      <c r="F21" s="99">
        <f>F12*(1-'Model Inputs'!$C26)</f>
        <v>237711.05627850001</v>
      </c>
      <c r="G21" s="99">
        <f>G12*(1-'Model Inputs'!$C26)</f>
        <v>254588.54127427351</v>
      </c>
      <c r="H21" s="4"/>
    </row>
    <row r="22" spans="2:8" ht="18" customHeight="1" x14ac:dyDescent="0.2">
      <c r="B22" s="54" t="str">
        <f>'Model Inputs'!B27</f>
        <v>Product, Service, Region or BU 3</v>
      </c>
      <c r="C22" s="101">
        <f>'Model Inputs'!E27</f>
        <v>81900</v>
      </c>
      <c r="D22" s="99">
        <f>D13*(1-'Model Inputs'!$C27)</f>
        <v>87714.9</v>
      </c>
      <c r="E22" s="99">
        <f>E13*(1-'Model Inputs'!$C27)</f>
        <v>93942.657900000006</v>
      </c>
      <c r="F22" s="99">
        <f>F13*(1-'Model Inputs'!$C27)</f>
        <v>100612.58661090002</v>
      </c>
      <c r="G22" s="99">
        <f>G13*(1-'Model Inputs'!$C27)</f>
        <v>107756.08026027393</v>
      </c>
      <c r="H22" s="4"/>
    </row>
    <row r="23" spans="2:8" ht="18" customHeight="1" x14ac:dyDescent="0.2">
      <c r="B23" s="54" t="str">
        <f>'Model Inputs'!B28</f>
        <v>Product, Service, Region or BU 4</v>
      </c>
      <c r="C23" s="101">
        <f>'Model Inputs'!E28</f>
        <v>74250</v>
      </c>
      <c r="D23" s="99">
        <f>D14*(1-'Model Inputs'!$C28)</f>
        <v>79521.75</v>
      </c>
      <c r="E23" s="99">
        <f>E14*(1-'Model Inputs'!$C28)</f>
        <v>85167.794250000021</v>
      </c>
      <c r="F23" s="99">
        <f>F14*(1-'Model Inputs'!$C28)</f>
        <v>91214.707641750036</v>
      </c>
      <c r="G23" s="99">
        <f>G14*(1-'Model Inputs'!$C28)</f>
        <v>97690.951884314287</v>
      </c>
      <c r="H23" s="4"/>
    </row>
    <row r="24" spans="2:8" ht="6.95" customHeight="1" x14ac:dyDescent="0.2">
      <c r="B24" s="4"/>
      <c r="C24" s="101"/>
      <c r="D24" s="99"/>
      <c r="E24" s="99"/>
      <c r="F24" s="99"/>
      <c r="G24" s="99"/>
      <c r="H24" s="4"/>
    </row>
    <row r="25" spans="2:8" ht="18" customHeight="1" x14ac:dyDescent="0.2">
      <c r="B25" s="53" t="s">
        <v>9</v>
      </c>
      <c r="C25" s="100">
        <f>'Model Inputs'!E30</f>
        <v>459025</v>
      </c>
      <c r="D25" s="100">
        <f>SUM(D20:D23)</f>
        <v>491615.77499999991</v>
      </c>
      <c r="E25" s="100">
        <f t="shared" ref="E25:G25" si="0">SUM(E20:E23)</f>
        <v>526520.49502499995</v>
      </c>
      <c r="F25" s="100">
        <f t="shared" si="0"/>
        <v>563903.45017177507</v>
      </c>
      <c r="G25" s="100">
        <f t="shared" si="0"/>
        <v>603940.59513397107</v>
      </c>
      <c r="H25" s="44"/>
    </row>
    <row r="26" spans="2:8" ht="18" customHeight="1" x14ac:dyDescent="0.2">
      <c r="C26" s="102"/>
      <c r="D26" s="102"/>
      <c r="E26" s="102"/>
      <c r="F26" s="102"/>
      <c r="G26" s="102"/>
    </row>
    <row r="27" spans="2:8" ht="18" customHeight="1" x14ac:dyDescent="0.2">
      <c r="B27" s="55" t="s">
        <v>70</v>
      </c>
      <c r="C27" s="103">
        <f>C16-C25</f>
        <v>554975</v>
      </c>
      <c r="D27" s="103">
        <f>D16-D25</f>
        <v>594378.22500000009</v>
      </c>
      <c r="E27" s="103">
        <f>E16-E25</f>
        <v>636579.07897500007</v>
      </c>
      <c r="F27" s="103">
        <f>F16-F25</f>
        <v>681776.19358222524</v>
      </c>
      <c r="G27" s="103">
        <f>G16-G25</f>
        <v>730182.30332656309</v>
      </c>
      <c r="H27" s="42"/>
    </row>
    <row r="28" spans="2:8" ht="18" customHeight="1" x14ac:dyDescent="0.2">
      <c r="B28" s="10" t="s">
        <v>109</v>
      </c>
      <c r="C28" s="128">
        <f>C27/C16</f>
        <v>0.54731262327416175</v>
      </c>
      <c r="D28" s="128">
        <f t="shared" ref="D28:G28" si="1">D27/D16</f>
        <v>0.54731262327416186</v>
      </c>
      <c r="E28" s="128">
        <f t="shared" si="1"/>
        <v>0.54731262327416175</v>
      </c>
      <c r="F28" s="128">
        <f t="shared" si="1"/>
        <v>0.54731262327416175</v>
      </c>
      <c r="G28" s="128">
        <f t="shared" si="1"/>
        <v>0.54731262327416175</v>
      </c>
    </row>
    <row r="29" spans="2:8" ht="6.95" customHeight="1" x14ac:dyDescent="0.2"/>
    <row r="30" spans="2:8" ht="18" customHeight="1" x14ac:dyDescent="0.2">
      <c r="C30" s="38"/>
      <c r="D30" s="38"/>
      <c r="E30" s="38"/>
      <c r="F30" s="38"/>
      <c r="G30" s="38"/>
    </row>
    <row r="31" spans="2:8" ht="20.100000000000001" customHeight="1" x14ac:dyDescent="0.2">
      <c r="B31" s="13" t="s">
        <v>73</v>
      </c>
      <c r="C31" s="41"/>
      <c r="D31" s="41"/>
      <c r="E31" s="41"/>
      <c r="F31" s="41"/>
      <c r="G31" s="41"/>
      <c r="H31" s="40"/>
    </row>
    <row r="32" spans="2:8" ht="18" customHeight="1" x14ac:dyDescent="0.2">
      <c r="C32" s="38"/>
      <c r="D32" s="38"/>
      <c r="E32" s="38"/>
      <c r="F32" s="38"/>
      <c r="G32" s="38"/>
    </row>
    <row r="33" spans="2:8" ht="18" customHeight="1" x14ac:dyDescent="0.2">
      <c r="B33" s="53" t="s">
        <v>14</v>
      </c>
      <c r="C33" s="45"/>
      <c r="D33" s="45"/>
      <c r="E33" s="45"/>
      <c r="F33" s="45"/>
      <c r="G33" s="45"/>
      <c r="H33" s="44"/>
    </row>
    <row r="34" spans="2:8" ht="6.95" customHeight="1" x14ac:dyDescent="0.2">
      <c r="B34" s="7"/>
      <c r="C34" s="47"/>
      <c r="D34" s="47"/>
      <c r="E34" s="47"/>
      <c r="F34" s="47"/>
      <c r="G34" s="47"/>
      <c r="H34" s="4"/>
    </row>
    <row r="35" spans="2:8" ht="18" customHeight="1" x14ac:dyDescent="0.2">
      <c r="B35" s="54" t="s">
        <v>179</v>
      </c>
      <c r="C35" s="99">
        <f>C16*'Model Inputs'!$C34</f>
        <v>121680</v>
      </c>
      <c r="D35" s="99">
        <f>D16*'Model Inputs'!$C34</f>
        <v>130319.28</v>
      </c>
      <c r="E35" s="99">
        <f>E16*'Model Inputs'!$C34</f>
        <v>139571.94888000001</v>
      </c>
      <c r="F35" s="99">
        <f>F16*'Model Inputs'!$C34</f>
        <v>149481.55725048002</v>
      </c>
      <c r="G35" s="99">
        <f>G16*'Model Inputs'!$C34</f>
        <v>160094.7478152641</v>
      </c>
      <c r="H35" s="4"/>
    </row>
    <row r="36" spans="2:8" ht="18" customHeight="1" x14ac:dyDescent="0.2">
      <c r="B36" s="54" t="s">
        <v>183</v>
      </c>
      <c r="C36" s="99">
        <f>'Model Inputs'!$C36*'Model Inputs'!C35</f>
        <v>250000</v>
      </c>
      <c r="D36" s="99">
        <f>'Model Inputs'!$C36*'Model Inputs'!D35*(1+'Model Inputs'!$C44)</f>
        <v>257500</v>
      </c>
      <c r="E36" s="99">
        <f>'Model Inputs'!$C36*'Model Inputs'!E35*(1+'Model Inputs'!$C44)</f>
        <v>283250</v>
      </c>
      <c r="F36" s="99">
        <f>'Model Inputs'!$C36*'Model Inputs'!F35*(1+'Model Inputs'!$C44)</f>
        <v>309000</v>
      </c>
      <c r="G36" s="99">
        <f>'Model Inputs'!$C36*'Model Inputs'!G35*(1+'Model Inputs'!$C44)</f>
        <v>309000</v>
      </c>
      <c r="H36" s="4"/>
    </row>
    <row r="37" spans="2:8" ht="18" customHeight="1" x14ac:dyDescent="0.2">
      <c r="B37" s="54" t="s">
        <v>17</v>
      </c>
      <c r="C37" s="99">
        <f>'Model Inputs'!$C49*'Balance Sheet'!C21</f>
        <v>15000</v>
      </c>
      <c r="D37" s="99">
        <f>'Model Inputs'!$C49*('Balance Sheet'!D21-'Balance Sheet'!C23)</f>
        <v>17100</v>
      </c>
      <c r="E37" s="99">
        <f>'Model Inputs'!$C49*('Balance Sheet'!E21-'Balance Sheet'!D23)</f>
        <v>17100</v>
      </c>
      <c r="F37" s="99">
        <f>'Model Inputs'!$C49*('Balance Sheet'!F21-'Balance Sheet'!E23)</f>
        <v>16680</v>
      </c>
      <c r="G37" s="99">
        <f>'Model Inputs'!$C49*('Balance Sheet'!G21-'Balance Sheet'!F23)</f>
        <v>16260</v>
      </c>
      <c r="H37" s="4"/>
    </row>
    <row r="38" spans="2:8" ht="18" customHeight="1" x14ac:dyDescent="0.2">
      <c r="B38" s="54" t="s">
        <v>8</v>
      </c>
      <c r="C38" s="99">
        <f>'Balance Sheet'!C21/'Model Inputs'!$C$59</f>
        <v>20000</v>
      </c>
      <c r="D38" s="99">
        <f>('Balance Sheet'!D21-'Balance Sheet'!C23)/'Model Inputs'!$C$59</f>
        <v>22800</v>
      </c>
      <c r="E38" s="99">
        <f>('Balance Sheet'!E21-'Balance Sheet'!D23)/'Model Inputs'!$C$59</f>
        <v>22800</v>
      </c>
      <c r="F38" s="99">
        <f>('Balance Sheet'!F21-'Balance Sheet'!E23)/'Model Inputs'!$C$59</f>
        <v>22240</v>
      </c>
      <c r="G38" s="99">
        <f>('Balance Sheet'!G21-'Balance Sheet'!F23)/'Model Inputs'!$C$59</f>
        <v>21680</v>
      </c>
      <c r="H38" s="4"/>
    </row>
    <row r="39" spans="2:8" ht="18" customHeight="1" x14ac:dyDescent="0.2">
      <c r="B39" s="54" t="s">
        <v>1</v>
      </c>
      <c r="C39" s="183">
        <f>'Model Inputs'!C37</f>
        <v>7500</v>
      </c>
      <c r="D39" s="99">
        <f>C39*(1+'Model Inputs'!$C$45)</f>
        <v>7650</v>
      </c>
      <c r="E39" s="99">
        <f>D39*(1+'Model Inputs'!$C$45)</f>
        <v>7803</v>
      </c>
      <c r="F39" s="99">
        <f>E39*(1+'Model Inputs'!$C$45)</f>
        <v>7959.06</v>
      </c>
      <c r="G39" s="99">
        <f>F39*(1+'Model Inputs'!$C$45)</f>
        <v>8118.2412000000004</v>
      </c>
      <c r="H39" s="4"/>
    </row>
    <row r="40" spans="2:8" ht="18" customHeight="1" x14ac:dyDescent="0.2">
      <c r="B40" s="54" t="s">
        <v>10</v>
      </c>
      <c r="C40" s="183">
        <f>'Model Inputs'!C38</f>
        <v>25000</v>
      </c>
      <c r="D40" s="99">
        <f>C40*(1+'Model Inputs'!$C$45)</f>
        <v>25500</v>
      </c>
      <c r="E40" s="99">
        <f>D40*(1+'Model Inputs'!$C$45)</f>
        <v>26010</v>
      </c>
      <c r="F40" s="99">
        <f>E40*(1+'Model Inputs'!$C$45)</f>
        <v>26530.2</v>
      </c>
      <c r="G40" s="99">
        <f>F40*(1+'Model Inputs'!$C$45)</f>
        <v>27060.804</v>
      </c>
      <c r="H40" s="4"/>
    </row>
    <row r="41" spans="2:8" ht="18" customHeight="1" x14ac:dyDescent="0.2">
      <c r="B41" s="54" t="s">
        <v>7</v>
      </c>
      <c r="C41" s="183">
        <f>'Model Inputs'!C39</f>
        <v>18000</v>
      </c>
      <c r="D41" s="99">
        <f>C41*(1+'Model Inputs'!$C$45)</f>
        <v>18360</v>
      </c>
      <c r="E41" s="99">
        <f>D41*(1+'Model Inputs'!$C$45)</f>
        <v>18727.2</v>
      </c>
      <c r="F41" s="99">
        <f>E41*(1+'Model Inputs'!$C$45)</f>
        <v>19101.744000000002</v>
      </c>
      <c r="G41" s="99">
        <f>F41*(1+'Model Inputs'!$C$45)</f>
        <v>19483.778880000002</v>
      </c>
      <c r="H41" s="4"/>
    </row>
    <row r="42" spans="2:8" ht="18" customHeight="1" x14ac:dyDescent="0.2">
      <c r="B42" s="54" t="s">
        <v>11</v>
      </c>
      <c r="C42" s="183">
        <f>'Model Inputs'!C40</f>
        <v>5000</v>
      </c>
      <c r="D42" s="99">
        <f>C42*(1+'Model Inputs'!$C$45)</f>
        <v>5100</v>
      </c>
      <c r="E42" s="99">
        <f>D42*(1+'Model Inputs'!$C$45)</f>
        <v>5202</v>
      </c>
      <c r="F42" s="99">
        <f>E42*(1+'Model Inputs'!$C$45)</f>
        <v>5306.04</v>
      </c>
      <c r="G42" s="99">
        <f>F42*(1+'Model Inputs'!$C$45)</f>
        <v>5412.1607999999997</v>
      </c>
      <c r="H42" s="4"/>
    </row>
    <row r="43" spans="2:8" ht="18" customHeight="1" x14ac:dyDescent="0.2">
      <c r="B43" s="54" t="s">
        <v>13</v>
      </c>
      <c r="C43" s="183">
        <f>'Model Inputs'!C41</f>
        <v>1000</v>
      </c>
      <c r="D43" s="99">
        <f>C43*(1+'Model Inputs'!$C$45)</f>
        <v>1020</v>
      </c>
      <c r="E43" s="99">
        <f>D43*(1+'Model Inputs'!$C$45)</f>
        <v>1040.4000000000001</v>
      </c>
      <c r="F43" s="99">
        <f>E43*(1+'Model Inputs'!$C$45)</f>
        <v>1061.2080000000001</v>
      </c>
      <c r="G43" s="99">
        <f>F43*(1+'Model Inputs'!$C$45)</f>
        <v>1082.4321600000001</v>
      </c>
      <c r="H43" s="4"/>
    </row>
    <row r="44" spans="2:8" ht="6.95" customHeight="1" x14ac:dyDescent="0.2">
      <c r="B44" s="4"/>
      <c r="C44" s="99"/>
      <c r="D44" s="99"/>
      <c r="E44" s="99"/>
      <c r="F44" s="99"/>
      <c r="G44" s="99"/>
      <c r="H44" s="4"/>
    </row>
    <row r="45" spans="2:8" ht="18" customHeight="1" x14ac:dyDescent="0.2">
      <c r="B45" s="53" t="s">
        <v>16</v>
      </c>
      <c r="C45" s="100">
        <f>SUM(C35:C43)</f>
        <v>463180</v>
      </c>
      <c r="D45" s="100">
        <f>SUM(D35:D43)</f>
        <v>485349.28</v>
      </c>
      <c r="E45" s="100">
        <f>SUM(E35:E43)</f>
        <v>521504.54888000007</v>
      </c>
      <c r="F45" s="100">
        <f>SUM(F35:F43)</f>
        <v>557359.80925048003</v>
      </c>
      <c r="G45" s="100">
        <f>SUM(G35:G43)</f>
        <v>568192.16485526401</v>
      </c>
      <c r="H45" s="44"/>
    </row>
    <row r="46" spans="2:8" ht="18" customHeight="1" x14ac:dyDescent="0.2">
      <c r="C46" s="133"/>
      <c r="D46" s="133"/>
      <c r="E46" s="133"/>
      <c r="F46" s="133"/>
      <c r="G46" s="133"/>
    </row>
    <row r="47" spans="2:8" ht="18" customHeight="1" x14ac:dyDescent="0.2">
      <c r="B47" s="53" t="s">
        <v>149</v>
      </c>
      <c r="C47" s="100">
        <f>C27-C45</f>
        <v>91795</v>
      </c>
      <c r="D47" s="100">
        <f>D27-D45</f>
        <v>109028.94500000007</v>
      </c>
      <c r="E47" s="100">
        <f>E27-E45</f>
        <v>115074.53009499999</v>
      </c>
      <c r="F47" s="100">
        <f>F27-F45</f>
        <v>124416.38433174521</v>
      </c>
      <c r="G47" s="100">
        <f>G27-G45</f>
        <v>161990.13847129908</v>
      </c>
      <c r="H47" s="44"/>
    </row>
    <row r="48" spans="2:8" ht="18" customHeight="1" x14ac:dyDescent="0.2">
      <c r="B48" s="10" t="s">
        <v>153</v>
      </c>
      <c r="C48" s="131">
        <f>C47/C16</f>
        <v>9.05276134122288E-2</v>
      </c>
      <c r="D48" s="131">
        <f>D47/D16</f>
        <v>0.10039553165118782</v>
      </c>
      <c r="E48" s="131">
        <f>E47/E16</f>
        <v>9.89378146698556E-2</v>
      </c>
      <c r="F48" s="131">
        <f>F47/F16</f>
        <v>9.9878315388378658E-2</v>
      </c>
      <c r="G48" s="131">
        <f>G47/G16</f>
        <v>0.12142070168964351</v>
      </c>
    </row>
    <row r="49" spans="2:8" ht="6.95" customHeight="1" x14ac:dyDescent="0.2"/>
    <row r="50" spans="2:8" ht="18" customHeight="1" x14ac:dyDescent="0.2">
      <c r="C50" s="38"/>
      <c r="D50" s="38"/>
      <c r="E50" s="38"/>
      <c r="F50" s="38"/>
      <c r="G50" s="38"/>
    </row>
    <row r="51" spans="2:8" ht="18" customHeight="1" x14ac:dyDescent="0.2">
      <c r="B51" s="109" t="s">
        <v>185</v>
      </c>
      <c r="C51" s="45"/>
      <c r="D51" s="45"/>
      <c r="E51" s="45"/>
      <c r="F51" s="45"/>
      <c r="G51" s="45"/>
      <c r="H51" s="44"/>
    </row>
    <row r="52" spans="2:8" ht="18" customHeight="1" x14ac:dyDescent="0.2">
      <c r="B52" s="7"/>
      <c r="C52" s="47"/>
      <c r="D52" s="47"/>
      <c r="E52" s="47"/>
      <c r="F52" s="47"/>
      <c r="G52" s="47"/>
      <c r="H52" s="4"/>
    </row>
    <row r="53" spans="2:8" ht="18" customHeight="1" x14ac:dyDescent="0.2">
      <c r="B53" s="129" t="s">
        <v>148</v>
      </c>
      <c r="C53" s="52">
        <v>0</v>
      </c>
      <c r="D53" s="52">
        <v>0</v>
      </c>
      <c r="E53" s="52"/>
      <c r="F53" s="52">
        <v>0</v>
      </c>
      <c r="G53" s="52">
        <v>0</v>
      </c>
      <c r="H53" s="4"/>
    </row>
    <row r="54" spans="2:8" ht="18" customHeight="1" x14ac:dyDescent="0.2">
      <c r="B54" s="54" t="s">
        <v>12</v>
      </c>
      <c r="C54" s="99">
        <f>SUM('Loan Payment Calculator'!E7:E18)</f>
        <v>2243.4991153195315</v>
      </c>
      <c r="D54" s="99">
        <f>SUM('Loan Payment Calculator'!E19:E30)</f>
        <v>1791.0621199988557</v>
      </c>
      <c r="E54" s="99">
        <f>SUM('Loan Payment Calculator'!E31:E42)</f>
        <v>1316.003274912146</v>
      </c>
      <c r="F54" s="99">
        <f>SUM('Loan Payment Calculator'!E43:E54)</f>
        <v>817.19148757110031</v>
      </c>
      <c r="G54" s="99">
        <f>SUM('Loan Payment Calculator'!E55:E66)</f>
        <v>293.43911086300199</v>
      </c>
      <c r="H54" s="4"/>
    </row>
    <row r="55" spans="2:8" ht="18" customHeight="1" x14ac:dyDescent="0.2">
      <c r="B55" s="4"/>
      <c r="C55" s="99"/>
      <c r="D55" s="99"/>
      <c r="E55" s="99"/>
      <c r="F55" s="99"/>
      <c r="G55" s="99"/>
      <c r="H55" s="4"/>
    </row>
    <row r="56" spans="2:8" ht="18" customHeight="1" x14ac:dyDescent="0.2">
      <c r="B56" s="53" t="s">
        <v>67</v>
      </c>
      <c r="C56" s="100">
        <f>SUM(C53:C54)</f>
        <v>2243.4991153195315</v>
      </c>
      <c r="D56" s="100">
        <f>SUM(D53:D54)</f>
        <v>1791.0621199988557</v>
      </c>
      <c r="E56" s="100">
        <f>SUM(E53:E54)</f>
        <v>1316.003274912146</v>
      </c>
      <c r="F56" s="100">
        <f>SUM(F53:F54)</f>
        <v>817.19148757110031</v>
      </c>
      <c r="G56" s="100">
        <f>SUM(G53:G54)</f>
        <v>293.43911086300199</v>
      </c>
      <c r="H56" s="44"/>
    </row>
    <row r="58" spans="2:8" ht="18" customHeight="1" x14ac:dyDescent="0.2">
      <c r="B58" s="127" t="s">
        <v>154</v>
      </c>
      <c r="C58" s="132">
        <f>C47-C56</f>
        <v>89551.50088468047</v>
      </c>
      <c r="D58" s="132">
        <f t="shared" ref="D58:G58" si="2">D47-D56</f>
        <v>107237.88288000121</v>
      </c>
      <c r="E58" s="132">
        <f t="shared" si="2"/>
        <v>113758.52682008785</v>
      </c>
      <c r="F58" s="132">
        <f t="shared" si="2"/>
        <v>123599.19284417412</v>
      </c>
      <c r="G58" s="132">
        <f t="shared" si="2"/>
        <v>161696.69936043609</v>
      </c>
      <c r="H58" s="40"/>
    </row>
    <row r="59" spans="2:8" ht="18" customHeight="1" x14ac:dyDescent="0.2">
      <c r="C59" s="38"/>
      <c r="D59" s="38"/>
      <c r="E59" s="38"/>
      <c r="F59" s="38"/>
      <c r="G59" s="38"/>
    </row>
    <row r="60" spans="2:8" ht="18" customHeight="1" x14ac:dyDescent="0.2">
      <c r="B60" s="109"/>
      <c r="C60" s="51"/>
      <c r="D60" s="51"/>
      <c r="E60" s="51"/>
      <c r="F60" s="51"/>
      <c r="G60" s="51"/>
      <c r="H60" s="44"/>
    </row>
    <row r="61" spans="2:8" ht="20.100000000000001" customHeight="1" x14ac:dyDescent="0.2">
      <c r="B61" s="13" t="s">
        <v>71</v>
      </c>
      <c r="C61" s="41"/>
      <c r="D61" s="41"/>
      <c r="E61" s="41"/>
      <c r="F61" s="41"/>
      <c r="G61" s="41"/>
      <c r="H61" s="40"/>
    </row>
    <row r="62" spans="2:8" ht="6.95" customHeight="1" x14ac:dyDescent="0.2">
      <c r="B62" s="4"/>
      <c r="C62" s="47"/>
      <c r="D62" s="47"/>
      <c r="E62" s="47"/>
      <c r="F62" s="47"/>
      <c r="G62" s="47"/>
      <c r="H62" s="4"/>
    </row>
    <row r="63" spans="2:8" ht="18" customHeight="1" x14ac:dyDescent="0.2">
      <c r="B63" s="129" t="s">
        <v>163</v>
      </c>
      <c r="C63" s="99">
        <f>C58*'Model Inputs'!$C$63</f>
        <v>17910.300176936096</v>
      </c>
      <c r="D63" s="99">
        <f>D58*'Model Inputs'!$C$63</f>
        <v>21447.576576000243</v>
      </c>
      <c r="E63" s="99">
        <f>E58*'Model Inputs'!$C$63</f>
        <v>22751.705364017573</v>
      </c>
      <c r="F63" s="99">
        <f>F58*'Model Inputs'!$C$63</f>
        <v>24719.838568834824</v>
      </c>
      <c r="G63" s="99">
        <f>G58*'Model Inputs'!$C$63</f>
        <v>32339.339872087221</v>
      </c>
      <c r="H63" s="4"/>
    </row>
    <row r="64" spans="2:8" ht="18" customHeight="1" x14ac:dyDescent="0.2">
      <c r="B64" s="129" t="s">
        <v>186</v>
      </c>
      <c r="C64" s="105">
        <v>0</v>
      </c>
      <c r="D64" s="105">
        <v>0</v>
      </c>
      <c r="E64" s="105">
        <v>0</v>
      </c>
      <c r="F64" s="105">
        <v>0</v>
      </c>
      <c r="G64" s="105">
        <v>0</v>
      </c>
      <c r="H64" s="4"/>
    </row>
    <row r="65" spans="2:8" ht="6.95" customHeight="1" thickBot="1" x14ac:dyDescent="0.25">
      <c r="B65" s="4"/>
      <c r="C65" s="99"/>
      <c r="D65" s="99"/>
      <c r="E65" s="99"/>
      <c r="F65" s="99"/>
      <c r="G65" s="99"/>
      <c r="H65" s="4"/>
    </row>
    <row r="66" spans="2:8" ht="20.100000000000001" customHeight="1" thickTop="1" x14ac:dyDescent="0.2">
      <c r="B66" s="48" t="s">
        <v>72</v>
      </c>
      <c r="C66" s="104">
        <f>SUM(C63:C64)</f>
        <v>17910.300176936096</v>
      </c>
      <c r="D66" s="104">
        <f>SUM(D63:D64)</f>
        <v>21447.576576000243</v>
      </c>
      <c r="E66" s="104">
        <f>SUM(E63:E64)</f>
        <v>22751.705364017573</v>
      </c>
      <c r="F66" s="104">
        <f>SUM(F63:F64)</f>
        <v>24719.838568834824</v>
      </c>
      <c r="G66" s="104">
        <f>SUM(G63:G64)</f>
        <v>32339.339872087221</v>
      </c>
      <c r="H66" s="49"/>
    </row>
    <row r="67" spans="2:8" ht="18" customHeight="1" x14ac:dyDescent="0.2">
      <c r="C67" s="38"/>
      <c r="D67" s="38"/>
      <c r="E67" s="38"/>
      <c r="F67" s="38"/>
      <c r="G67" s="38"/>
    </row>
    <row r="68" spans="2:8" ht="20.100000000000001" customHeight="1" x14ac:dyDescent="0.2">
      <c r="B68" s="13" t="s">
        <v>74</v>
      </c>
      <c r="C68" s="132">
        <f>C58-C66</f>
        <v>71641.20070774437</v>
      </c>
      <c r="D68" s="132">
        <f t="shared" ref="D68:G68" si="3">D58-D66</f>
        <v>85790.306304000973</v>
      </c>
      <c r="E68" s="132">
        <f t="shared" si="3"/>
        <v>91006.821456070276</v>
      </c>
      <c r="F68" s="132">
        <f t="shared" si="3"/>
        <v>98879.354275339298</v>
      </c>
      <c r="G68" s="132">
        <f t="shared" si="3"/>
        <v>129357.35948834887</v>
      </c>
      <c r="H68" s="40"/>
    </row>
    <row r="69" spans="2:8" ht="18" customHeight="1" x14ac:dyDescent="0.2">
      <c r="C69" s="38"/>
      <c r="D69" s="38"/>
      <c r="E69" s="38"/>
      <c r="F69" s="38"/>
      <c r="G69" s="38"/>
    </row>
    <row r="70" spans="2:8" ht="18" customHeight="1" x14ac:dyDescent="0.2">
      <c r="B70" s="129" t="s">
        <v>157</v>
      </c>
      <c r="C70" s="99">
        <f>IF(C68&gt;0,C68*'Model Inputs'!$C68,0)</f>
        <v>21492.36021232331</v>
      </c>
      <c r="D70" s="99">
        <f>IF(D68&gt;0,D68*'Model Inputs'!$C68,0)</f>
        <v>25737.091891200293</v>
      </c>
      <c r="E70" s="99">
        <f>IF(E68&gt;0,E68*'Model Inputs'!$C68,0)</f>
        <v>27302.046436821081</v>
      </c>
      <c r="F70" s="99">
        <f>IF(F68&gt;0,F68*'Model Inputs'!$C68,0)</f>
        <v>29663.806282601789</v>
      </c>
      <c r="G70" s="99">
        <f>IF(G68&gt;0,G68*'Model Inputs'!$C68,0)</f>
        <v>38807.207846504658</v>
      </c>
      <c r="H70" s="4"/>
    </row>
    <row r="71" spans="2:8" ht="18" customHeight="1" x14ac:dyDescent="0.2">
      <c r="C71" s="11"/>
      <c r="D71" s="11"/>
      <c r="E71" s="11"/>
      <c r="F71" s="11"/>
      <c r="G71" s="11"/>
    </row>
    <row r="72" spans="2:8" ht="18" customHeight="1" x14ac:dyDescent="0.2">
      <c r="B72" s="127" t="s">
        <v>158</v>
      </c>
      <c r="C72" s="132">
        <f>C68-C70</f>
        <v>50148.840495421056</v>
      </c>
      <c r="D72" s="132">
        <f t="shared" ref="D72:G72" si="4">D68-D70</f>
        <v>60053.214412800677</v>
      </c>
      <c r="E72" s="132">
        <f t="shared" si="4"/>
        <v>63704.775019249195</v>
      </c>
      <c r="F72" s="132">
        <f t="shared" si="4"/>
        <v>69215.547992737513</v>
      </c>
      <c r="G72" s="132">
        <f t="shared" si="4"/>
        <v>90550.151641844219</v>
      </c>
      <c r="H72" s="40"/>
    </row>
  </sheetData>
  <mergeCells count="1">
    <mergeCell ref="B3:C3"/>
  </mergeCells>
  <phoneticPr fontId="4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J81"/>
  <sheetViews>
    <sheetView showGridLines="0" workbookViewId="0"/>
  </sheetViews>
  <sheetFormatPr defaultColWidth="9.140625" defaultRowHeight="18" customHeight="1" x14ac:dyDescent="0.2"/>
  <cols>
    <col min="1" max="1" width="9.140625" style="10"/>
    <col min="2" max="2" width="39.5703125" style="10" customWidth="1"/>
    <col min="3" max="8" width="11.5703125" style="10" customWidth="1"/>
    <col min="9" max="9" width="4" style="10" customWidth="1"/>
    <col min="10" max="16384" width="9.140625" style="10"/>
  </cols>
  <sheetData>
    <row r="1" spans="2:9" ht="35.1" customHeight="1" thickBot="1" x14ac:dyDescent="0.25">
      <c r="B1" s="81" t="s">
        <v>77</v>
      </c>
      <c r="C1" s="81"/>
      <c r="D1" s="81"/>
      <c r="E1" s="81"/>
      <c r="F1" s="81"/>
      <c r="G1" s="81"/>
      <c r="H1" s="81"/>
      <c r="I1" s="81"/>
    </row>
    <row r="2" spans="2:9" ht="18" customHeight="1" thickTop="1" x14ac:dyDescent="0.2">
      <c r="B2" s="134"/>
      <c r="C2" s="134"/>
      <c r="D2" s="134"/>
      <c r="E2" s="134"/>
      <c r="F2" s="134"/>
      <c r="G2" s="134"/>
      <c r="H2" s="134"/>
      <c r="I2" s="134"/>
    </row>
    <row r="3" spans="2:9" ht="18" customHeight="1" x14ac:dyDescent="0.2">
      <c r="B3" s="204" t="str">
        <f>'Model Inputs'!B3</f>
        <v>Company Name</v>
      </c>
      <c r="C3" s="205"/>
      <c r="D3" s="134"/>
      <c r="E3" s="134"/>
      <c r="F3" s="134"/>
      <c r="G3" s="134"/>
      <c r="H3" s="134"/>
      <c r="I3" s="134"/>
    </row>
    <row r="4" spans="2:9" ht="18" customHeight="1" x14ac:dyDescent="0.2">
      <c r="B4" s="134"/>
      <c r="C4" s="134"/>
      <c r="D4" s="134"/>
      <c r="E4" s="134"/>
      <c r="F4" s="134"/>
      <c r="G4" s="134"/>
      <c r="H4" s="134"/>
      <c r="I4" s="134"/>
    </row>
    <row r="5" spans="2:9" ht="20.100000000000001" customHeight="1" x14ac:dyDescent="0.2">
      <c r="B5" s="13" t="s">
        <v>78</v>
      </c>
      <c r="C5" s="64"/>
      <c r="D5" s="65"/>
      <c r="E5" s="65"/>
      <c r="F5" s="65"/>
      <c r="G5" s="65"/>
      <c r="H5" s="65"/>
      <c r="I5" s="40"/>
    </row>
    <row r="6" spans="2:9" ht="6.95" customHeight="1" x14ac:dyDescent="0.2"/>
    <row r="7" spans="2:9" ht="20.100000000000001" customHeight="1" x14ac:dyDescent="0.2">
      <c r="B7" s="53" t="s">
        <v>85</v>
      </c>
      <c r="C7" s="45" t="s">
        <v>34</v>
      </c>
      <c r="D7" s="68" t="s">
        <v>2</v>
      </c>
      <c r="E7" s="68" t="s">
        <v>3</v>
      </c>
      <c r="F7" s="68" t="s">
        <v>4</v>
      </c>
      <c r="G7" s="68" t="s">
        <v>5</v>
      </c>
      <c r="H7" s="68" t="s">
        <v>6</v>
      </c>
      <c r="I7" s="44"/>
    </row>
    <row r="8" spans="2:9" ht="6.95" customHeight="1" x14ac:dyDescent="0.2">
      <c r="B8" s="4"/>
      <c r="C8" s="4"/>
      <c r="D8" s="4"/>
      <c r="E8" s="4"/>
      <c r="F8" s="4"/>
      <c r="G8" s="4"/>
      <c r="H8" s="4"/>
      <c r="I8" s="4"/>
    </row>
    <row r="9" spans="2:9" ht="18" customHeight="1" x14ac:dyDescent="0.2">
      <c r="B9" s="54" t="s">
        <v>29</v>
      </c>
      <c r="C9" s="105">
        <v>53600</v>
      </c>
      <c r="D9" s="99">
        <f>'Cash Flow'!C38</f>
        <v>26349.596594705486</v>
      </c>
      <c r="E9" s="99">
        <f>'Cash Flow'!D38</f>
        <v>73798.167512480199</v>
      </c>
      <c r="F9" s="99">
        <f>'Cash Flow'!E38</f>
        <v>118538.6467456565</v>
      </c>
      <c r="G9" s="99">
        <f>'Cash Flow'!F38</f>
        <v>168151.23970246431</v>
      </c>
      <c r="H9" s="99">
        <f>'Cash Flow'!G38</f>
        <v>249333.14990901051</v>
      </c>
      <c r="I9" s="4"/>
    </row>
    <row r="10" spans="2:9" ht="18" customHeight="1" x14ac:dyDescent="0.2">
      <c r="B10" s="54" t="s">
        <v>20</v>
      </c>
      <c r="C10" s="105">
        <v>120000</v>
      </c>
      <c r="D10" s="99">
        <f>'Monthly Cash'!N40</f>
        <v>142380</v>
      </c>
      <c r="E10" s="99">
        <f>'Monthly Cash'!Z40</f>
        <v>154618.98000000021</v>
      </c>
      <c r="F10" s="99">
        <f>'Monthly Cash'!AL40</f>
        <v>167726.92758000013</v>
      </c>
      <c r="G10" s="99">
        <f>'Monthly Cash'!AX40</f>
        <v>181765.53943818016</v>
      </c>
      <c r="H10" s="99">
        <f>'Monthly Cash'!BJ40</f>
        <v>196800.89273829083</v>
      </c>
      <c r="I10" s="4"/>
    </row>
    <row r="11" spans="2:9" ht="18" customHeight="1" x14ac:dyDescent="0.2">
      <c r="B11" s="54" t="s">
        <v>21</v>
      </c>
      <c r="C11" s="105">
        <v>40000</v>
      </c>
      <c r="D11" s="99">
        <f>'Profit and Loss'!C25*'Model Inputs'!$C83/365</f>
        <v>75456.164383561641</v>
      </c>
      <c r="E11" s="99">
        <f>'Profit and Loss'!D25*'Model Inputs'!$C83/365</f>
        <v>80813.552054794505</v>
      </c>
      <c r="F11" s="99">
        <f>'Profit and Loss'!E25*'Model Inputs'!$C83/365</f>
        <v>86551.314250684925</v>
      </c>
      <c r="G11" s="99">
        <f>'Profit and Loss'!F25*'Model Inputs'!$C83/365</f>
        <v>92696.457562483585</v>
      </c>
      <c r="H11" s="99">
        <f>'Profit and Loss'!G25*'Model Inputs'!$C83/365</f>
        <v>99277.906049419893</v>
      </c>
      <c r="I11" s="4"/>
    </row>
    <row r="12" spans="2:9" ht="18" customHeight="1" x14ac:dyDescent="0.2">
      <c r="B12" s="54" t="s">
        <v>22</v>
      </c>
      <c r="C12" s="105">
        <v>0</v>
      </c>
      <c r="D12" s="99">
        <f t="shared" ref="D12:H12" si="0">C12</f>
        <v>0</v>
      </c>
      <c r="E12" s="99">
        <f t="shared" si="0"/>
        <v>0</v>
      </c>
      <c r="F12" s="99">
        <f t="shared" si="0"/>
        <v>0</v>
      </c>
      <c r="G12" s="99">
        <f t="shared" si="0"/>
        <v>0</v>
      </c>
      <c r="H12" s="99">
        <f t="shared" si="0"/>
        <v>0</v>
      </c>
      <c r="I12" s="4"/>
    </row>
    <row r="13" spans="2:9" ht="18" customHeight="1" x14ac:dyDescent="0.2">
      <c r="B13" s="151" t="s">
        <v>165</v>
      </c>
      <c r="C13" s="105">
        <v>0</v>
      </c>
      <c r="D13" s="99">
        <f>IF('Profit and Loss'!C66&lt;0,-'Profit and Loss'!C63,0)</f>
        <v>0</v>
      </c>
      <c r="E13" s="99">
        <f>IF('Profit and Loss'!D66&lt;0,-'Profit and Loss'!D63,0)</f>
        <v>0</v>
      </c>
      <c r="F13" s="99">
        <f>IF('Profit and Loss'!E66&lt;0,-'Profit and Loss'!E63,0)</f>
        <v>0</v>
      </c>
      <c r="G13" s="99">
        <f>IF('Profit and Loss'!F66&lt;0,-'Profit and Loss'!F63,0)</f>
        <v>0</v>
      </c>
      <c r="H13" s="99">
        <f>IF('Profit and Loss'!G66&lt;0,-'Profit and Loss'!G63,0)</f>
        <v>0</v>
      </c>
      <c r="I13" s="4"/>
    </row>
    <row r="14" spans="2:9" ht="6.95" customHeight="1" x14ac:dyDescent="0.2">
      <c r="B14" s="4"/>
      <c r="C14" s="99"/>
      <c r="D14" s="99"/>
      <c r="E14" s="99"/>
      <c r="F14" s="99"/>
      <c r="G14" s="99"/>
      <c r="H14" s="99"/>
      <c r="I14" s="4"/>
    </row>
    <row r="15" spans="2:9" ht="20.100000000000001" customHeight="1" x14ac:dyDescent="0.2">
      <c r="B15" s="53" t="s">
        <v>33</v>
      </c>
      <c r="C15" s="100">
        <f t="shared" ref="C15:H15" si="1">SUM(C9:C13)</f>
        <v>213600</v>
      </c>
      <c r="D15" s="100">
        <f t="shared" si="1"/>
        <v>244185.76097826712</v>
      </c>
      <c r="E15" s="100">
        <f t="shared" si="1"/>
        <v>309230.69956727489</v>
      </c>
      <c r="F15" s="100">
        <f t="shared" si="1"/>
        <v>372816.88857634156</v>
      </c>
      <c r="G15" s="100">
        <f t="shared" si="1"/>
        <v>442613.23670312809</v>
      </c>
      <c r="H15" s="100">
        <f t="shared" si="1"/>
        <v>545411.94869672123</v>
      </c>
      <c r="I15" s="44"/>
    </row>
    <row r="16" spans="2:9" ht="20.100000000000001" customHeight="1" x14ac:dyDescent="0.2">
      <c r="C16" s="38"/>
      <c r="D16" s="38"/>
      <c r="E16" s="38"/>
      <c r="F16" s="38"/>
      <c r="G16" s="38"/>
      <c r="H16" s="38"/>
    </row>
    <row r="17" spans="2:9" ht="20.100000000000001" customHeight="1" x14ac:dyDescent="0.2">
      <c r="B17" s="53" t="s">
        <v>82</v>
      </c>
      <c r="C17" s="45" t="s">
        <v>34</v>
      </c>
      <c r="D17" s="68" t="s">
        <v>2</v>
      </c>
      <c r="E17" s="68" t="s">
        <v>3</v>
      </c>
      <c r="F17" s="68" t="s">
        <v>4</v>
      </c>
      <c r="G17" s="68" t="s">
        <v>5</v>
      </c>
      <c r="H17" s="68" t="s">
        <v>6</v>
      </c>
      <c r="I17" s="44"/>
    </row>
    <row r="18" spans="2:9" ht="6.95" customHeight="1" x14ac:dyDescent="0.2">
      <c r="B18" s="4"/>
      <c r="C18" s="47"/>
      <c r="D18" s="47"/>
      <c r="E18" s="47"/>
      <c r="F18" s="47"/>
      <c r="G18" s="47"/>
      <c r="H18" s="47"/>
      <c r="I18" s="4"/>
    </row>
    <row r="19" spans="2:9" ht="18" customHeight="1" x14ac:dyDescent="0.2">
      <c r="B19" s="129" t="s">
        <v>167</v>
      </c>
      <c r="C19" s="105">
        <v>200000</v>
      </c>
      <c r="D19" s="99">
        <f t="shared" ref="D19:H20" si="2">C19</f>
        <v>200000</v>
      </c>
      <c r="E19" s="99">
        <f t="shared" si="2"/>
        <v>200000</v>
      </c>
      <c r="F19" s="99">
        <f t="shared" si="2"/>
        <v>200000</v>
      </c>
      <c r="G19" s="99">
        <f t="shared" si="2"/>
        <v>200000</v>
      </c>
      <c r="H19" s="99">
        <f t="shared" si="2"/>
        <v>200000</v>
      </c>
      <c r="I19" s="4"/>
    </row>
    <row r="20" spans="2:9" ht="18" customHeight="1" x14ac:dyDescent="0.2">
      <c r="B20" s="129" t="s">
        <v>168</v>
      </c>
      <c r="C20" s="105">
        <v>100000</v>
      </c>
      <c r="D20" s="99">
        <f t="shared" si="2"/>
        <v>100000</v>
      </c>
      <c r="E20" s="99">
        <f t="shared" si="2"/>
        <v>100000</v>
      </c>
      <c r="F20" s="99">
        <f t="shared" si="2"/>
        <v>100000</v>
      </c>
      <c r="G20" s="99">
        <f t="shared" si="2"/>
        <v>100000</v>
      </c>
      <c r="H20" s="99">
        <f t="shared" si="2"/>
        <v>100000</v>
      </c>
      <c r="I20" s="4"/>
    </row>
    <row r="21" spans="2:9" ht="18" customHeight="1" x14ac:dyDescent="0.2">
      <c r="B21" s="129" t="s">
        <v>184</v>
      </c>
      <c r="C21" s="105">
        <v>100000</v>
      </c>
      <c r="D21" s="105">
        <f>C21+'Model Inputs'!C55</f>
        <v>120000</v>
      </c>
      <c r="E21" s="105">
        <f>D21+'Model Inputs'!D55</f>
        <v>140000</v>
      </c>
      <c r="F21" s="105">
        <f>E21+'Model Inputs'!E55</f>
        <v>160000</v>
      </c>
      <c r="G21" s="105">
        <f>F21+'Model Inputs'!F55</f>
        <v>180000</v>
      </c>
      <c r="H21" s="105">
        <f>G21+'Model Inputs'!G55</f>
        <v>200000</v>
      </c>
      <c r="I21" s="4"/>
    </row>
    <row r="22" spans="2:9" ht="18" customHeight="1" x14ac:dyDescent="0.2">
      <c r="B22" s="54"/>
      <c r="C22" s="105"/>
      <c r="D22" s="105"/>
      <c r="E22" s="105"/>
      <c r="F22" s="105"/>
      <c r="G22" s="105"/>
      <c r="H22" s="105"/>
      <c r="I22" s="4"/>
    </row>
    <row r="23" spans="2:9" ht="18" customHeight="1" x14ac:dyDescent="0.2">
      <c r="B23" s="54" t="s">
        <v>99</v>
      </c>
      <c r="C23" s="99">
        <v>6000</v>
      </c>
      <c r="D23" s="99">
        <f>C23+'Profit and Loss'!C38</f>
        <v>26000</v>
      </c>
      <c r="E23" s="99">
        <f>D23+'Profit and Loss'!D38</f>
        <v>48800</v>
      </c>
      <c r="F23" s="99">
        <f>E23+'Profit and Loss'!E38</f>
        <v>71600</v>
      </c>
      <c r="G23" s="99">
        <f>F23+'Profit and Loss'!F38</f>
        <v>93840</v>
      </c>
      <c r="H23" s="99">
        <f>G23+'Profit and Loss'!G38</f>
        <v>115520</v>
      </c>
      <c r="I23" s="4"/>
    </row>
    <row r="24" spans="2:9" ht="6.95" customHeight="1" x14ac:dyDescent="0.2">
      <c r="B24" s="4"/>
      <c r="C24" s="99"/>
      <c r="D24" s="99"/>
      <c r="E24" s="99"/>
      <c r="F24" s="99"/>
      <c r="G24" s="99"/>
      <c r="H24" s="99"/>
      <c r="I24" s="4"/>
    </row>
    <row r="25" spans="2:9" ht="20.100000000000001" customHeight="1" x14ac:dyDescent="0.2">
      <c r="B25" s="53" t="s">
        <v>83</v>
      </c>
      <c r="C25" s="100">
        <f t="shared" ref="C25:H25" si="3">SUM(C19:C22)-C23</f>
        <v>394000</v>
      </c>
      <c r="D25" s="100">
        <f t="shared" si="3"/>
        <v>394000</v>
      </c>
      <c r="E25" s="100">
        <f t="shared" si="3"/>
        <v>391200</v>
      </c>
      <c r="F25" s="100">
        <f>SUM(F19:F22)-F23</f>
        <v>388400</v>
      </c>
      <c r="G25" s="100">
        <f t="shared" si="3"/>
        <v>386160</v>
      </c>
      <c r="H25" s="100">
        <f t="shared" si="3"/>
        <v>384480</v>
      </c>
      <c r="I25" s="44"/>
    </row>
    <row r="26" spans="2:9" ht="20.100000000000001" customHeight="1" x14ac:dyDescent="0.2">
      <c r="C26" s="38"/>
      <c r="D26" s="38"/>
      <c r="E26" s="38"/>
      <c r="F26" s="38"/>
      <c r="G26" s="38"/>
      <c r="H26" s="38"/>
    </row>
    <row r="27" spans="2:9" ht="20.100000000000001" customHeight="1" x14ac:dyDescent="0.2">
      <c r="B27" s="53" t="s">
        <v>81</v>
      </c>
      <c r="C27" s="45" t="s">
        <v>34</v>
      </c>
      <c r="D27" s="68" t="s">
        <v>2</v>
      </c>
      <c r="E27" s="68" t="s">
        <v>3</v>
      </c>
      <c r="F27" s="68" t="s">
        <v>4</v>
      </c>
      <c r="G27" s="68" t="s">
        <v>5</v>
      </c>
      <c r="H27" s="68" t="s">
        <v>6</v>
      </c>
      <c r="I27" s="44"/>
    </row>
    <row r="28" spans="2:9" ht="6.95" customHeight="1" x14ac:dyDescent="0.2">
      <c r="B28" s="4"/>
      <c r="C28" s="47"/>
      <c r="D28" s="47"/>
      <c r="E28" s="47"/>
      <c r="F28" s="47"/>
      <c r="G28" s="47"/>
      <c r="H28" s="47"/>
      <c r="I28" s="4"/>
    </row>
    <row r="29" spans="2:9" ht="18" customHeight="1" x14ac:dyDescent="0.2">
      <c r="B29" s="54" t="s">
        <v>19</v>
      </c>
      <c r="C29" s="105">
        <v>0</v>
      </c>
      <c r="D29" s="99">
        <f t="shared" ref="D29:H31" si="4">C29</f>
        <v>0</v>
      </c>
      <c r="E29" s="99">
        <f t="shared" si="4"/>
        <v>0</v>
      </c>
      <c r="F29" s="99">
        <f t="shared" si="4"/>
        <v>0</v>
      </c>
      <c r="G29" s="99">
        <f t="shared" si="4"/>
        <v>0</v>
      </c>
      <c r="H29" s="99">
        <f t="shared" si="4"/>
        <v>0</v>
      </c>
      <c r="I29" s="4"/>
    </row>
    <row r="30" spans="2:9" ht="18" customHeight="1" x14ac:dyDescent="0.2">
      <c r="B30" s="129" t="s">
        <v>172</v>
      </c>
      <c r="C30" s="105">
        <f>IF('Profit and Loss'!C66&lt;0,-'Profit and Loss'!C63,0)</f>
        <v>0</v>
      </c>
      <c r="D30" s="99">
        <f>IF('Profit and Loss'!C66&lt;0,-'Profit and Loss'!C66,0)</f>
        <v>0</v>
      </c>
      <c r="E30" s="99">
        <f>IF('Profit and Loss'!D66&lt;0,-'Profit and Loss'!D66,0)</f>
        <v>0</v>
      </c>
      <c r="F30" s="99">
        <f>IF('Profit and Loss'!E66&lt;0,-'Profit and Loss'!E66,0)</f>
        <v>0</v>
      </c>
      <c r="G30" s="99">
        <f>IF('Profit and Loss'!F66&lt;0,-'Profit and Loss'!F66,0)</f>
        <v>0</v>
      </c>
      <c r="H30" s="99">
        <f>IF('Profit and Loss'!G66&lt;0,-'Profit and Loss'!G66,0)</f>
        <v>0</v>
      </c>
      <c r="I30" s="4"/>
    </row>
    <row r="31" spans="2:9" ht="18" customHeight="1" x14ac:dyDescent="0.2">
      <c r="B31" s="54" t="s">
        <v>30</v>
      </c>
      <c r="C31" s="105">
        <v>0</v>
      </c>
      <c r="D31" s="99">
        <f t="shared" si="4"/>
        <v>0</v>
      </c>
      <c r="E31" s="99">
        <f t="shared" si="4"/>
        <v>0</v>
      </c>
      <c r="F31" s="99">
        <f t="shared" si="4"/>
        <v>0</v>
      </c>
      <c r="G31" s="99">
        <f t="shared" si="4"/>
        <v>0</v>
      </c>
      <c r="H31" s="99">
        <f t="shared" si="4"/>
        <v>0</v>
      </c>
      <c r="I31" s="4"/>
    </row>
    <row r="32" spans="2:9" ht="18" customHeight="1" x14ac:dyDescent="0.2">
      <c r="B32" s="54" t="s">
        <v>18</v>
      </c>
      <c r="C32" s="105">
        <v>0</v>
      </c>
      <c r="D32" s="99">
        <f t="shared" ref="D32:H32" si="5">C32</f>
        <v>0</v>
      </c>
      <c r="E32" s="99">
        <f t="shared" si="5"/>
        <v>0</v>
      </c>
      <c r="F32" s="99">
        <f t="shared" si="5"/>
        <v>0</v>
      </c>
      <c r="G32" s="99">
        <f t="shared" si="5"/>
        <v>0</v>
      </c>
      <c r="H32" s="99">
        <f t="shared" si="5"/>
        <v>0</v>
      </c>
      <c r="I32" s="4"/>
    </row>
    <row r="33" spans="2:9" ht="18" customHeight="1" x14ac:dyDescent="0.2">
      <c r="B33" s="54" t="s">
        <v>31</v>
      </c>
      <c r="C33" s="105">
        <v>0</v>
      </c>
      <c r="D33" s="99">
        <f>C33</f>
        <v>0</v>
      </c>
      <c r="E33" s="99">
        <f>D33</f>
        <v>0</v>
      </c>
      <c r="F33" s="99">
        <f>E33</f>
        <v>0</v>
      </c>
      <c r="G33" s="99">
        <f>F33</f>
        <v>0</v>
      </c>
      <c r="H33" s="99">
        <f>G33</f>
        <v>0</v>
      </c>
      <c r="I33" s="4"/>
    </row>
    <row r="34" spans="2:9" ht="6.95" customHeight="1" x14ac:dyDescent="0.2">
      <c r="B34" s="4"/>
      <c r="C34" s="99"/>
      <c r="D34" s="99"/>
      <c r="E34" s="99"/>
      <c r="F34" s="99"/>
      <c r="G34" s="99"/>
      <c r="H34" s="99"/>
      <c r="I34" s="4"/>
    </row>
    <row r="35" spans="2:9" ht="20.100000000000001" customHeight="1" x14ac:dyDescent="0.2">
      <c r="B35" s="53" t="s">
        <v>84</v>
      </c>
      <c r="C35" s="100">
        <f t="shared" ref="C35:H35" si="6">SUM(C29:C33)</f>
        <v>0</v>
      </c>
      <c r="D35" s="100">
        <f t="shared" si="6"/>
        <v>0</v>
      </c>
      <c r="E35" s="100">
        <f t="shared" si="6"/>
        <v>0</v>
      </c>
      <c r="F35" s="100">
        <f t="shared" si="6"/>
        <v>0</v>
      </c>
      <c r="G35" s="100">
        <f t="shared" si="6"/>
        <v>0</v>
      </c>
      <c r="H35" s="100">
        <f t="shared" si="6"/>
        <v>0</v>
      </c>
      <c r="I35" s="44"/>
    </row>
    <row r="36" spans="2:9" ht="20.100000000000001" customHeight="1" thickBot="1" x14ac:dyDescent="0.25">
      <c r="C36" s="102"/>
      <c r="D36" s="102"/>
      <c r="E36" s="102"/>
      <c r="F36" s="102"/>
      <c r="G36" s="102"/>
      <c r="H36" s="102"/>
    </row>
    <row r="37" spans="2:9" ht="20.100000000000001" customHeight="1" thickTop="1" x14ac:dyDescent="0.2">
      <c r="B37" s="48" t="s">
        <v>94</v>
      </c>
      <c r="C37" s="104">
        <f t="shared" ref="C37:H37" si="7">C15+C25+C35</f>
        <v>607600</v>
      </c>
      <c r="D37" s="104">
        <f t="shared" si="7"/>
        <v>638185.76097826706</v>
      </c>
      <c r="E37" s="104">
        <f t="shared" si="7"/>
        <v>700430.69956727489</v>
      </c>
      <c r="F37" s="104">
        <f t="shared" si="7"/>
        <v>761216.88857634156</v>
      </c>
      <c r="G37" s="104">
        <f t="shared" si="7"/>
        <v>828773.23670312809</v>
      </c>
      <c r="H37" s="104">
        <f t="shared" si="7"/>
        <v>929891.94869672123</v>
      </c>
      <c r="I37" s="49"/>
    </row>
    <row r="38" spans="2:9" ht="18" customHeight="1" x14ac:dyDescent="0.2">
      <c r="C38" s="62"/>
      <c r="D38" s="62"/>
      <c r="E38" s="62"/>
      <c r="F38" s="62"/>
      <c r="G38" s="62"/>
      <c r="H38" s="62"/>
    </row>
    <row r="39" spans="2:9" ht="20.100000000000001" customHeight="1" x14ac:dyDescent="0.2">
      <c r="B39" s="13" t="s">
        <v>79</v>
      </c>
      <c r="C39" s="39"/>
      <c r="D39" s="39"/>
      <c r="E39" s="39"/>
      <c r="F39" s="39"/>
      <c r="G39" s="39"/>
      <c r="H39" s="39"/>
      <c r="I39" s="39"/>
    </row>
    <row r="40" spans="2:9" ht="6.95" customHeight="1" x14ac:dyDescent="0.2">
      <c r="C40" s="38"/>
      <c r="D40" s="38"/>
      <c r="E40" s="38"/>
      <c r="F40" s="38"/>
      <c r="G40" s="38"/>
      <c r="H40" s="38"/>
    </row>
    <row r="41" spans="2:9" ht="18" customHeight="1" x14ac:dyDescent="0.2">
      <c r="B41" s="53" t="s">
        <v>86</v>
      </c>
      <c r="C41" s="45" t="s">
        <v>34</v>
      </c>
      <c r="D41" s="68" t="s">
        <v>2</v>
      </c>
      <c r="E41" s="68" t="s">
        <v>3</v>
      </c>
      <c r="F41" s="68" t="s">
        <v>4</v>
      </c>
      <c r="G41" s="68" t="s">
        <v>5</v>
      </c>
      <c r="H41" s="68" t="s">
        <v>6</v>
      </c>
      <c r="I41" s="44"/>
    </row>
    <row r="42" spans="2:9" ht="6.95" customHeight="1" x14ac:dyDescent="0.2">
      <c r="B42" s="4"/>
      <c r="C42" s="47"/>
      <c r="D42" s="61"/>
      <c r="E42" s="61"/>
      <c r="F42" s="61"/>
      <c r="G42" s="61"/>
      <c r="H42" s="61"/>
      <c r="I42" s="4"/>
    </row>
    <row r="43" spans="2:9" ht="18" customHeight="1" x14ac:dyDescent="0.2">
      <c r="B43" s="54" t="s">
        <v>23</v>
      </c>
      <c r="C43" s="105">
        <v>50000</v>
      </c>
      <c r="D43" s="99">
        <f>'Monthly Cash'!N61</f>
        <v>55083.000000000058</v>
      </c>
      <c r="E43" s="99">
        <f>'Monthly Cash'!Z61</f>
        <v>58993.893000000098</v>
      </c>
      <c r="F43" s="99">
        <f>'Monthly Cash'!AL61</f>
        <v>63182.45940300019</v>
      </c>
      <c r="G43" s="99">
        <f>'Monthly Cash'!AX61</f>
        <v>67668.414020613069</v>
      </c>
      <c r="H43" s="99">
        <f>'Monthly Cash'!BJ61</f>
        <v>72472.871416076669</v>
      </c>
      <c r="I43" s="99"/>
    </row>
    <row r="44" spans="2:9" ht="18" customHeight="1" x14ac:dyDescent="0.2">
      <c r="B44" s="54" t="s">
        <v>24</v>
      </c>
      <c r="C44" s="105">
        <v>0</v>
      </c>
      <c r="D44" s="99">
        <f t="shared" ref="D44:H44" si="8">C44</f>
        <v>0</v>
      </c>
      <c r="E44" s="99">
        <f t="shared" si="8"/>
        <v>0</v>
      </c>
      <c r="F44" s="99">
        <f t="shared" si="8"/>
        <v>0</v>
      </c>
      <c r="G44" s="99">
        <f t="shared" si="8"/>
        <v>0</v>
      </c>
      <c r="H44" s="99">
        <f t="shared" si="8"/>
        <v>0</v>
      </c>
      <c r="I44" s="4"/>
    </row>
    <row r="45" spans="2:9" ht="18" customHeight="1" x14ac:dyDescent="0.2">
      <c r="B45" s="54" t="s">
        <v>164</v>
      </c>
      <c r="C45" s="105">
        <v>25000</v>
      </c>
      <c r="D45" s="99">
        <f>IF('Profit and Loss'!C66&gt;=0,'Profit and Loss'!C66,0)</f>
        <v>17910.300176936096</v>
      </c>
      <c r="E45" s="99">
        <f>IF('Profit and Loss'!D66&gt;=0,'Profit and Loss'!D66,0)</f>
        <v>21447.576576000243</v>
      </c>
      <c r="F45" s="99">
        <f>IF('Profit and Loss'!E66&gt;=0,'Profit and Loss'!E66,0)</f>
        <v>22751.705364017573</v>
      </c>
      <c r="G45" s="99">
        <f>IF('Profit and Loss'!F66&gt;=0,'Profit and Loss'!F66,0)</f>
        <v>24719.838568834824</v>
      </c>
      <c r="H45" s="99">
        <f>IF('Profit and Loss'!G66&gt;=0,'Profit and Loss'!G66,0)</f>
        <v>32339.339872087221</v>
      </c>
      <c r="I45" s="4"/>
    </row>
    <row r="46" spans="2:9" ht="18" customHeight="1" x14ac:dyDescent="0.2">
      <c r="B46" s="54" t="s">
        <v>166</v>
      </c>
      <c r="C46" s="105">
        <v>30000</v>
      </c>
      <c r="D46" s="99">
        <f>'Profit and Loss'!C70</f>
        <v>21492.36021232331</v>
      </c>
      <c r="E46" s="99">
        <f>'Profit and Loss'!D70</f>
        <v>25737.091891200293</v>
      </c>
      <c r="F46" s="99">
        <f>'Profit and Loss'!E70</f>
        <v>27302.046436821081</v>
      </c>
      <c r="G46" s="99">
        <f>'Profit and Loss'!F70</f>
        <v>29663.806282601789</v>
      </c>
      <c r="H46" s="99">
        <f>'Profit and Loss'!G70</f>
        <v>38807.207846504658</v>
      </c>
      <c r="I46" s="4"/>
    </row>
    <row r="47" spans="2:9" ht="18" customHeight="1" x14ac:dyDescent="0.2">
      <c r="B47" s="54" t="s">
        <v>25</v>
      </c>
      <c r="C47" s="105">
        <v>100</v>
      </c>
      <c r="D47" s="99">
        <f>+C47</f>
        <v>100</v>
      </c>
      <c r="E47" s="99">
        <f>+D47</f>
        <v>100</v>
      </c>
      <c r="F47" s="99">
        <f>+E47</f>
        <v>100</v>
      </c>
      <c r="G47" s="99">
        <f>+F47</f>
        <v>100</v>
      </c>
      <c r="H47" s="99">
        <f>+G47</f>
        <v>100</v>
      </c>
      <c r="I47" s="4"/>
    </row>
    <row r="48" spans="2:9" ht="6.95" customHeight="1" x14ac:dyDescent="0.2">
      <c r="B48" s="4"/>
      <c r="C48" s="99"/>
      <c r="D48" s="99"/>
      <c r="E48" s="99"/>
      <c r="F48" s="99"/>
      <c r="G48" s="99"/>
      <c r="H48" s="99"/>
      <c r="I48" s="4"/>
    </row>
    <row r="49" spans="2:9" ht="18" customHeight="1" x14ac:dyDescent="0.2">
      <c r="B49" s="53" t="s">
        <v>89</v>
      </c>
      <c r="C49" s="100">
        <f t="shared" ref="C49:H49" si="9">SUM(C43:C47)</f>
        <v>105100</v>
      </c>
      <c r="D49" s="100">
        <f t="shared" si="9"/>
        <v>94585.660389259472</v>
      </c>
      <c r="E49" s="100">
        <f t="shared" si="9"/>
        <v>106278.56146720063</v>
      </c>
      <c r="F49" s="100">
        <f t="shared" si="9"/>
        <v>113336.21120383884</v>
      </c>
      <c r="G49" s="100">
        <f t="shared" si="9"/>
        <v>122152.05887204967</v>
      </c>
      <c r="H49" s="100">
        <f t="shared" si="9"/>
        <v>143719.41913466854</v>
      </c>
      <c r="I49" s="44"/>
    </row>
    <row r="50" spans="2:9" ht="18" customHeight="1" x14ac:dyDescent="0.2">
      <c r="C50" s="38"/>
      <c r="D50" s="38"/>
      <c r="E50" s="38"/>
      <c r="F50" s="38"/>
      <c r="G50" s="38"/>
      <c r="H50" s="38"/>
    </row>
    <row r="51" spans="2:9" ht="18" customHeight="1" x14ac:dyDescent="0.2">
      <c r="B51" s="53" t="s">
        <v>87</v>
      </c>
      <c r="C51" s="45" t="s">
        <v>34</v>
      </c>
      <c r="D51" s="68" t="s">
        <v>2</v>
      </c>
      <c r="E51" s="68" t="s">
        <v>3</v>
      </c>
      <c r="F51" s="68" t="s">
        <v>4</v>
      </c>
      <c r="G51" s="68" t="s">
        <v>5</v>
      </c>
      <c r="H51" s="68" t="s">
        <v>6</v>
      </c>
      <c r="I51" s="44"/>
    </row>
    <row r="52" spans="2:9" ht="6.95" customHeight="1" x14ac:dyDescent="0.2">
      <c r="B52" s="4"/>
      <c r="C52" s="47"/>
      <c r="D52" s="47"/>
      <c r="E52" s="47"/>
      <c r="F52" s="47"/>
      <c r="G52" s="47"/>
      <c r="H52" s="47"/>
      <c r="I52" s="4"/>
    </row>
    <row r="53" spans="2:9" ht="18" customHeight="1" x14ac:dyDescent="0.2">
      <c r="B53" s="54" t="s">
        <v>97</v>
      </c>
      <c r="C53" s="99">
        <f>IF('Loan Payment Calculator'!B6="",0,'Loan Payment Calculator'!B6)</f>
        <v>50000</v>
      </c>
      <c r="D53" s="99">
        <f>IF('Loan Payment Calculator'!B19="",0,'Loan Payment Calculator'!B19)</f>
        <v>40951.260093586599</v>
      </c>
      <c r="E53" s="99">
        <f>IF('Loan Payment Calculator'!B31="",0,'Loan Payment Calculator'!B31)</f>
        <v>31450.083191852536</v>
      </c>
      <c r="F53" s="99">
        <f>IF('Loan Payment Calculator'!B43="",0,'Loan Payment Calculator'!B43)</f>
        <v>21473.847445031755</v>
      </c>
      <c r="G53" s="99">
        <f>IF('Loan Payment Calculator'!B55="",0,'Loan Payment Calculator'!B55)</f>
        <v>10998.799910869926</v>
      </c>
      <c r="H53" s="99">
        <f>IF('Loan Payment Calculator'!B67="",0,'Loan Payment Calculator'!B67)</f>
        <v>0</v>
      </c>
      <c r="I53" s="4"/>
    </row>
    <row r="54" spans="2:9" ht="18" customHeight="1" x14ac:dyDescent="0.2">
      <c r="B54" s="54" t="s">
        <v>32</v>
      </c>
      <c r="C54" s="105">
        <v>0</v>
      </c>
      <c r="D54" s="105">
        <v>0</v>
      </c>
      <c r="E54" s="105">
        <v>0</v>
      </c>
      <c r="F54" s="105">
        <v>0</v>
      </c>
      <c r="G54" s="105">
        <v>0</v>
      </c>
      <c r="H54" s="105">
        <v>0</v>
      </c>
      <c r="I54" s="4"/>
    </row>
    <row r="55" spans="2:9" ht="6.95" customHeight="1" x14ac:dyDescent="0.2">
      <c r="B55" s="4"/>
      <c r="C55" s="99"/>
      <c r="D55" s="99"/>
      <c r="E55" s="99"/>
      <c r="F55" s="99"/>
      <c r="G55" s="99"/>
      <c r="H55" s="99"/>
      <c r="I55" s="4"/>
    </row>
    <row r="56" spans="2:9" ht="18" customHeight="1" x14ac:dyDescent="0.2">
      <c r="B56" s="53" t="s">
        <v>88</v>
      </c>
      <c r="C56" s="100">
        <f t="shared" ref="C56:H56" si="10">C49+C53+C54</f>
        <v>155100</v>
      </c>
      <c r="D56" s="100">
        <f t="shared" si="10"/>
        <v>135536.92048284606</v>
      </c>
      <c r="E56" s="100">
        <f t="shared" si="10"/>
        <v>137728.64465905319</v>
      </c>
      <c r="F56" s="100">
        <f t="shared" si="10"/>
        <v>134810.05864887059</v>
      </c>
      <c r="G56" s="100">
        <f t="shared" si="10"/>
        <v>133150.85878291959</v>
      </c>
      <c r="H56" s="100">
        <f t="shared" si="10"/>
        <v>143719.41913466854</v>
      </c>
      <c r="I56" s="44"/>
    </row>
    <row r="57" spans="2:9" ht="18" customHeight="1" x14ac:dyDescent="0.2">
      <c r="C57" s="102"/>
      <c r="D57" s="102"/>
      <c r="E57" s="102"/>
      <c r="F57" s="102"/>
      <c r="G57" s="102"/>
      <c r="H57" s="102"/>
    </row>
    <row r="58" spans="2:9" ht="18" customHeight="1" x14ac:dyDescent="0.2">
      <c r="B58" s="53" t="s">
        <v>90</v>
      </c>
      <c r="C58" s="149" t="s">
        <v>34</v>
      </c>
      <c r="D58" s="106" t="s">
        <v>2</v>
      </c>
      <c r="E58" s="106" t="s">
        <v>3</v>
      </c>
      <c r="F58" s="106" t="s">
        <v>4</v>
      </c>
      <c r="G58" s="106" t="s">
        <v>5</v>
      </c>
      <c r="H58" s="106" t="s">
        <v>6</v>
      </c>
      <c r="I58" s="44"/>
    </row>
    <row r="59" spans="2:9" ht="6.95" customHeight="1" x14ac:dyDescent="0.2">
      <c r="B59" s="4"/>
      <c r="C59" s="99"/>
      <c r="D59" s="99"/>
      <c r="E59" s="99"/>
      <c r="F59" s="99"/>
      <c r="G59" s="99"/>
      <c r="H59" s="99"/>
      <c r="I59" s="4"/>
    </row>
    <row r="60" spans="2:9" ht="18" customHeight="1" x14ac:dyDescent="0.2">
      <c r="B60" s="54" t="s">
        <v>91</v>
      </c>
      <c r="C60" s="105">
        <v>0</v>
      </c>
      <c r="D60" s="99">
        <f t="shared" ref="D60:H60" si="11">C60</f>
        <v>0</v>
      </c>
      <c r="E60" s="99">
        <f t="shared" si="11"/>
        <v>0</v>
      </c>
      <c r="F60" s="99">
        <f t="shared" si="11"/>
        <v>0</v>
      </c>
      <c r="G60" s="99">
        <f t="shared" si="11"/>
        <v>0</v>
      </c>
      <c r="H60" s="99">
        <f t="shared" si="11"/>
        <v>0</v>
      </c>
      <c r="I60" s="4"/>
    </row>
    <row r="61" spans="2:9" ht="18" customHeight="1" x14ac:dyDescent="0.2">
      <c r="B61" s="54" t="s">
        <v>91</v>
      </c>
      <c r="C61" s="105">
        <v>0</v>
      </c>
      <c r="D61" s="99">
        <f>C61</f>
        <v>0</v>
      </c>
      <c r="E61" s="99">
        <f>D61</f>
        <v>0</v>
      </c>
      <c r="F61" s="99">
        <f>E61</f>
        <v>0</v>
      </c>
      <c r="G61" s="99">
        <f>F61</f>
        <v>0</v>
      </c>
      <c r="H61" s="99">
        <f>G61</f>
        <v>0</v>
      </c>
      <c r="I61" s="4"/>
    </row>
    <row r="62" spans="2:9" ht="6.95" customHeight="1" x14ac:dyDescent="0.2">
      <c r="B62" s="4"/>
      <c r="C62" s="99"/>
      <c r="D62" s="99"/>
      <c r="E62" s="99"/>
      <c r="F62" s="99"/>
      <c r="G62" s="99"/>
      <c r="H62" s="99"/>
      <c r="I62" s="4"/>
    </row>
    <row r="63" spans="2:9" ht="18" customHeight="1" x14ac:dyDescent="0.2">
      <c r="B63" s="53" t="s">
        <v>92</v>
      </c>
      <c r="C63" s="100">
        <f t="shared" ref="C63:H63" si="12">SUM(C60:C61)</f>
        <v>0</v>
      </c>
      <c r="D63" s="100">
        <f t="shared" si="12"/>
        <v>0</v>
      </c>
      <c r="E63" s="100">
        <f t="shared" si="12"/>
        <v>0</v>
      </c>
      <c r="F63" s="100">
        <f t="shared" si="12"/>
        <v>0</v>
      </c>
      <c r="G63" s="100">
        <f t="shared" si="12"/>
        <v>0</v>
      </c>
      <c r="H63" s="100">
        <f t="shared" si="12"/>
        <v>0</v>
      </c>
      <c r="I63" s="44"/>
    </row>
    <row r="64" spans="2:9" ht="18" customHeight="1" thickBot="1" x14ac:dyDescent="0.25">
      <c r="C64" s="102"/>
      <c r="D64" s="102"/>
      <c r="E64" s="102"/>
      <c r="F64" s="102"/>
      <c r="G64" s="102"/>
      <c r="H64" s="102"/>
    </row>
    <row r="65" spans="2:10" ht="20.100000000000001" customHeight="1" thickTop="1" x14ac:dyDescent="0.2">
      <c r="B65" s="48" t="s">
        <v>93</v>
      </c>
      <c r="C65" s="104">
        <f t="shared" ref="C65:H65" si="13">C49+C53+C63</f>
        <v>155100</v>
      </c>
      <c r="D65" s="104">
        <f t="shared" si="13"/>
        <v>135536.92048284606</v>
      </c>
      <c r="E65" s="104">
        <f t="shared" si="13"/>
        <v>137728.64465905319</v>
      </c>
      <c r="F65" s="104">
        <f t="shared" si="13"/>
        <v>134810.05864887059</v>
      </c>
      <c r="G65" s="104">
        <f t="shared" si="13"/>
        <v>133150.85878291959</v>
      </c>
      <c r="H65" s="104">
        <f t="shared" si="13"/>
        <v>143719.41913466854</v>
      </c>
      <c r="I65" s="49"/>
    </row>
    <row r="66" spans="2:10" ht="18" customHeight="1" x14ac:dyDescent="0.2">
      <c r="C66" s="62"/>
      <c r="D66" s="62"/>
      <c r="E66" s="62"/>
      <c r="F66" s="62"/>
      <c r="G66" s="62"/>
      <c r="H66" s="62"/>
    </row>
    <row r="67" spans="2:10" ht="20.100000000000001" customHeight="1" x14ac:dyDescent="0.2">
      <c r="B67" s="13" t="s">
        <v>80</v>
      </c>
      <c r="C67" s="41"/>
      <c r="D67" s="66"/>
      <c r="E67" s="66"/>
      <c r="F67" s="66"/>
      <c r="G67" s="66"/>
      <c r="H67" s="66"/>
      <c r="I67" s="39"/>
    </row>
    <row r="68" spans="2:10" ht="6.95" customHeight="1" x14ac:dyDescent="0.2">
      <c r="B68" s="69"/>
      <c r="C68" s="70"/>
      <c r="D68" s="71"/>
      <c r="E68" s="71"/>
      <c r="F68" s="71"/>
      <c r="G68" s="71"/>
      <c r="H68" s="71"/>
      <c r="I68" s="4"/>
    </row>
    <row r="69" spans="2:10" ht="18" customHeight="1" x14ac:dyDescent="0.2">
      <c r="B69" s="4"/>
      <c r="C69" s="47" t="s">
        <v>34</v>
      </c>
      <c r="D69" s="61" t="s">
        <v>2</v>
      </c>
      <c r="E69" s="61" t="s">
        <v>3</v>
      </c>
      <c r="F69" s="61" t="s">
        <v>4</v>
      </c>
      <c r="G69" s="61" t="s">
        <v>5</v>
      </c>
      <c r="H69" s="61" t="s">
        <v>6</v>
      </c>
      <c r="I69" s="4"/>
    </row>
    <row r="70" spans="2:10" ht="18" customHeight="1" x14ac:dyDescent="0.2">
      <c r="B70" s="54" t="s">
        <v>26</v>
      </c>
      <c r="C70" s="105">
        <v>90000</v>
      </c>
      <c r="D70" s="99">
        <f t="shared" ref="D70:H72" si="14">C70</f>
        <v>90000</v>
      </c>
      <c r="E70" s="99">
        <f t="shared" si="14"/>
        <v>90000</v>
      </c>
      <c r="F70" s="99">
        <f t="shared" si="14"/>
        <v>90000</v>
      </c>
      <c r="G70" s="99">
        <f t="shared" si="14"/>
        <v>90000</v>
      </c>
      <c r="H70" s="99">
        <f t="shared" si="14"/>
        <v>90000</v>
      </c>
      <c r="I70" s="4"/>
    </row>
    <row r="71" spans="2:10" ht="18" customHeight="1" x14ac:dyDescent="0.2">
      <c r="B71" s="54" t="s">
        <v>35</v>
      </c>
      <c r="C71" s="105">
        <v>0</v>
      </c>
      <c r="D71" s="99">
        <f t="shared" si="14"/>
        <v>0</v>
      </c>
      <c r="E71" s="99">
        <f t="shared" si="14"/>
        <v>0</v>
      </c>
      <c r="F71" s="99">
        <f t="shared" si="14"/>
        <v>0</v>
      </c>
      <c r="G71" s="99">
        <f t="shared" si="14"/>
        <v>0</v>
      </c>
      <c r="H71" s="99">
        <f t="shared" si="14"/>
        <v>0</v>
      </c>
      <c r="I71" s="4"/>
    </row>
    <row r="72" spans="2:10" ht="18" customHeight="1" x14ac:dyDescent="0.2">
      <c r="B72" s="54" t="s">
        <v>27</v>
      </c>
      <c r="C72" s="105">
        <v>0</v>
      </c>
      <c r="D72" s="99">
        <f t="shared" si="14"/>
        <v>0</v>
      </c>
      <c r="E72" s="99">
        <f t="shared" si="14"/>
        <v>0</v>
      </c>
      <c r="F72" s="99">
        <f t="shared" si="14"/>
        <v>0</v>
      </c>
      <c r="G72" s="99">
        <f t="shared" si="14"/>
        <v>0</v>
      </c>
      <c r="H72" s="99">
        <f t="shared" si="14"/>
        <v>0</v>
      </c>
      <c r="I72" s="4"/>
    </row>
    <row r="73" spans="2:10" ht="18" customHeight="1" x14ac:dyDescent="0.2">
      <c r="B73" s="54" t="s">
        <v>28</v>
      </c>
      <c r="C73" s="105">
        <f>C37-C65-C70-C71-C72</f>
        <v>362500</v>
      </c>
      <c r="D73" s="99">
        <f>'Profit and Loss'!C72+C73</f>
        <v>412648.84049542109</v>
      </c>
      <c r="E73" s="99">
        <f>'Profit and Loss'!D72+D73</f>
        <v>472702.05490822176</v>
      </c>
      <c r="F73" s="99">
        <f>'Profit and Loss'!E72+E73</f>
        <v>536406.829927471</v>
      </c>
      <c r="G73" s="99">
        <f>'Profit and Loss'!F72+F73</f>
        <v>605622.3779202085</v>
      </c>
      <c r="H73" s="99">
        <f>'Profit and Loss'!G72+G73</f>
        <v>696172.52956205269</v>
      </c>
      <c r="I73" s="4"/>
    </row>
    <row r="74" spans="2:10" ht="6.95" customHeight="1" thickBot="1" x14ac:dyDescent="0.25">
      <c r="B74" s="4"/>
      <c r="C74" s="99"/>
      <c r="D74" s="99"/>
      <c r="E74" s="99"/>
      <c r="F74" s="99"/>
      <c r="G74" s="99"/>
      <c r="H74" s="99"/>
      <c r="I74" s="4"/>
    </row>
    <row r="75" spans="2:10" ht="20.100000000000001" customHeight="1" thickTop="1" x14ac:dyDescent="0.2">
      <c r="B75" s="48" t="s">
        <v>95</v>
      </c>
      <c r="C75" s="104">
        <f t="shared" ref="C75:H75" si="15">SUM(C70:C73)</f>
        <v>452500</v>
      </c>
      <c r="D75" s="104">
        <f>SUM(D70:D73)</f>
        <v>502648.84049542109</v>
      </c>
      <c r="E75" s="104">
        <f t="shared" si="15"/>
        <v>562702.05490822182</v>
      </c>
      <c r="F75" s="104">
        <f t="shared" si="15"/>
        <v>626406.829927471</v>
      </c>
      <c r="G75" s="104">
        <f t="shared" si="15"/>
        <v>695622.3779202085</v>
      </c>
      <c r="H75" s="104">
        <f t="shared" si="15"/>
        <v>786172.52956205269</v>
      </c>
      <c r="I75" s="49"/>
    </row>
    <row r="76" spans="2:10" ht="18" customHeight="1" thickBot="1" x14ac:dyDescent="0.25">
      <c r="C76" s="102"/>
      <c r="D76" s="102"/>
      <c r="E76" s="102"/>
      <c r="F76" s="102"/>
      <c r="G76" s="102"/>
      <c r="H76" s="102"/>
    </row>
    <row r="77" spans="2:10" ht="20.100000000000001" customHeight="1" thickTop="1" thickBot="1" x14ac:dyDescent="0.25">
      <c r="B77" s="73" t="s">
        <v>96</v>
      </c>
      <c r="C77" s="107">
        <f>C75+C65</f>
        <v>607600</v>
      </c>
      <c r="D77" s="107">
        <f t="shared" ref="D77:H77" si="16">D75+D65</f>
        <v>638185.76097826718</v>
      </c>
      <c r="E77" s="107">
        <f t="shared" si="16"/>
        <v>700430.69956727501</v>
      </c>
      <c r="F77" s="107">
        <f t="shared" si="16"/>
        <v>761216.88857634156</v>
      </c>
      <c r="G77" s="107">
        <f t="shared" si="16"/>
        <v>828773.23670312809</v>
      </c>
      <c r="H77" s="107">
        <f t="shared" si="16"/>
        <v>929891.94869672123</v>
      </c>
      <c r="I77" s="72"/>
    </row>
    <row r="78" spans="2:10" ht="18" customHeight="1" thickTop="1" x14ac:dyDescent="0.2">
      <c r="C78" s="63"/>
      <c r="D78" s="63">
        <f>D77-D37</f>
        <v>0</v>
      </c>
      <c r="E78" s="63">
        <f t="shared" ref="E78:H78" si="17">E77-E37</f>
        <v>0</v>
      </c>
      <c r="F78" s="63">
        <f t="shared" si="17"/>
        <v>0</v>
      </c>
      <c r="G78" s="63">
        <f t="shared" si="17"/>
        <v>0</v>
      </c>
      <c r="H78" s="63">
        <f t="shared" si="17"/>
        <v>0</v>
      </c>
      <c r="J78" s="10" t="s">
        <v>198</v>
      </c>
    </row>
    <row r="79" spans="2:10" ht="18" customHeight="1" x14ac:dyDescent="0.2">
      <c r="B79" s="174" t="s">
        <v>197</v>
      </c>
      <c r="C79" s="133"/>
      <c r="D79" s="133"/>
      <c r="E79" s="133"/>
      <c r="F79" s="133"/>
      <c r="G79" s="133"/>
      <c r="H79" s="133"/>
    </row>
    <row r="80" spans="2:10" ht="18" customHeight="1" x14ac:dyDescent="0.2">
      <c r="E80" s="133"/>
      <c r="F80" s="133"/>
      <c r="G80" s="133"/>
      <c r="H80" s="133"/>
    </row>
    <row r="81" spans="4:8" ht="18" customHeight="1" x14ac:dyDescent="0.2">
      <c r="D81" s="145"/>
      <c r="E81" s="145"/>
      <c r="F81" s="145"/>
      <c r="G81" s="145"/>
      <c r="H81" s="145"/>
    </row>
  </sheetData>
  <mergeCells count="1">
    <mergeCell ref="B3:C3"/>
  </mergeCells>
  <phoneticPr fontId="4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J38"/>
  <sheetViews>
    <sheetView showGridLines="0" workbookViewId="0"/>
  </sheetViews>
  <sheetFormatPr defaultColWidth="9.140625" defaultRowHeight="18" customHeight="1" x14ac:dyDescent="0.2"/>
  <cols>
    <col min="1" max="1" width="9.140625" style="10"/>
    <col min="2" max="2" width="37" style="10" customWidth="1"/>
    <col min="3" max="8" width="11.5703125" style="10" customWidth="1"/>
    <col min="9" max="9" width="4.5703125" style="10" customWidth="1"/>
    <col min="10" max="16384" width="9.140625" style="10"/>
  </cols>
  <sheetData>
    <row r="1" spans="2:9" ht="35.1" customHeight="1" thickBot="1" x14ac:dyDescent="0.25">
      <c r="B1" s="85" t="s">
        <v>98</v>
      </c>
      <c r="C1" s="85"/>
      <c r="D1" s="85"/>
      <c r="E1" s="85"/>
      <c r="F1" s="85"/>
      <c r="G1" s="85"/>
      <c r="H1" s="85"/>
      <c r="I1" s="85"/>
    </row>
    <row r="2" spans="2:9" ht="18" customHeight="1" thickTop="1" x14ac:dyDescent="0.2">
      <c r="B2" s="134"/>
      <c r="C2" s="134"/>
      <c r="D2" s="134"/>
      <c r="E2" s="134"/>
      <c r="F2" s="134"/>
      <c r="G2" s="134"/>
      <c r="H2" s="134"/>
      <c r="I2" s="134"/>
    </row>
    <row r="3" spans="2:9" ht="18" customHeight="1" x14ac:dyDescent="0.2">
      <c r="B3" s="204" t="str">
        <f>Company_Name</f>
        <v>Company Name</v>
      </c>
      <c r="C3" s="205"/>
      <c r="D3" s="134"/>
      <c r="E3" s="134"/>
      <c r="F3" s="134"/>
      <c r="G3" s="134"/>
      <c r="H3" s="134"/>
      <c r="I3" s="134"/>
    </row>
    <row r="4" spans="2:9" ht="18" customHeight="1" x14ac:dyDescent="0.2">
      <c r="B4" s="134"/>
      <c r="C4" s="134"/>
      <c r="D4" s="134"/>
      <c r="E4" s="134"/>
      <c r="F4" s="134"/>
      <c r="G4" s="134"/>
      <c r="H4" s="134"/>
      <c r="I4" s="134"/>
    </row>
    <row r="5" spans="2:9" ht="18" customHeight="1" x14ac:dyDescent="0.2">
      <c r="B5" s="53" t="s">
        <v>43</v>
      </c>
      <c r="C5" s="75" t="s">
        <v>2</v>
      </c>
      <c r="D5" s="75" t="s">
        <v>3</v>
      </c>
      <c r="E5" s="75" t="s">
        <v>4</v>
      </c>
      <c r="F5" s="75" t="s">
        <v>5</v>
      </c>
      <c r="G5" s="75" t="s">
        <v>6</v>
      </c>
      <c r="H5" s="135" t="s">
        <v>36</v>
      </c>
      <c r="I5" s="44"/>
    </row>
    <row r="6" spans="2:9" ht="6.95" customHeight="1" x14ac:dyDescent="0.2">
      <c r="B6" s="4"/>
      <c r="C6" s="2"/>
      <c r="D6" s="2"/>
      <c r="E6" s="2"/>
      <c r="F6" s="2"/>
      <c r="G6" s="2"/>
      <c r="H6" s="136"/>
      <c r="I6" s="4"/>
    </row>
    <row r="7" spans="2:9" ht="18" customHeight="1" x14ac:dyDescent="0.2">
      <c r="B7" s="129" t="s">
        <v>171</v>
      </c>
      <c r="C7" s="99">
        <f>'Profit and Loss'!C58</f>
        <v>89551.50088468047</v>
      </c>
      <c r="D7" s="99">
        <f>'Profit and Loss'!D58</f>
        <v>107237.88288000121</v>
      </c>
      <c r="E7" s="99">
        <f>'Profit and Loss'!E58</f>
        <v>113758.52682008785</v>
      </c>
      <c r="F7" s="99">
        <f>'Profit and Loss'!F58</f>
        <v>123599.19284417412</v>
      </c>
      <c r="G7" s="99">
        <f>'Profit and Loss'!G58</f>
        <v>161696.69936043609</v>
      </c>
      <c r="H7" s="140">
        <f t="shared" ref="H7:H12" si="0">SUM(C7:G7)</f>
        <v>595843.80278937973</v>
      </c>
      <c r="I7" s="4"/>
    </row>
    <row r="8" spans="2:9" ht="18" customHeight="1" x14ac:dyDescent="0.2">
      <c r="B8" s="54" t="s">
        <v>8</v>
      </c>
      <c r="C8" s="99">
        <f>'Profit and Loss'!C38</f>
        <v>20000</v>
      </c>
      <c r="D8" s="99">
        <f>'Profit and Loss'!D38</f>
        <v>22800</v>
      </c>
      <c r="E8" s="99">
        <f>'Profit and Loss'!E38</f>
        <v>22800</v>
      </c>
      <c r="F8" s="99">
        <f>'Profit and Loss'!F38</f>
        <v>22240</v>
      </c>
      <c r="G8" s="99">
        <f>'Profit and Loss'!G38</f>
        <v>21680</v>
      </c>
      <c r="H8" s="140">
        <f t="shared" si="0"/>
        <v>109520</v>
      </c>
      <c r="I8" s="4"/>
    </row>
    <row r="9" spans="2:9" ht="18" customHeight="1" x14ac:dyDescent="0.2">
      <c r="B9" s="54" t="s">
        <v>20</v>
      </c>
      <c r="C9" s="99">
        <f>'Balance Sheet'!C10-'Balance Sheet'!D10</f>
        <v>-22380</v>
      </c>
      <c r="D9" s="99">
        <f>'Balance Sheet'!D10-'Balance Sheet'!E10</f>
        <v>-12238.980000000214</v>
      </c>
      <c r="E9" s="99">
        <f>'Balance Sheet'!E10-'Balance Sheet'!F10</f>
        <v>-13107.94757999992</v>
      </c>
      <c r="F9" s="99">
        <f>'Balance Sheet'!F10-'Balance Sheet'!G10</f>
        <v>-14038.611858180026</v>
      </c>
      <c r="G9" s="99">
        <f>'Balance Sheet'!G10-'Balance Sheet'!H10</f>
        <v>-15035.35330011067</v>
      </c>
      <c r="H9" s="140">
        <f t="shared" si="0"/>
        <v>-76800.89273829083</v>
      </c>
      <c r="I9" s="4"/>
    </row>
    <row r="10" spans="2:9" ht="18" customHeight="1" x14ac:dyDescent="0.2">
      <c r="B10" s="54" t="s">
        <v>37</v>
      </c>
      <c r="C10" s="99">
        <f>'Balance Sheet'!C11-'Balance Sheet'!D11</f>
        <v>-35456.164383561641</v>
      </c>
      <c r="D10" s="99">
        <f>'Balance Sheet'!D11-'Balance Sheet'!E11</f>
        <v>-5357.3876712328638</v>
      </c>
      <c r="E10" s="99">
        <f>'Balance Sheet'!E11-'Balance Sheet'!F11</f>
        <v>-5737.7621958904201</v>
      </c>
      <c r="F10" s="99">
        <f>'Balance Sheet'!F11-'Balance Sheet'!G11</f>
        <v>-6145.1433117986599</v>
      </c>
      <c r="G10" s="99">
        <f>'Balance Sheet'!G11-'Balance Sheet'!H11</f>
        <v>-6581.4484869363077</v>
      </c>
      <c r="H10" s="140">
        <f t="shared" si="0"/>
        <v>-59277.906049419893</v>
      </c>
      <c r="I10" s="4"/>
    </row>
    <row r="11" spans="2:9" ht="18" customHeight="1" x14ac:dyDescent="0.2">
      <c r="B11" s="54" t="s">
        <v>23</v>
      </c>
      <c r="C11" s="99">
        <f>'Balance Sheet'!D43-'Balance Sheet'!C43</f>
        <v>5083.0000000000582</v>
      </c>
      <c r="D11" s="99">
        <f>'Balance Sheet'!E43-'Balance Sheet'!D43</f>
        <v>3910.89300000004</v>
      </c>
      <c r="E11" s="99">
        <f>'Balance Sheet'!F43-'Balance Sheet'!E43</f>
        <v>4188.5664030000917</v>
      </c>
      <c r="F11" s="99">
        <f>'Balance Sheet'!G43-'Balance Sheet'!F43</f>
        <v>4485.9546176128788</v>
      </c>
      <c r="G11" s="99">
        <f>'Balance Sheet'!H43-'Balance Sheet'!G43</f>
        <v>4804.4573954635998</v>
      </c>
      <c r="H11" s="140">
        <f t="shared" si="0"/>
        <v>22472.871416076669</v>
      </c>
      <c r="I11" s="4"/>
    </row>
    <row r="12" spans="2:9" ht="18" customHeight="1" x14ac:dyDescent="0.2">
      <c r="B12" s="54" t="s">
        <v>170</v>
      </c>
      <c r="C12" s="99">
        <f>-'Balance Sheet'!C45</f>
        <v>-25000</v>
      </c>
      <c r="D12" s="99">
        <f>-'Profit and Loss'!C66</f>
        <v>-17910.300176936096</v>
      </c>
      <c r="E12" s="99">
        <f>-'Profit and Loss'!D66</f>
        <v>-21447.576576000243</v>
      </c>
      <c r="F12" s="99">
        <f>-'Profit and Loss'!E66</f>
        <v>-22751.705364017573</v>
      </c>
      <c r="G12" s="99">
        <f>-'Profit and Loss'!F66</f>
        <v>-24719.838568834824</v>
      </c>
      <c r="H12" s="140">
        <f t="shared" si="0"/>
        <v>-111829.42068578873</v>
      </c>
      <c r="I12" s="4"/>
    </row>
    <row r="13" spans="2:9" ht="18" customHeight="1" x14ac:dyDescent="0.2">
      <c r="B13" s="54"/>
      <c r="C13" s="99"/>
      <c r="D13" s="99"/>
      <c r="E13" s="99"/>
      <c r="F13" s="99"/>
      <c r="G13" s="99"/>
      <c r="H13" s="140"/>
      <c r="I13" s="4"/>
    </row>
    <row r="14" spans="2:9" ht="18" customHeight="1" x14ac:dyDescent="0.2">
      <c r="B14" s="53" t="s">
        <v>44</v>
      </c>
      <c r="C14" s="100">
        <f>SUM(C7:C13)</f>
        <v>31798.336501118887</v>
      </c>
      <c r="D14" s="100">
        <f>SUM(D7:D13)</f>
        <v>98442.108031832075</v>
      </c>
      <c r="E14" s="100">
        <f>SUM(E7:E13)</f>
        <v>100453.80687119738</v>
      </c>
      <c r="F14" s="100">
        <f>SUM(F7:F13)</f>
        <v>107389.68692779072</v>
      </c>
      <c r="G14" s="100">
        <f>SUM(G7:G13)</f>
        <v>141844.51640001789</v>
      </c>
      <c r="H14" s="142">
        <f>SUM(C14:G14)</f>
        <v>479928.45473195694</v>
      </c>
      <c r="I14" s="44"/>
    </row>
    <row r="15" spans="2:9" ht="18" customHeight="1" x14ac:dyDescent="0.2">
      <c r="C15" s="74"/>
      <c r="D15" s="74"/>
      <c r="E15" s="74"/>
      <c r="F15" s="74"/>
      <c r="G15" s="74"/>
      <c r="H15" s="138"/>
    </row>
    <row r="16" spans="2:9" ht="18" customHeight="1" x14ac:dyDescent="0.2">
      <c r="B16" s="53" t="s">
        <v>46</v>
      </c>
      <c r="C16" s="75" t="s">
        <v>2</v>
      </c>
      <c r="D16" s="75" t="s">
        <v>3</v>
      </c>
      <c r="E16" s="75" t="s">
        <v>4</v>
      </c>
      <c r="F16" s="75" t="s">
        <v>5</v>
      </c>
      <c r="G16" s="75" t="s">
        <v>6</v>
      </c>
      <c r="H16" s="139" t="s">
        <v>36</v>
      </c>
      <c r="I16" s="44"/>
    </row>
    <row r="17" spans="2:10" ht="6.95" customHeight="1" x14ac:dyDescent="0.2">
      <c r="B17" s="4"/>
      <c r="C17" s="50"/>
      <c r="D17" s="50"/>
      <c r="E17" s="50"/>
      <c r="F17" s="50"/>
      <c r="G17" s="50"/>
      <c r="H17" s="137"/>
      <c r="I17" s="4"/>
    </row>
    <row r="18" spans="2:10" ht="18" customHeight="1" x14ac:dyDescent="0.2">
      <c r="B18" s="54" t="s">
        <v>38</v>
      </c>
      <c r="C18" s="99">
        <f>-1 * MAX(0,SUM('Balance Sheet'!D19:D22)-SUM('Balance Sheet'!C19:C22))</f>
        <v>-20000</v>
      </c>
      <c r="D18" s="99">
        <f>-1 * MAX(0,SUM('Balance Sheet'!E19:E22)-SUM('Balance Sheet'!D19:D22))</f>
        <v>-20000</v>
      </c>
      <c r="E18" s="99">
        <f>-1 * MAX(0,SUM('Balance Sheet'!F19:F22)-SUM('Balance Sheet'!E19:E22))</f>
        <v>-20000</v>
      </c>
      <c r="F18" s="99">
        <f>-1 * MAX(0,SUM('Balance Sheet'!G19:G22)-SUM('Balance Sheet'!F19:F22))</f>
        <v>-20000</v>
      </c>
      <c r="G18" s="99">
        <f>-1 * MAX(0,SUM('Balance Sheet'!H19:H22)-SUM('Balance Sheet'!G19:G22))</f>
        <v>-20000</v>
      </c>
      <c r="H18" s="140">
        <f>SUM(C18:G18)</f>
        <v>-100000</v>
      </c>
      <c r="I18" s="4"/>
    </row>
    <row r="19" spans="2:10" ht="18" customHeight="1" x14ac:dyDescent="0.2">
      <c r="B19" s="54"/>
      <c r="C19" s="99"/>
      <c r="D19" s="99"/>
      <c r="E19" s="99"/>
      <c r="F19" s="99"/>
      <c r="G19" s="99"/>
      <c r="H19" s="140"/>
      <c r="I19" s="4"/>
    </row>
    <row r="20" spans="2:10" ht="18" customHeight="1" x14ac:dyDescent="0.2">
      <c r="B20" s="54" t="s">
        <v>39</v>
      </c>
      <c r="C20" s="105">
        <v>0</v>
      </c>
      <c r="D20" s="105">
        <v>0</v>
      </c>
      <c r="E20" s="105">
        <v>0</v>
      </c>
      <c r="F20" s="105">
        <v>0</v>
      </c>
      <c r="G20" s="141">
        <v>0</v>
      </c>
      <c r="H20" s="140">
        <f>SUM(C20:G20)</f>
        <v>0</v>
      </c>
      <c r="I20" s="4"/>
    </row>
    <row r="21" spans="2:10" ht="6.95" customHeight="1" x14ac:dyDescent="0.2">
      <c r="B21" s="4"/>
      <c r="C21" s="99"/>
      <c r="D21" s="99"/>
      <c r="E21" s="99"/>
      <c r="F21" s="99"/>
      <c r="G21" s="99"/>
      <c r="H21" s="140"/>
      <c r="I21" s="4"/>
    </row>
    <row r="22" spans="2:10" ht="18" customHeight="1" x14ac:dyDescent="0.2">
      <c r="B22" s="53" t="s">
        <v>45</v>
      </c>
      <c r="C22" s="100">
        <f>SUM(C18:C20)</f>
        <v>-20000</v>
      </c>
      <c r="D22" s="100">
        <f>SUM(D18:D20)</f>
        <v>-20000</v>
      </c>
      <c r="E22" s="100">
        <f>SUM(E18:E20)</f>
        <v>-20000</v>
      </c>
      <c r="F22" s="100">
        <f>SUM(F18:F20)</f>
        <v>-20000</v>
      </c>
      <c r="G22" s="100">
        <f>SUM(G18:G20)</f>
        <v>-20000</v>
      </c>
      <c r="H22" s="142">
        <f>SUM(C22:G22)</f>
        <v>-100000</v>
      </c>
      <c r="I22" s="44"/>
    </row>
    <row r="23" spans="2:10" ht="18" customHeight="1" x14ac:dyDescent="0.2">
      <c r="C23" s="102"/>
      <c r="D23" s="102"/>
      <c r="E23" s="102"/>
      <c r="F23" s="102"/>
      <c r="G23" s="102"/>
      <c r="H23" s="143"/>
    </row>
    <row r="24" spans="2:10" ht="18" customHeight="1" x14ac:dyDescent="0.2">
      <c r="B24" s="53" t="s">
        <v>47</v>
      </c>
      <c r="C24" s="106" t="s">
        <v>2</v>
      </c>
      <c r="D24" s="106" t="s">
        <v>3</v>
      </c>
      <c r="E24" s="106" t="s">
        <v>4</v>
      </c>
      <c r="F24" s="106" t="s">
        <v>5</v>
      </c>
      <c r="G24" s="106" t="s">
        <v>6</v>
      </c>
      <c r="H24" s="144" t="s">
        <v>36</v>
      </c>
      <c r="I24" s="44"/>
    </row>
    <row r="25" spans="2:10" ht="6.95" customHeight="1" x14ac:dyDescent="0.2">
      <c r="B25" s="4"/>
      <c r="C25" s="99"/>
      <c r="D25" s="99"/>
      <c r="E25" s="99"/>
      <c r="F25" s="99"/>
      <c r="G25" s="99"/>
      <c r="H25" s="140"/>
      <c r="I25" s="4"/>
    </row>
    <row r="26" spans="2:10" ht="18" customHeight="1" x14ac:dyDescent="0.2">
      <c r="B26" s="54" t="s">
        <v>40</v>
      </c>
      <c r="C26" s="99">
        <f>SUM('Balance Sheet'!D53:D54)-SUM('Balance Sheet'!C53:C54)</f>
        <v>-9048.7399064134006</v>
      </c>
      <c r="D26" s="99">
        <f>SUM('Balance Sheet'!E53:E54)-SUM('Balance Sheet'!D53:D54)</f>
        <v>-9501.176901734063</v>
      </c>
      <c r="E26" s="99">
        <f>SUM('Balance Sheet'!F53:F54)-SUM('Balance Sheet'!E53:E54)</f>
        <v>-9976.2357468207811</v>
      </c>
      <c r="F26" s="99">
        <f>SUM('Balance Sheet'!G53:G54)-SUM('Balance Sheet'!F53:F54)</f>
        <v>-10475.047534161829</v>
      </c>
      <c r="G26" s="99">
        <f>SUM('Balance Sheet'!H53:H54)-SUM('Balance Sheet'!G53:G54)</f>
        <v>-10998.799910869926</v>
      </c>
      <c r="H26" s="140">
        <f>SUM(C26:G26)</f>
        <v>-50000</v>
      </c>
      <c r="I26" s="4"/>
      <c r="J26" s="10" t="s">
        <v>204</v>
      </c>
    </row>
    <row r="27" spans="2:10" ht="18" customHeight="1" x14ac:dyDescent="0.2">
      <c r="B27" s="129" t="s">
        <v>225</v>
      </c>
      <c r="C27" s="105">
        <v>0</v>
      </c>
      <c r="D27" s="105">
        <v>0</v>
      </c>
      <c r="E27" s="105">
        <v>0</v>
      </c>
      <c r="F27" s="105">
        <v>0</v>
      </c>
      <c r="G27" s="105">
        <v>0</v>
      </c>
      <c r="H27" s="140">
        <f t="shared" ref="H27:H32" si="1">SUM(C27:G27)</f>
        <v>0</v>
      </c>
      <c r="I27" s="4"/>
    </row>
    <row r="28" spans="2:10" ht="18" customHeight="1" x14ac:dyDescent="0.2">
      <c r="B28" s="54" t="s">
        <v>41</v>
      </c>
      <c r="C28" s="99">
        <f>-'Balance Sheet'!C46</f>
        <v>-30000</v>
      </c>
      <c r="D28" s="99">
        <f>-'Profit and Loss'!C70</f>
        <v>-21492.36021232331</v>
      </c>
      <c r="E28" s="99">
        <f>-'Profit and Loss'!D70</f>
        <v>-25737.091891200293</v>
      </c>
      <c r="F28" s="99">
        <f>-'Profit and Loss'!E70</f>
        <v>-27302.046436821081</v>
      </c>
      <c r="G28" s="99">
        <f>-'Profit and Loss'!F70</f>
        <v>-29663.806282601789</v>
      </c>
      <c r="H28" s="140">
        <f t="shared" si="1"/>
        <v>-134195.30482294649</v>
      </c>
      <c r="I28" s="4"/>
      <c r="J28" s="10" t="s">
        <v>203</v>
      </c>
    </row>
    <row r="29" spans="2:10" ht="18" customHeight="1" x14ac:dyDescent="0.2">
      <c r="B29" s="54" t="s">
        <v>224</v>
      </c>
      <c r="C29" s="105">
        <v>0</v>
      </c>
      <c r="D29" s="105">
        <v>0</v>
      </c>
      <c r="E29" s="105">
        <v>0</v>
      </c>
      <c r="F29" s="105">
        <v>0</v>
      </c>
      <c r="G29" s="105">
        <v>0</v>
      </c>
      <c r="H29" s="140">
        <f t="shared" si="1"/>
        <v>0</v>
      </c>
      <c r="I29" s="4"/>
    </row>
    <row r="30" spans="2:10" ht="18" customHeight="1" x14ac:dyDescent="0.2">
      <c r="B30" s="54" t="s">
        <v>42</v>
      </c>
      <c r="C30" s="105">
        <v>0</v>
      </c>
      <c r="D30" s="105">
        <v>0</v>
      </c>
      <c r="E30" s="105">
        <v>0</v>
      </c>
      <c r="F30" s="105">
        <v>0</v>
      </c>
      <c r="G30" s="105">
        <v>0</v>
      </c>
      <c r="H30" s="140">
        <f t="shared" si="1"/>
        <v>0</v>
      </c>
      <c r="I30" s="4"/>
    </row>
    <row r="31" spans="2:10" ht="6.95" customHeight="1" x14ac:dyDescent="0.2">
      <c r="B31" s="4"/>
      <c r="C31" s="99"/>
      <c r="D31" s="99"/>
      <c r="E31" s="99"/>
      <c r="F31" s="99"/>
      <c r="G31" s="99"/>
      <c r="H31" s="140"/>
      <c r="I31" s="4"/>
    </row>
    <row r="32" spans="2:10" ht="18" customHeight="1" x14ac:dyDescent="0.2">
      <c r="B32" s="53" t="s">
        <v>48</v>
      </c>
      <c r="C32" s="100">
        <f>SUM(C26:C30)</f>
        <v>-39048.739906413401</v>
      </c>
      <c r="D32" s="100">
        <f>SUM(D26:D30)</f>
        <v>-30993.537114057373</v>
      </c>
      <c r="E32" s="100">
        <f>SUM(E26:E30)</f>
        <v>-35713.327638021074</v>
      </c>
      <c r="F32" s="100">
        <f>SUM(F26:F30)</f>
        <v>-37777.093970982911</v>
      </c>
      <c r="G32" s="100">
        <f>SUM(G26:G30)</f>
        <v>-40662.606193471715</v>
      </c>
      <c r="H32" s="142">
        <f t="shared" si="1"/>
        <v>-184195.30482294649</v>
      </c>
      <c r="I32" s="44"/>
    </row>
    <row r="33" spans="2:9" ht="18" customHeight="1" x14ac:dyDescent="0.2">
      <c r="C33" s="102"/>
      <c r="D33" s="102"/>
      <c r="E33" s="102"/>
      <c r="F33" s="102"/>
      <c r="G33" s="102"/>
      <c r="H33" s="143"/>
    </row>
    <row r="34" spans="2:9" ht="18" customHeight="1" x14ac:dyDescent="0.2">
      <c r="B34" s="53" t="s">
        <v>51</v>
      </c>
      <c r="C34" s="100">
        <f>C32+C22+C14</f>
        <v>-27250.403405294514</v>
      </c>
      <c r="D34" s="100">
        <f>D32+D22+D14</f>
        <v>47448.570917774705</v>
      </c>
      <c r="E34" s="100">
        <f>E32+E22+E14</f>
        <v>44740.479233176302</v>
      </c>
      <c r="F34" s="100">
        <f>F32+F22+F14</f>
        <v>49612.592956807814</v>
      </c>
      <c r="G34" s="100">
        <f>G32+G22+G14</f>
        <v>81181.910206546178</v>
      </c>
      <c r="H34" s="142">
        <f>SUM(C34:G34)</f>
        <v>195733.14990901051</v>
      </c>
      <c r="I34" s="44"/>
    </row>
    <row r="35" spans="2:9" ht="18" customHeight="1" x14ac:dyDescent="0.2">
      <c r="C35" s="74"/>
      <c r="D35" s="74"/>
      <c r="E35" s="74"/>
      <c r="F35" s="74"/>
      <c r="G35" s="74"/>
      <c r="H35" s="138"/>
    </row>
    <row r="36" spans="2:9" ht="18" customHeight="1" x14ac:dyDescent="0.2">
      <c r="B36" s="53" t="s">
        <v>50</v>
      </c>
      <c r="C36" s="100">
        <f>'Balance Sheet'!C9</f>
        <v>53600</v>
      </c>
      <c r="D36" s="100">
        <f>C38</f>
        <v>26349.596594705486</v>
      </c>
      <c r="E36" s="100">
        <f>D38</f>
        <v>73798.167512480199</v>
      </c>
      <c r="F36" s="100">
        <f>E38</f>
        <v>118538.6467456565</v>
      </c>
      <c r="G36" s="100">
        <f>F38</f>
        <v>168151.23970246431</v>
      </c>
      <c r="H36" s="142">
        <f>C36</f>
        <v>53600</v>
      </c>
      <c r="I36" s="44"/>
    </row>
    <row r="37" spans="2:9" ht="18" customHeight="1" x14ac:dyDescent="0.2">
      <c r="C37" s="102"/>
      <c r="D37" s="102"/>
      <c r="E37" s="102"/>
      <c r="F37" s="102"/>
      <c r="G37" s="102"/>
      <c r="H37" s="143"/>
    </row>
    <row r="38" spans="2:9" ht="18" customHeight="1" x14ac:dyDescent="0.2">
      <c r="B38" s="53" t="s">
        <v>49</v>
      </c>
      <c r="C38" s="185">
        <f>C36+C34</f>
        <v>26349.596594705486</v>
      </c>
      <c r="D38" s="185">
        <f>D36+D34</f>
        <v>73798.167512480199</v>
      </c>
      <c r="E38" s="185">
        <f>E36+E34</f>
        <v>118538.6467456565</v>
      </c>
      <c r="F38" s="185">
        <f>F36+F34</f>
        <v>168151.23970246431</v>
      </c>
      <c r="G38" s="185">
        <f>G36+G34</f>
        <v>249333.14990901051</v>
      </c>
      <c r="H38" s="186">
        <f>G38</f>
        <v>249333.14990901051</v>
      </c>
      <c r="I38" s="44"/>
    </row>
  </sheetData>
  <mergeCells count="1">
    <mergeCell ref="B3:C3"/>
  </mergeCells>
  <phoneticPr fontId="4" type="noConversion"/>
  <pageMargins left="0.19685039370078741" right="0.19685039370078741" top="0.19685039370078741" bottom="0.19685039370078741" header="0.51181102362204722" footer="0.51181102362204722"/>
  <pageSetup paperSize="9" scale="90" orientation="portrait" r:id="rId1"/>
  <headerFooter alignWithMargins="0"/>
  <ignoredErrors>
    <ignoredError sqref="C1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BJ69"/>
  <sheetViews>
    <sheetView showGridLines="0" workbookViewId="0">
      <selection activeCell="A9" sqref="A9"/>
    </sheetView>
  </sheetViews>
  <sheetFormatPr defaultRowHeight="12.75" x14ac:dyDescent="0.2"/>
  <cols>
    <col min="1" max="1" width="18.85546875" customWidth="1"/>
    <col min="2" max="2" width="35.5703125" customWidth="1"/>
    <col min="3" max="14" width="10.5703125" customWidth="1"/>
  </cols>
  <sheetData>
    <row r="1" spans="1:62" ht="17.45" customHeight="1" x14ac:dyDescent="0.2"/>
    <row r="2" spans="1:62" ht="15" x14ac:dyDescent="0.2">
      <c r="B2" s="13" t="s">
        <v>226</v>
      </c>
      <c r="C2" s="13" t="str">
        <f t="shared" ref="C2:N2" si="0">C11</f>
        <v>Month 1</v>
      </c>
      <c r="D2" s="13" t="str">
        <f t="shared" si="0"/>
        <v>Month 2</v>
      </c>
      <c r="E2" s="13" t="str">
        <f t="shared" si="0"/>
        <v>Month 3</v>
      </c>
      <c r="F2" s="13" t="str">
        <f t="shared" si="0"/>
        <v>Month 4</v>
      </c>
      <c r="G2" s="13" t="str">
        <f t="shared" si="0"/>
        <v>Month 5</v>
      </c>
      <c r="H2" s="13" t="str">
        <f t="shared" si="0"/>
        <v>Month 6</v>
      </c>
      <c r="I2" s="13" t="str">
        <f t="shared" si="0"/>
        <v>Month 7</v>
      </c>
      <c r="J2" s="13" t="str">
        <f t="shared" si="0"/>
        <v>Month 8</v>
      </c>
      <c r="K2" s="13" t="str">
        <f t="shared" si="0"/>
        <v>Month 9</v>
      </c>
      <c r="L2" s="13" t="str">
        <f t="shared" si="0"/>
        <v>Month 10</v>
      </c>
      <c r="M2" s="13" t="str">
        <f t="shared" si="0"/>
        <v>Month 11</v>
      </c>
      <c r="N2" s="13" t="str">
        <f t="shared" si="0"/>
        <v>Month 12</v>
      </c>
    </row>
    <row r="3" spans="1:62" x14ac:dyDescent="0.2"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</row>
    <row r="4" spans="1:62" ht="20.45" customHeight="1" x14ac:dyDescent="0.2">
      <c r="B4" s="111" t="s">
        <v>124</v>
      </c>
      <c r="C4" s="119">
        <v>5</v>
      </c>
      <c r="D4" s="119">
        <v>8</v>
      </c>
      <c r="E4" s="119">
        <v>11</v>
      </c>
      <c r="F4" s="119">
        <v>9</v>
      </c>
      <c r="G4" s="119">
        <v>9</v>
      </c>
      <c r="H4" s="119">
        <v>8</v>
      </c>
      <c r="I4" s="119">
        <v>6</v>
      </c>
      <c r="J4" s="119">
        <v>4</v>
      </c>
      <c r="K4" s="119">
        <v>9</v>
      </c>
      <c r="L4" s="119">
        <v>9</v>
      </c>
      <c r="M4" s="119">
        <v>10</v>
      </c>
      <c r="N4" s="119">
        <v>12</v>
      </c>
    </row>
    <row r="5" spans="1:62" ht="21" customHeight="1" x14ac:dyDescent="0.2">
      <c r="B5" s="117" t="s">
        <v>132</v>
      </c>
      <c r="C5" s="119">
        <v>1.5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</row>
    <row r="6" spans="1:62" ht="21" customHeight="1" x14ac:dyDescent="0.2">
      <c r="B6" s="117" t="s">
        <v>133</v>
      </c>
      <c r="C6" s="119">
        <f>'Model Inputs'!C82/30</f>
        <v>1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7" spans="1:62" ht="21" customHeight="1" x14ac:dyDescent="0.2">
      <c r="B7" s="112"/>
      <c r="C7" s="112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</row>
    <row r="8" spans="1:62" ht="21" customHeight="1" x14ac:dyDescent="0.2"/>
    <row r="9" spans="1:62" ht="26.25" thickBot="1" x14ac:dyDescent="0.25">
      <c r="B9" s="203" t="s">
        <v>228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</row>
    <row r="10" spans="1:62" ht="13.5" thickTop="1" x14ac:dyDescent="0.2"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</row>
    <row r="11" spans="1:62" x14ac:dyDescent="0.2">
      <c r="B11" s="111" t="s">
        <v>2</v>
      </c>
      <c r="C11" s="171" t="s">
        <v>110</v>
      </c>
      <c r="D11" s="171" t="s">
        <v>111</v>
      </c>
      <c r="E11" s="171" t="s">
        <v>112</v>
      </c>
      <c r="F11" s="171" t="s">
        <v>113</v>
      </c>
      <c r="G11" s="171" t="s">
        <v>114</v>
      </c>
      <c r="H11" s="171" t="s">
        <v>115</v>
      </c>
      <c r="I11" s="171" t="s">
        <v>116</v>
      </c>
      <c r="J11" s="171" t="s">
        <v>117</v>
      </c>
      <c r="K11" s="171" t="s">
        <v>118</v>
      </c>
      <c r="L11" s="171" t="s">
        <v>119</v>
      </c>
      <c r="M11" s="171" t="s">
        <v>120</v>
      </c>
      <c r="N11" s="171" t="s">
        <v>121</v>
      </c>
      <c r="O11" s="175" t="s">
        <v>110</v>
      </c>
      <c r="P11" s="175" t="s">
        <v>111</v>
      </c>
      <c r="Q11" s="175" t="s">
        <v>112</v>
      </c>
      <c r="R11" s="175" t="s">
        <v>113</v>
      </c>
      <c r="S11" s="175" t="s">
        <v>114</v>
      </c>
      <c r="T11" s="175" t="s">
        <v>115</v>
      </c>
      <c r="U11" s="175" t="s">
        <v>116</v>
      </c>
      <c r="V11" s="175" t="s">
        <v>117</v>
      </c>
      <c r="W11" s="175" t="s">
        <v>118</v>
      </c>
      <c r="X11" s="175" t="s">
        <v>119</v>
      </c>
      <c r="Y11" s="175" t="s">
        <v>120</v>
      </c>
      <c r="Z11" s="175" t="s">
        <v>121</v>
      </c>
      <c r="AA11" s="176" t="s">
        <v>110</v>
      </c>
      <c r="AB11" s="176" t="s">
        <v>111</v>
      </c>
      <c r="AC11" s="176" t="s">
        <v>112</v>
      </c>
      <c r="AD11" s="176" t="s">
        <v>113</v>
      </c>
      <c r="AE11" s="176" t="s">
        <v>114</v>
      </c>
      <c r="AF11" s="176" t="s">
        <v>115</v>
      </c>
      <c r="AG11" s="176" t="s">
        <v>116</v>
      </c>
      <c r="AH11" s="176" t="s">
        <v>117</v>
      </c>
      <c r="AI11" s="176" t="s">
        <v>118</v>
      </c>
      <c r="AJ11" s="176" t="s">
        <v>119</v>
      </c>
      <c r="AK11" s="176" t="s">
        <v>120</v>
      </c>
      <c r="AL11" s="176" t="s">
        <v>121</v>
      </c>
      <c r="AM11" s="177" t="s">
        <v>110</v>
      </c>
      <c r="AN11" s="177" t="s">
        <v>111</v>
      </c>
      <c r="AO11" s="177" t="s">
        <v>112</v>
      </c>
      <c r="AP11" s="177" t="s">
        <v>113</v>
      </c>
      <c r="AQ11" s="177" t="s">
        <v>114</v>
      </c>
      <c r="AR11" s="177" t="s">
        <v>115</v>
      </c>
      <c r="AS11" s="177" t="s">
        <v>116</v>
      </c>
      <c r="AT11" s="177" t="s">
        <v>117</v>
      </c>
      <c r="AU11" s="177" t="s">
        <v>118</v>
      </c>
      <c r="AV11" s="177" t="s">
        <v>119</v>
      </c>
      <c r="AW11" s="177" t="s">
        <v>120</v>
      </c>
      <c r="AX11" s="177" t="s">
        <v>121</v>
      </c>
      <c r="AY11" s="178" t="s">
        <v>110</v>
      </c>
      <c r="AZ11" s="178" t="s">
        <v>111</v>
      </c>
      <c r="BA11" s="178" t="s">
        <v>112</v>
      </c>
      <c r="BB11" s="178" t="s">
        <v>113</v>
      </c>
      <c r="BC11" s="178" t="s">
        <v>114</v>
      </c>
      <c r="BD11" s="178" t="s">
        <v>115</v>
      </c>
      <c r="BE11" s="178" t="s">
        <v>116</v>
      </c>
      <c r="BF11" s="178" t="s">
        <v>117</v>
      </c>
      <c r="BG11" s="178" t="s">
        <v>118</v>
      </c>
      <c r="BH11" s="178" t="s">
        <v>119</v>
      </c>
      <c r="BI11" s="178" t="s">
        <v>120</v>
      </c>
      <c r="BJ11" s="178" t="s">
        <v>121</v>
      </c>
    </row>
    <row r="12" spans="1:62" x14ac:dyDescent="0.2"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</row>
    <row r="13" spans="1:62" x14ac:dyDescent="0.2">
      <c r="B13" s="110" t="s">
        <v>122</v>
      </c>
      <c r="C13" s="110">
        <f>'Cash Flow'!C36</f>
        <v>53600</v>
      </c>
      <c r="D13" s="116">
        <f>C27</f>
        <v>112772.63304955879</v>
      </c>
      <c r="E13" s="116">
        <f t="shared" ref="E13:N13" si="1">D27</f>
        <v>74344.01609911758</v>
      </c>
      <c r="F13" s="116">
        <f t="shared" si="1"/>
        <v>32704.649148676363</v>
      </c>
      <c r="G13" s="116">
        <f t="shared" si="1"/>
        <v>37714.532198235152</v>
      </c>
      <c r="H13" s="116">
        <f t="shared" si="1"/>
        <v>56974.915247793942</v>
      </c>
      <c r="I13" s="116">
        <f t="shared" si="1"/>
        <v>66095.29829735274</v>
      </c>
      <c r="J13" s="116">
        <f t="shared" si="1"/>
        <v>74735.93134691153</v>
      </c>
      <c r="K13" s="116">
        <f t="shared" si="1"/>
        <v>77347.064396470319</v>
      </c>
      <c r="L13" s="116">
        <f t="shared" si="1"/>
        <v>43858.697446029109</v>
      </c>
      <c r="M13" s="116">
        <f t="shared" si="1"/>
        <v>27629.080495587899</v>
      </c>
      <c r="N13" s="116">
        <f t="shared" si="1"/>
        <v>36749.463545146682</v>
      </c>
      <c r="O13" s="155">
        <f>N27</f>
        <v>26349.596594705472</v>
      </c>
      <c r="P13" s="155">
        <f t="shared" ref="P13:Z13" si="2">O27</f>
        <v>42873.354370291658</v>
      </c>
      <c r="Q13" s="155">
        <f t="shared" si="2"/>
        <v>66349.17339587785</v>
      </c>
      <c r="R13" s="155">
        <f t="shared" si="2"/>
        <v>36183.918959140734</v>
      </c>
      <c r="S13" s="155">
        <f t="shared" si="2"/>
        <v>45342.371484726908</v>
      </c>
      <c r="T13" s="155">
        <f t="shared" si="2"/>
        <v>69763.109510313079</v>
      </c>
      <c r="U13" s="155">
        <f t="shared" si="2"/>
        <v>83323.907535899285</v>
      </c>
      <c r="V13" s="155">
        <f t="shared" si="2"/>
        <v>96370.893311485474</v>
      </c>
      <c r="W13" s="155">
        <f t="shared" si="2"/>
        <v>102960.28458707166</v>
      </c>
      <c r="X13" s="155">
        <f t="shared" si="2"/>
        <v>79751.811185721701</v>
      </c>
      <c r="Y13" s="155">
        <f t="shared" si="2"/>
        <v>66162.759211307886</v>
      </c>
      <c r="Z13" s="155">
        <f t="shared" si="2"/>
        <v>79723.557236894063</v>
      </c>
      <c r="AA13" s="159">
        <f>Z27</f>
        <v>73798.167512480228</v>
      </c>
      <c r="AB13" s="159">
        <f t="shared" ref="AB13:AL13" si="3">AA27</f>
        <v>91285.73533767827</v>
      </c>
      <c r="AC13" s="159">
        <f t="shared" si="3"/>
        <v>116218.96076162632</v>
      </c>
      <c r="AD13" s="159">
        <f t="shared" si="3"/>
        <v>80983.822403624072</v>
      </c>
      <c r="AE13" s="159">
        <f t="shared" si="3"/>
        <v>90583.148306072122</v>
      </c>
      <c r="AF13" s="159">
        <f t="shared" si="3"/>
        <v>116528.38197902018</v>
      </c>
      <c r="AG13" s="159">
        <f t="shared" si="3"/>
        <v>130842.61991196824</v>
      </c>
      <c r="AH13" s="159">
        <f t="shared" si="3"/>
        <v>144606.56492516631</v>
      </c>
      <c r="AI13" s="159">
        <f t="shared" si="3"/>
        <v>151454.42622886435</v>
      </c>
      <c r="AJ13" s="159">
        <f t="shared" si="3"/>
        <v>124123.12937706216</v>
      </c>
      <c r="AK13" s="159">
        <f t="shared" si="3"/>
        <v>109359.87796001024</v>
      </c>
      <c r="AL13" s="159">
        <f t="shared" si="3"/>
        <v>123674.11589295832</v>
      </c>
      <c r="AM13" s="163">
        <f>AL27</f>
        <v>118538.64674565638</v>
      </c>
      <c r="AN13" s="163">
        <f t="shared" ref="AN13:AX13" si="4">AM27</f>
        <v>137250.70785065542</v>
      </c>
      <c r="AO13" s="163">
        <f t="shared" si="4"/>
        <v>163937.06824391571</v>
      </c>
      <c r="AP13" s="163">
        <f t="shared" si="4"/>
        <v>126445.49000536167</v>
      </c>
      <c r="AQ13" s="163">
        <f t="shared" si="4"/>
        <v>136709.24401109546</v>
      </c>
      <c r="AR13" s="163">
        <f t="shared" si="4"/>
        <v>164479.46523903476</v>
      </c>
      <c r="AS13" s="163">
        <f t="shared" si="4"/>
        <v>179792.89002943406</v>
      </c>
      <c r="AT13" s="163">
        <f t="shared" si="4"/>
        <v>194516.95110278108</v>
      </c>
      <c r="AU13" s="163">
        <f t="shared" si="4"/>
        <v>201833.88652325363</v>
      </c>
      <c r="AV13" s="163">
        <f t="shared" si="4"/>
        <v>172763.59270806407</v>
      </c>
      <c r="AW13" s="163">
        <f t="shared" si="4"/>
        <v>156935.02640461334</v>
      </c>
      <c r="AX13" s="163">
        <f t="shared" si="4"/>
        <v>172248.4511950126</v>
      </c>
      <c r="AY13" s="167">
        <f>AX27</f>
        <v>168151.23970246411</v>
      </c>
      <c r="AZ13" s="167">
        <f t="shared" ref="AZ13:BJ13" si="5">AY27</f>
        <v>190475.43213113002</v>
      </c>
      <c r="BA13" s="167">
        <f t="shared" si="5"/>
        <v>221340.09909752378</v>
      </c>
      <c r="BB13" s="167">
        <f t="shared" si="5"/>
        <v>183046.87924047792</v>
      </c>
      <c r="BC13" s="167">
        <f t="shared" si="5"/>
        <v>196322.93476583069</v>
      </c>
      <c r="BD13" s="167">
        <f t="shared" si="5"/>
        <v>228348.41668616561</v>
      </c>
      <c r="BE13" s="167">
        <f t="shared" si="5"/>
        <v>247032.66962189518</v>
      </c>
      <c r="BF13" s="167">
        <f t="shared" si="5"/>
        <v>265085.7140166618</v>
      </c>
      <c r="BG13" s="167">
        <f t="shared" si="5"/>
        <v>275205.72683719982</v>
      </c>
      <c r="BH13" s="167">
        <f t="shared" si="5"/>
        <v>246002.25502237177</v>
      </c>
      <c r="BI13" s="167">
        <f t="shared" si="5"/>
        <v>231333.435496588</v>
      </c>
      <c r="BJ13" s="167">
        <f t="shared" si="5"/>
        <v>250017.68843231758</v>
      </c>
    </row>
    <row r="14" spans="1:62" x14ac:dyDescent="0.2">
      <c r="B14" s="118" t="s">
        <v>123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</row>
    <row r="15" spans="1:62" x14ac:dyDescent="0.2">
      <c r="B15" s="112" t="s">
        <v>187</v>
      </c>
      <c r="C15" s="110">
        <f t="shared" ref="C15:BJ15" si="6">C49</f>
        <v>150000</v>
      </c>
      <c r="D15" s="110">
        <f t="shared" si="6"/>
        <v>25350</v>
      </c>
      <c r="E15" s="110">
        <f t="shared" si="6"/>
        <v>65910</v>
      </c>
      <c r="F15" s="110">
        <f t="shared" si="6"/>
        <v>96330</v>
      </c>
      <c r="G15" s="110">
        <f t="shared" si="6"/>
        <v>101400</v>
      </c>
      <c r="H15" s="110">
        <f t="shared" si="6"/>
        <v>91260</v>
      </c>
      <c r="I15" s="110">
        <f t="shared" si="6"/>
        <v>86190</v>
      </c>
      <c r="J15" s="110">
        <f t="shared" si="6"/>
        <v>70980</v>
      </c>
      <c r="K15" s="110">
        <f t="shared" si="6"/>
        <v>50700</v>
      </c>
      <c r="L15" s="110">
        <f t="shared" si="6"/>
        <v>65910</v>
      </c>
      <c r="M15" s="110">
        <f t="shared" si="6"/>
        <v>91260</v>
      </c>
      <c r="N15" s="116">
        <f t="shared" si="6"/>
        <v>96330</v>
      </c>
      <c r="O15" s="155">
        <f t="shared" si="6"/>
        <v>111540</v>
      </c>
      <c r="P15" s="155">
        <f t="shared" si="6"/>
        <v>87989.85</v>
      </c>
      <c r="Q15" s="155">
        <f t="shared" si="6"/>
        <v>70589.61</v>
      </c>
      <c r="R15" s="155">
        <f t="shared" si="6"/>
        <v>103169.43</v>
      </c>
      <c r="S15" s="155">
        <f t="shared" si="6"/>
        <v>108599.4</v>
      </c>
      <c r="T15" s="155">
        <f t="shared" si="6"/>
        <v>97739.46</v>
      </c>
      <c r="U15" s="155">
        <f t="shared" si="6"/>
        <v>92309.49</v>
      </c>
      <c r="V15" s="155">
        <f t="shared" si="6"/>
        <v>76019.58</v>
      </c>
      <c r="W15" s="155">
        <f t="shared" si="6"/>
        <v>54299.7</v>
      </c>
      <c r="X15" s="155">
        <f t="shared" si="6"/>
        <v>70589.61</v>
      </c>
      <c r="Y15" s="155">
        <f t="shared" si="6"/>
        <v>97739.46</v>
      </c>
      <c r="Z15" s="155">
        <f t="shared" si="6"/>
        <v>103169.43</v>
      </c>
      <c r="AA15" s="159">
        <f t="shared" si="6"/>
        <v>119459.34</v>
      </c>
      <c r="AB15" s="159">
        <f t="shared" si="6"/>
        <v>94237.129350000003</v>
      </c>
      <c r="AC15" s="159">
        <f t="shared" si="6"/>
        <v>75601.472309999997</v>
      </c>
      <c r="AD15" s="159">
        <f t="shared" si="6"/>
        <v>110494.45952999999</v>
      </c>
      <c r="AE15" s="159">
        <f t="shared" si="6"/>
        <v>116309.95740000001</v>
      </c>
      <c r="AF15" s="159">
        <f t="shared" si="6"/>
        <v>104678.96166000002</v>
      </c>
      <c r="AG15" s="159">
        <f t="shared" si="6"/>
        <v>98863.463790000009</v>
      </c>
      <c r="AH15" s="159">
        <f t="shared" si="6"/>
        <v>81416.970180000004</v>
      </c>
      <c r="AI15" s="159">
        <f t="shared" si="6"/>
        <v>58154.978700000007</v>
      </c>
      <c r="AJ15" s="159">
        <f t="shared" si="6"/>
        <v>75601.472310000012</v>
      </c>
      <c r="AK15" s="159">
        <f t="shared" si="6"/>
        <v>104678.96166000002</v>
      </c>
      <c r="AL15" s="159">
        <f t="shared" si="6"/>
        <v>110494.45953000001</v>
      </c>
      <c r="AM15" s="163">
        <f t="shared" si="6"/>
        <v>127940.95314</v>
      </c>
      <c r="AN15" s="163">
        <f t="shared" si="6"/>
        <v>100927.96553385002</v>
      </c>
      <c r="AO15" s="163">
        <f t="shared" si="6"/>
        <v>80969.176844010013</v>
      </c>
      <c r="AP15" s="163">
        <f t="shared" si="6"/>
        <v>118339.56615663003</v>
      </c>
      <c r="AQ15" s="163">
        <f t="shared" si="6"/>
        <v>124567.96437540004</v>
      </c>
      <c r="AR15" s="163">
        <f t="shared" si="6"/>
        <v>112111.16793786002</v>
      </c>
      <c r="AS15" s="163">
        <f t="shared" si="6"/>
        <v>105882.76971909002</v>
      </c>
      <c r="AT15" s="163">
        <f t="shared" si="6"/>
        <v>87197.57506278003</v>
      </c>
      <c r="AU15" s="163">
        <f t="shared" si="6"/>
        <v>62283.982187700021</v>
      </c>
      <c r="AV15" s="163">
        <f t="shared" si="6"/>
        <v>80969.176844010013</v>
      </c>
      <c r="AW15" s="163">
        <f t="shared" si="6"/>
        <v>112111.16793786002</v>
      </c>
      <c r="AX15" s="163">
        <f t="shared" si="6"/>
        <v>118339.56615663003</v>
      </c>
      <c r="AY15" s="167">
        <f t="shared" si="6"/>
        <v>137024.76081294005</v>
      </c>
      <c r="AZ15" s="167">
        <f t="shared" si="6"/>
        <v>108093.85108675339</v>
      </c>
      <c r="BA15" s="167">
        <f t="shared" si="6"/>
        <v>86717.988399934722</v>
      </c>
      <c r="BB15" s="167">
        <f t="shared" si="6"/>
        <v>126741.67535375073</v>
      </c>
      <c r="BC15" s="167">
        <f t="shared" si="6"/>
        <v>133412.28984605341</v>
      </c>
      <c r="BD15" s="167">
        <f t="shared" si="6"/>
        <v>120071.06086144807</v>
      </c>
      <c r="BE15" s="167">
        <f t="shared" si="6"/>
        <v>113400.4463691454</v>
      </c>
      <c r="BF15" s="167">
        <f t="shared" si="6"/>
        <v>93388.602892237395</v>
      </c>
      <c r="BG15" s="167">
        <f t="shared" si="6"/>
        <v>66706.144923026703</v>
      </c>
      <c r="BH15" s="167">
        <f t="shared" si="6"/>
        <v>86717.988399934722</v>
      </c>
      <c r="BI15" s="167">
        <f t="shared" si="6"/>
        <v>120071.06086144807</v>
      </c>
      <c r="BJ15" s="167">
        <f t="shared" si="6"/>
        <v>126741.67535375076</v>
      </c>
    </row>
    <row r="16" spans="1:62" x14ac:dyDescent="0.2">
      <c r="A16" s="172" t="s">
        <v>207</v>
      </c>
      <c r="B16" s="111" t="s">
        <v>134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>
        <f>'Cash Flow'!C27+'Cash Flow'!C29+'Cash Flow'!C30</f>
        <v>0</v>
      </c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>
        <f>'Cash Flow'!D27+'Cash Flow'!D29+'Cash Flow'!D30</f>
        <v>0</v>
      </c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>
        <f>'Cash Flow'!E27+'Cash Flow'!E29+'Cash Flow'!E30</f>
        <v>0</v>
      </c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>
        <f>'Cash Flow'!F27+'Cash Flow'!F29+'Cash Flow'!F30</f>
        <v>0</v>
      </c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>
        <f>'Cash Flow'!G27+'Cash Flow'!G29+'Cash Flow'!G30</f>
        <v>0</v>
      </c>
    </row>
    <row r="17" spans="1:62" x14ac:dyDescent="0.2">
      <c r="A17" s="150"/>
      <c r="B17" s="111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</row>
    <row r="18" spans="1:62" x14ac:dyDescent="0.2">
      <c r="B18" s="118" t="s">
        <v>135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</row>
    <row r="19" spans="1:62" x14ac:dyDescent="0.2">
      <c r="B19" s="112" t="s">
        <v>208</v>
      </c>
      <c r="C19" s="116">
        <f>C59</f>
        <v>52954.680365296801</v>
      </c>
      <c r="D19" s="116">
        <f t="shared" ref="D19:BJ19" si="7">D59</f>
        <v>25905.930365296805</v>
      </c>
      <c r="E19" s="116">
        <f t="shared" si="7"/>
        <v>39676.680365296801</v>
      </c>
      <c r="F19" s="116">
        <f t="shared" si="7"/>
        <v>53447.430365296801</v>
      </c>
      <c r="G19" s="116">
        <f t="shared" si="7"/>
        <v>44266.930365296801</v>
      </c>
      <c r="H19" s="116">
        <f t="shared" si="7"/>
        <v>44266.930365296801</v>
      </c>
      <c r="I19" s="116">
        <f t="shared" si="7"/>
        <v>39676.680365296801</v>
      </c>
      <c r="J19" s="116">
        <f t="shared" si="7"/>
        <v>30496.180365296805</v>
      </c>
      <c r="K19" s="116">
        <f t="shared" si="7"/>
        <v>21315.680365296805</v>
      </c>
      <c r="L19" s="116">
        <f t="shared" si="7"/>
        <v>44266.930365296801</v>
      </c>
      <c r="M19" s="116">
        <f t="shared" si="7"/>
        <v>44266.930365296801</v>
      </c>
      <c r="N19" s="116">
        <f t="shared" si="7"/>
        <v>48857.180365296801</v>
      </c>
      <c r="O19" s="155">
        <f t="shared" si="7"/>
        <v>55529.448972602739</v>
      </c>
      <c r="P19" s="155">
        <f t="shared" si="7"/>
        <v>25027.237722602735</v>
      </c>
      <c r="Q19" s="155">
        <f t="shared" si="7"/>
        <v>39775.710972602734</v>
      </c>
      <c r="R19" s="155">
        <f t="shared" si="7"/>
        <v>54524.184222602722</v>
      </c>
      <c r="S19" s="155">
        <f t="shared" si="7"/>
        <v>44691.868722602732</v>
      </c>
      <c r="T19" s="155">
        <f t="shared" si="7"/>
        <v>44691.868722602732</v>
      </c>
      <c r="U19" s="155">
        <f t="shared" si="7"/>
        <v>39775.710972602734</v>
      </c>
      <c r="V19" s="155">
        <f t="shared" si="7"/>
        <v>29943.395472602733</v>
      </c>
      <c r="W19" s="155">
        <f t="shared" si="7"/>
        <v>20111.079972602736</v>
      </c>
      <c r="X19" s="155">
        <f t="shared" si="7"/>
        <v>44691.868722602732</v>
      </c>
      <c r="Y19" s="155">
        <f t="shared" si="7"/>
        <v>44691.868722602732</v>
      </c>
      <c r="Z19" s="155">
        <f t="shared" si="7"/>
        <v>49608.026472602731</v>
      </c>
      <c r="AA19" s="159">
        <f t="shared" si="7"/>
        <v>59472.039849657522</v>
      </c>
      <c r="AB19" s="159">
        <f t="shared" si="7"/>
        <v>26804.171600907535</v>
      </c>
      <c r="AC19" s="159">
        <f t="shared" si="7"/>
        <v>42599.786451657528</v>
      </c>
      <c r="AD19" s="159">
        <f t="shared" si="7"/>
        <v>58395.401302407525</v>
      </c>
      <c r="AE19" s="159">
        <f t="shared" si="7"/>
        <v>47864.991401907522</v>
      </c>
      <c r="AF19" s="159">
        <f t="shared" si="7"/>
        <v>47864.991401907522</v>
      </c>
      <c r="AG19" s="159">
        <f t="shared" si="7"/>
        <v>42599.786451657528</v>
      </c>
      <c r="AH19" s="159">
        <f t="shared" si="7"/>
        <v>32069.376551157529</v>
      </c>
      <c r="AI19" s="159">
        <f t="shared" si="7"/>
        <v>21538.966650657534</v>
      </c>
      <c r="AJ19" s="159">
        <f t="shared" si="7"/>
        <v>47864.991401907522</v>
      </c>
      <c r="AK19" s="159">
        <f t="shared" si="7"/>
        <v>47864.991401907522</v>
      </c>
      <c r="AL19" s="159">
        <f t="shared" si="7"/>
        <v>53130.196352157531</v>
      </c>
      <c r="AM19" s="163">
        <f t="shared" si="7"/>
        <v>63694.554678983208</v>
      </c>
      <c r="AN19" s="163">
        <f t="shared" si="7"/>
        <v>28707.267784571977</v>
      </c>
      <c r="AO19" s="163">
        <f t="shared" si="7"/>
        <v>45624.371289725226</v>
      </c>
      <c r="AP19" s="163">
        <f t="shared" si="7"/>
        <v>62541.474794878486</v>
      </c>
      <c r="AQ19" s="163">
        <f t="shared" si="7"/>
        <v>51263.40579144298</v>
      </c>
      <c r="AR19" s="163">
        <f t="shared" si="7"/>
        <v>51263.40579144298</v>
      </c>
      <c r="AS19" s="163">
        <f t="shared" si="7"/>
        <v>45624.371289725226</v>
      </c>
      <c r="AT19" s="163">
        <f t="shared" si="7"/>
        <v>34346.302286289727</v>
      </c>
      <c r="AU19" s="163">
        <f t="shared" si="7"/>
        <v>23068.233282854224</v>
      </c>
      <c r="AV19" s="163">
        <f t="shared" si="7"/>
        <v>51263.40579144298</v>
      </c>
      <c r="AW19" s="163">
        <f t="shared" si="7"/>
        <v>51263.40579144298</v>
      </c>
      <c r="AX19" s="163">
        <f t="shared" si="7"/>
        <v>56902.440293160733</v>
      </c>
      <c r="AY19" s="167">
        <f t="shared" si="7"/>
        <v>68216.868061191039</v>
      </c>
      <c r="AZ19" s="167">
        <f t="shared" si="7"/>
        <v>30745.483797276578</v>
      </c>
      <c r="BA19" s="167">
        <f t="shared" si="7"/>
        <v>48863.701651295713</v>
      </c>
      <c r="BB19" s="167">
        <f t="shared" si="7"/>
        <v>66981.919505314843</v>
      </c>
      <c r="BC19" s="167">
        <f t="shared" si="7"/>
        <v>54903.107602635428</v>
      </c>
      <c r="BD19" s="167">
        <f t="shared" si="7"/>
        <v>54903.107602635428</v>
      </c>
      <c r="BE19" s="167">
        <f t="shared" si="7"/>
        <v>48863.701651295713</v>
      </c>
      <c r="BF19" s="167">
        <f t="shared" si="7"/>
        <v>36784.889748616297</v>
      </c>
      <c r="BG19" s="167">
        <f t="shared" si="7"/>
        <v>24706.077845936867</v>
      </c>
      <c r="BH19" s="167">
        <f t="shared" si="7"/>
        <v>54903.107602635428</v>
      </c>
      <c r="BI19" s="167">
        <f t="shared" si="7"/>
        <v>54903.107602635428</v>
      </c>
      <c r="BJ19" s="167">
        <f t="shared" si="7"/>
        <v>60942.513553975135</v>
      </c>
    </row>
    <row r="20" spans="1:62" x14ac:dyDescent="0.2">
      <c r="B20" s="111" t="s">
        <v>136</v>
      </c>
      <c r="C20" s="116">
        <f>('Profit and Loss'!$C45-'Profit and Loss'!$C38)/12</f>
        <v>36931.666666666664</v>
      </c>
      <c r="D20" s="116">
        <f>('Profit and Loss'!$C45-'Profit and Loss'!$C38)/12</f>
        <v>36931.666666666664</v>
      </c>
      <c r="E20" s="116">
        <f>('Profit and Loss'!$C45-'Profit and Loss'!$C38)/12</f>
        <v>36931.666666666664</v>
      </c>
      <c r="F20" s="116">
        <f>('Profit and Loss'!$C45-'Profit and Loss'!$C38)/12</f>
        <v>36931.666666666664</v>
      </c>
      <c r="G20" s="116">
        <f>('Profit and Loss'!$C45-'Profit and Loss'!$C38)/12</f>
        <v>36931.666666666664</v>
      </c>
      <c r="H20" s="116">
        <f>('Profit and Loss'!$C45-'Profit and Loss'!$C38)/12</f>
        <v>36931.666666666664</v>
      </c>
      <c r="I20" s="116">
        <f>('Profit and Loss'!$C45-'Profit and Loss'!$C38)/12</f>
        <v>36931.666666666664</v>
      </c>
      <c r="J20" s="116">
        <f>('Profit and Loss'!$C45-'Profit and Loss'!$C38)/12</f>
        <v>36931.666666666664</v>
      </c>
      <c r="K20" s="116">
        <f>('Profit and Loss'!$C45-'Profit and Loss'!$C38)/12</f>
        <v>36931.666666666664</v>
      </c>
      <c r="L20" s="116">
        <f>('Profit and Loss'!$C45-'Profit and Loss'!$C38)/12</f>
        <v>36931.666666666664</v>
      </c>
      <c r="M20" s="116">
        <f>('Profit and Loss'!$C45-'Profit and Loss'!$C38)/12</f>
        <v>36931.666666666664</v>
      </c>
      <c r="N20" s="116">
        <f>('Profit and Loss'!$C45-'Profit and Loss'!$C38)/12</f>
        <v>36931.666666666664</v>
      </c>
      <c r="O20" s="155">
        <f>('Profit and Loss'!$D45-'Profit and Loss'!$D38)/12</f>
        <v>38545.773333333338</v>
      </c>
      <c r="P20" s="155">
        <f>('Profit and Loss'!$D45-'Profit and Loss'!$D38)/12</f>
        <v>38545.773333333338</v>
      </c>
      <c r="Q20" s="155">
        <f>('Profit and Loss'!$D45-'Profit and Loss'!$D38)/12</f>
        <v>38545.773333333338</v>
      </c>
      <c r="R20" s="155">
        <f>('Profit and Loss'!$D45-'Profit and Loss'!$D38)/12</f>
        <v>38545.773333333338</v>
      </c>
      <c r="S20" s="155">
        <f>('Profit and Loss'!$D45-'Profit and Loss'!$D38)/12</f>
        <v>38545.773333333338</v>
      </c>
      <c r="T20" s="155">
        <f>('Profit and Loss'!$D45-'Profit and Loss'!$D38)/12</f>
        <v>38545.773333333338</v>
      </c>
      <c r="U20" s="155">
        <f>('Profit and Loss'!$D45-'Profit and Loss'!$D38)/12</f>
        <v>38545.773333333338</v>
      </c>
      <c r="V20" s="155">
        <f>('Profit and Loss'!$D45-'Profit and Loss'!$D38)/12</f>
        <v>38545.773333333338</v>
      </c>
      <c r="W20" s="155">
        <f>('Profit and Loss'!$D45-'Profit and Loss'!$D38)/12</f>
        <v>38545.773333333338</v>
      </c>
      <c r="X20" s="155">
        <f>('Profit and Loss'!$D45-'Profit and Loss'!$D38)/12</f>
        <v>38545.773333333338</v>
      </c>
      <c r="Y20" s="155">
        <f>('Profit and Loss'!$D45-'Profit and Loss'!$D38)/12</f>
        <v>38545.773333333338</v>
      </c>
      <c r="Z20" s="155">
        <f>('Profit and Loss'!$D45-'Profit and Loss'!$D38)/12</f>
        <v>38545.773333333338</v>
      </c>
      <c r="AA20" s="159">
        <f>('Profit and Loss'!$E45-'Profit and Loss'!$E38)/12</f>
        <v>41558.712406666673</v>
      </c>
      <c r="AB20" s="159">
        <f>('Profit and Loss'!$E45-'Profit and Loss'!$E38)/12</f>
        <v>41558.712406666673</v>
      </c>
      <c r="AC20" s="159">
        <f>('Profit and Loss'!$E45-'Profit and Loss'!$E38)/12</f>
        <v>41558.712406666673</v>
      </c>
      <c r="AD20" s="159">
        <f>('Profit and Loss'!$E45-'Profit and Loss'!$E38)/12</f>
        <v>41558.712406666673</v>
      </c>
      <c r="AE20" s="159">
        <f>('Profit and Loss'!$E45-'Profit and Loss'!$E38)/12</f>
        <v>41558.712406666673</v>
      </c>
      <c r="AF20" s="159">
        <f>('Profit and Loss'!$E45-'Profit and Loss'!$E38)/12</f>
        <v>41558.712406666673</v>
      </c>
      <c r="AG20" s="159">
        <f>('Profit and Loss'!$E45-'Profit and Loss'!$E38)/12</f>
        <v>41558.712406666673</v>
      </c>
      <c r="AH20" s="159">
        <f>('Profit and Loss'!$E45-'Profit and Loss'!$E38)/12</f>
        <v>41558.712406666673</v>
      </c>
      <c r="AI20" s="159">
        <f>('Profit and Loss'!$E45-'Profit and Loss'!$E38)/12</f>
        <v>41558.712406666673</v>
      </c>
      <c r="AJ20" s="159">
        <f>('Profit and Loss'!$E45-'Profit and Loss'!$E38)/12</f>
        <v>41558.712406666673</v>
      </c>
      <c r="AK20" s="159">
        <f>('Profit and Loss'!$E45-'Profit and Loss'!$E38)/12</f>
        <v>41558.712406666673</v>
      </c>
      <c r="AL20" s="159">
        <f>('Profit and Loss'!$E45-'Profit and Loss'!$E38)/12</f>
        <v>41558.712406666673</v>
      </c>
      <c r="AM20" s="163">
        <f>('Profit and Loss'!$F45-'Profit and Loss'!$F38)/12</f>
        <v>44593.317437540005</v>
      </c>
      <c r="AN20" s="163">
        <f>('Profit and Loss'!$F45-'Profit and Loss'!$F38)/12</f>
        <v>44593.317437540005</v>
      </c>
      <c r="AO20" s="163">
        <f>('Profit and Loss'!$F45-'Profit and Loss'!$F38)/12</f>
        <v>44593.317437540005</v>
      </c>
      <c r="AP20" s="163">
        <f>('Profit and Loss'!$F45-'Profit and Loss'!$F38)/12</f>
        <v>44593.317437540005</v>
      </c>
      <c r="AQ20" s="163">
        <f>('Profit and Loss'!$F45-'Profit and Loss'!$F38)/12</f>
        <v>44593.317437540005</v>
      </c>
      <c r="AR20" s="163">
        <f>('Profit and Loss'!$F45-'Profit and Loss'!$F38)/12</f>
        <v>44593.317437540005</v>
      </c>
      <c r="AS20" s="163">
        <f>('Profit and Loss'!$F45-'Profit and Loss'!$F38)/12</f>
        <v>44593.317437540005</v>
      </c>
      <c r="AT20" s="163">
        <f>('Profit and Loss'!$F45-'Profit and Loss'!$F38)/12</f>
        <v>44593.317437540005</v>
      </c>
      <c r="AU20" s="163">
        <f>('Profit and Loss'!$F45-'Profit and Loss'!$F38)/12</f>
        <v>44593.317437540005</v>
      </c>
      <c r="AV20" s="163">
        <f>('Profit and Loss'!$F45-'Profit and Loss'!$F38)/12</f>
        <v>44593.317437540005</v>
      </c>
      <c r="AW20" s="163">
        <f>('Profit and Loss'!$F45-'Profit and Loss'!$F38)/12</f>
        <v>44593.317437540005</v>
      </c>
      <c r="AX20" s="163">
        <f>('Profit and Loss'!$F45-'Profit and Loss'!$F38)/12</f>
        <v>44593.317437540005</v>
      </c>
      <c r="AY20" s="167">
        <f>('Profit and Loss'!$G45-'Profit and Loss'!$G38)/12</f>
        <v>45542.680404605337</v>
      </c>
      <c r="AZ20" s="167">
        <f>('Profit and Loss'!$G45-'Profit and Loss'!$G38)/12</f>
        <v>45542.680404605337</v>
      </c>
      <c r="BA20" s="167">
        <f>('Profit and Loss'!$G45-'Profit and Loss'!$G38)/12</f>
        <v>45542.680404605337</v>
      </c>
      <c r="BB20" s="167">
        <f>('Profit and Loss'!$G45-'Profit and Loss'!$G38)/12</f>
        <v>45542.680404605337</v>
      </c>
      <c r="BC20" s="167">
        <f>('Profit and Loss'!$G45-'Profit and Loss'!$G38)/12</f>
        <v>45542.680404605337</v>
      </c>
      <c r="BD20" s="167">
        <f>('Profit and Loss'!$G45-'Profit and Loss'!$G38)/12</f>
        <v>45542.680404605337</v>
      </c>
      <c r="BE20" s="167">
        <f>('Profit and Loss'!$G45-'Profit and Loss'!$G38)/12</f>
        <v>45542.680404605337</v>
      </c>
      <c r="BF20" s="167">
        <f>('Profit and Loss'!$G45-'Profit and Loss'!$G38)/12</f>
        <v>45542.680404605337</v>
      </c>
      <c r="BG20" s="167">
        <f>('Profit and Loss'!$G45-'Profit and Loss'!$G38)/12</f>
        <v>45542.680404605337</v>
      </c>
      <c r="BH20" s="167">
        <f>('Profit and Loss'!$G45-'Profit and Loss'!$G38)/12</f>
        <v>45542.680404605337</v>
      </c>
      <c r="BI20" s="167">
        <f>('Profit and Loss'!$G45-'Profit and Loss'!$G38)/12</f>
        <v>45542.680404605337</v>
      </c>
      <c r="BJ20" s="167">
        <f>('Profit and Loss'!$G45-'Profit and Loss'!$G38)/12</f>
        <v>45542.680404605337</v>
      </c>
    </row>
    <row r="21" spans="1:62" x14ac:dyDescent="0.2">
      <c r="A21" s="172" t="s">
        <v>207</v>
      </c>
      <c r="B21" s="111" t="s">
        <v>206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>
        <f>-'Cash Flow'!C18+'Cash Flow'!C20</f>
        <v>20000</v>
      </c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>
        <f>-'Cash Flow'!D18+'Cash Flow'!D20</f>
        <v>20000</v>
      </c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>
        <f>-'Cash Flow'!E18+'Cash Flow'!E20</f>
        <v>20000</v>
      </c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>
        <f>-'Cash Flow'!F18+'Cash Flow'!F20</f>
        <v>20000</v>
      </c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>
        <f>-'Cash Flow'!G18+'Cash Flow'!G20</f>
        <v>20000</v>
      </c>
    </row>
    <row r="22" spans="1:62" x14ac:dyDescent="0.2">
      <c r="B22" s="112" t="s">
        <v>205</v>
      </c>
      <c r="C22" s="116">
        <f>'Loan Payment Calculator'!C7</f>
        <v>941.019918477744</v>
      </c>
      <c r="D22" s="116">
        <f>'Loan Payment Calculator'!C8</f>
        <v>941.019918477744</v>
      </c>
      <c r="E22" s="116">
        <f>'Loan Payment Calculator'!C9</f>
        <v>941.019918477744</v>
      </c>
      <c r="F22" s="116">
        <f>'Loan Payment Calculator'!C10</f>
        <v>941.019918477744</v>
      </c>
      <c r="G22" s="116">
        <f>'Loan Payment Calculator'!C11</f>
        <v>941.019918477744</v>
      </c>
      <c r="H22" s="116">
        <f>'Loan Payment Calculator'!C12</f>
        <v>941.019918477744</v>
      </c>
      <c r="I22" s="116">
        <f>'Loan Payment Calculator'!C13</f>
        <v>941.019918477744</v>
      </c>
      <c r="J22" s="116">
        <f>'Loan Payment Calculator'!C14</f>
        <v>941.019918477744</v>
      </c>
      <c r="K22" s="116">
        <f>'Loan Payment Calculator'!C15</f>
        <v>941.019918477744</v>
      </c>
      <c r="L22" s="116">
        <f>'Loan Payment Calculator'!C16</f>
        <v>941.019918477744</v>
      </c>
      <c r="M22" s="116">
        <f>'Loan Payment Calculator'!C17</f>
        <v>941.019918477744</v>
      </c>
      <c r="N22" s="116">
        <f>'Loan Payment Calculator'!C18</f>
        <v>941.019918477744</v>
      </c>
      <c r="O22" s="155">
        <f>'Loan Payment Calculator'!C19</f>
        <v>941.019918477744</v>
      </c>
      <c r="P22" s="155">
        <f>'Loan Payment Calculator'!C20</f>
        <v>941.019918477744</v>
      </c>
      <c r="Q22" s="155">
        <f>'Loan Payment Calculator'!C21</f>
        <v>941.019918477744</v>
      </c>
      <c r="R22" s="155">
        <f>'Loan Payment Calculator'!C22</f>
        <v>941.019918477744</v>
      </c>
      <c r="S22" s="155">
        <f>'Loan Payment Calculator'!C23</f>
        <v>941.019918477744</v>
      </c>
      <c r="T22" s="155">
        <f>'Loan Payment Calculator'!C24</f>
        <v>941.019918477744</v>
      </c>
      <c r="U22" s="155">
        <f>'Loan Payment Calculator'!C25</f>
        <v>941.019918477744</v>
      </c>
      <c r="V22" s="155">
        <f>'Loan Payment Calculator'!C26</f>
        <v>941.019918477744</v>
      </c>
      <c r="W22" s="155">
        <f>'Loan Payment Calculator'!C27</f>
        <v>941.019918477744</v>
      </c>
      <c r="X22" s="155">
        <f>'Loan Payment Calculator'!C28</f>
        <v>941.019918477744</v>
      </c>
      <c r="Y22" s="155">
        <f>'Loan Payment Calculator'!C29</f>
        <v>941.019918477744</v>
      </c>
      <c r="Z22" s="155">
        <f>'Loan Payment Calculator'!C30</f>
        <v>941.019918477744</v>
      </c>
      <c r="AA22" s="159">
        <f>'Loan Payment Calculator'!C31</f>
        <v>941.019918477744</v>
      </c>
      <c r="AB22" s="159">
        <f>'Loan Payment Calculator'!C32</f>
        <v>941.019918477744</v>
      </c>
      <c r="AC22" s="159">
        <f>'Loan Payment Calculator'!C33</f>
        <v>941.019918477744</v>
      </c>
      <c r="AD22" s="159">
        <f>'Loan Payment Calculator'!C34</f>
        <v>941.019918477744</v>
      </c>
      <c r="AE22" s="159">
        <f>'Loan Payment Calculator'!C35</f>
        <v>941.019918477744</v>
      </c>
      <c r="AF22" s="159">
        <f>'Loan Payment Calculator'!C36</f>
        <v>941.019918477744</v>
      </c>
      <c r="AG22" s="159">
        <f>'Loan Payment Calculator'!C37</f>
        <v>941.019918477744</v>
      </c>
      <c r="AH22" s="159">
        <f>'Loan Payment Calculator'!C38</f>
        <v>941.019918477744</v>
      </c>
      <c r="AI22" s="159">
        <f>'Loan Payment Calculator'!C39</f>
        <v>941.019918477744</v>
      </c>
      <c r="AJ22" s="159">
        <f>'Loan Payment Calculator'!C40</f>
        <v>941.019918477744</v>
      </c>
      <c r="AK22" s="159">
        <f>'Loan Payment Calculator'!C41</f>
        <v>941.019918477744</v>
      </c>
      <c r="AL22" s="159">
        <f>'Loan Payment Calculator'!C42</f>
        <v>941.019918477744</v>
      </c>
      <c r="AM22" s="163">
        <f>'Loan Payment Calculator'!C43</f>
        <v>941.019918477744</v>
      </c>
      <c r="AN22" s="163">
        <f>'Loan Payment Calculator'!C44</f>
        <v>941.019918477744</v>
      </c>
      <c r="AO22" s="163">
        <f>'Loan Payment Calculator'!C45</f>
        <v>941.019918477744</v>
      </c>
      <c r="AP22" s="163">
        <f>'Loan Payment Calculator'!C46</f>
        <v>941.019918477744</v>
      </c>
      <c r="AQ22" s="163">
        <f>'Loan Payment Calculator'!C47</f>
        <v>941.019918477744</v>
      </c>
      <c r="AR22" s="163">
        <f>'Loan Payment Calculator'!C48</f>
        <v>941.019918477744</v>
      </c>
      <c r="AS22" s="163">
        <f>'Loan Payment Calculator'!C49</f>
        <v>941.019918477744</v>
      </c>
      <c r="AT22" s="163">
        <f>'Loan Payment Calculator'!C50</f>
        <v>941.019918477744</v>
      </c>
      <c r="AU22" s="163">
        <f>'Loan Payment Calculator'!C51</f>
        <v>941.019918477744</v>
      </c>
      <c r="AV22" s="163">
        <f>'Loan Payment Calculator'!C52</f>
        <v>941.019918477744</v>
      </c>
      <c r="AW22" s="163">
        <f>'Loan Payment Calculator'!C53</f>
        <v>941.019918477744</v>
      </c>
      <c r="AX22" s="163">
        <f>'Loan Payment Calculator'!C54</f>
        <v>941.019918477744</v>
      </c>
      <c r="AY22" s="167">
        <f>'Loan Payment Calculator'!C55</f>
        <v>941.019918477744</v>
      </c>
      <c r="AZ22" s="167">
        <f>'Loan Payment Calculator'!C56</f>
        <v>941.019918477744</v>
      </c>
      <c r="BA22" s="167">
        <f>'Loan Payment Calculator'!C57</f>
        <v>941.019918477744</v>
      </c>
      <c r="BB22" s="167">
        <f>'Loan Payment Calculator'!C58</f>
        <v>941.019918477744</v>
      </c>
      <c r="BC22" s="167">
        <f>'Loan Payment Calculator'!C59</f>
        <v>941.019918477744</v>
      </c>
      <c r="BD22" s="167">
        <f>'Loan Payment Calculator'!C60</f>
        <v>941.019918477744</v>
      </c>
      <c r="BE22" s="167">
        <f>'Loan Payment Calculator'!C61</f>
        <v>941.019918477744</v>
      </c>
      <c r="BF22" s="167">
        <f>'Loan Payment Calculator'!C62</f>
        <v>941.019918477744</v>
      </c>
      <c r="BG22" s="167">
        <f>'Loan Payment Calculator'!C63</f>
        <v>941.019918477744</v>
      </c>
      <c r="BH22" s="167">
        <f>'Loan Payment Calculator'!C64</f>
        <v>941.019918477744</v>
      </c>
      <c r="BI22" s="167">
        <f>'Loan Payment Calculator'!C65</f>
        <v>941.019918477744</v>
      </c>
      <c r="BJ22" s="167">
        <f>'Loan Payment Calculator'!C66</f>
        <v>941.019918477744</v>
      </c>
    </row>
    <row r="23" spans="1:62" x14ac:dyDescent="0.2">
      <c r="A23" s="108" t="s">
        <v>200</v>
      </c>
      <c r="B23" s="111" t="s">
        <v>137</v>
      </c>
      <c r="C23" s="110"/>
      <c r="D23" s="110"/>
      <c r="E23" s="110"/>
      <c r="F23" s="110"/>
      <c r="G23" s="110"/>
      <c r="H23" s="110"/>
      <c r="I23" s="110"/>
      <c r="J23" s="110"/>
      <c r="K23" s="116">
        <f>'Balance Sheet'!C45</f>
        <v>25000</v>
      </c>
      <c r="L23" s="110"/>
      <c r="M23" s="110"/>
      <c r="N23" s="110"/>
      <c r="O23" s="158"/>
      <c r="P23" s="158"/>
      <c r="Q23" s="158"/>
      <c r="R23" s="158"/>
      <c r="S23" s="158"/>
      <c r="T23" s="158"/>
      <c r="U23" s="158"/>
      <c r="V23" s="158"/>
      <c r="W23" s="155">
        <f>'Profit and Loss'!C66</f>
        <v>17910.300176936096</v>
      </c>
      <c r="X23" s="158"/>
      <c r="Y23" s="158"/>
      <c r="Z23" s="158"/>
      <c r="AA23" s="162"/>
      <c r="AB23" s="162"/>
      <c r="AC23" s="162"/>
      <c r="AD23" s="162"/>
      <c r="AE23" s="162"/>
      <c r="AF23" s="162"/>
      <c r="AG23" s="162"/>
      <c r="AH23" s="162"/>
      <c r="AI23" s="159">
        <f>'Profit and Loss'!D63</f>
        <v>21447.576576000243</v>
      </c>
      <c r="AJ23" s="162"/>
      <c r="AK23" s="162"/>
      <c r="AL23" s="162"/>
      <c r="AM23" s="166"/>
      <c r="AN23" s="166"/>
      <c r="AO23" s="166"/>
      <c r="AP23" s="166"/>
      <c r="AQ23" s="166"/>
      <c r="AR23" s="166"/>
      <c r="AS23" s="166"/>
      <c r="AT23" s="166"/>
      <c r="AU23" s="163">
        <f>'Profit and Loss'!E66</f>
        <v>22751.705364017573</v>
      </c>
      <c r="AV23" s="166"/>
      <c r="AW23" s="166"/>
      <c r="AX23" s="166"/>
      <c r="AY23" s="170"/>
      <c r="AZ23" s="170"/>
      <c r="BA23" s="170"/>
      <c r="BB23" s="170"/>
      <c r="BC23" s="170"/>
      <c r="BD23" s="170"/>
      <c r="BE23" s="170"/>
      <c r="BF23" s="170"/>
      <c r="BG23" s="167">
        <f>'Profit and Loss'!F63</f>
        <v>24719.838568834824</v>
      </c>
      <c r="BH23" s="170"/>
      <c r="BI23" s="170"/>
      <c r="BJ23" s="170"/>
    </row>
    <row r="24" spans="1:62" x14ac:dyDescent="0.2">
      <c r="A24" s="172" t="s">
        <v>202</v>
      </c>
      <c r="B24" s="111" t="s">
        <v>201</v>
      </c>
      <c r="C24" s="110"/>
      <c r="D24" s="110"/>
      <c r="E24" s="110">
        <f>'Balance Sheet'!C46</f>
        <v>30000</v>
      </c>
      <c r="F24" s="110"/>
      <c r="G24" s="110"/>
      <c r="H24" s="110"/>
      <c r="I24" s="110"/>
      <c r="J24" s="110"/>
      <c r="K24" s="110"/>
      <c r="L24" s="113"/>
      <c r="M24" s="113"/>
      <c r="N24" s="113"/>
      <c r="O24" s="158"/>
      <c r="P24" s="158"/>
      <c r="Q24" s="155">
        <f>'Profit and Loss'!C70</f>
        <v>21492.36021232331</v>
      </c>
      <c r="R24" s="158"/>
      <c r="S24" s="158"/>
      <c r="T24" s="158"/>
      <c r="U24" s="158"/>
      <c r="V24" s="158"/>
      <c r="W24" s="158"/>
      <c r="X24" s="158"/>
      <c r="Y24" s="158"/>
      <c r="Z24" s="158"/>
      <c r="AA24" s="162"/>
      <c r="AB24" s="162"/>
      <c r="AC24" s="159">
        <f>'Profit and Loss'!D70</f>
        <v>25737.091891200293</v>
      </c>
      <c r="AD24" s="162"/>
      <c r="AE24" s="162"/>
      <c r="AF24" s="162"/>
      <c r="AG24" s="162"/>
      <c r="AH24" s="162"/>
      <c r="AI24" s="162"/>
      <c r="AJ24" s="162"/>
      <c r="AK24" s="162"/>
      <c r="AL24" s="162"/>
      <c r="AM24" s="166"/>
      <c r="AN24" s="166"/>
      <c r="AO24" s="163">
        <f>'Profit and Loss'!E70</f>
        <v>27302.046436821081</v>
      </c>
      <c r="AP24" s="166"/>
      <c r="AQ24" s="166"/>
      <c r="AR24" s="166"/>
      <c r="AS24" s="166"/>
      <c r="AT24" s="166"/>
      <c r="AU24" s="166"/>
      <c r="AV24" s="166"/>
      <c r="AW24" s="166"/>
      <c r="AX24" s="166"/>
      <c r="AY24" s="170"/>
      <c r="AZ24" s="170"/>
      <c r="BA24" s="167">
        <f>'Profit and Loss'!F70</f>
        <v>29663.806282601789</v>
      </c>
      <c r="BB24" s="170"/>
      <c r="BC24" s="170"/>
      <c r="BD24" s="170"/>
      <c r="BE24" s="170"/>
      <c r="BF24" s="170"/>
      <c r="BG24" s="170"/>
      <c r="BH24" s="170"/>
      <c r="BI24" s="170"/>
      <c r="BJ24" s="170"/>
    </row>
    <row r="25" spans="1:62" x14ac:dyDescent="0.2">
      <c r="B25" s="112"/>
      <c r="C25" s="116"/>
      <c r="D25" s="116"/>
      <c r="E25" s="116"/>
      <c r="F25" s="110"/>
      <c r="G25" s="110"/>
      <c r="H25" s="110"/>
      <c r="I25" s="110"/>
      <c r="J25" s="110"/>
      <c r="K25" s="110"/>
      <c r="L25" s="110"/>
      <c r="M25" s="110"/>
      <c r="N25" s="110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</row>
    <row r="26" spans="1:62" x14ac:dyDescent="0.2"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</row>
    <row r="27" spans="1:62" ht="17.45" customHeight="1" x14ac:dyDescent="0.2">
      <c r="B27" s="197" t="s">
        <v>199</v>
      </c>
      <c r="C27" s="198">
        <f>C13+C15+C16-C19-C20-C22-C23-C24-C21</f>
        <v>112772.63304955879</v>
      </c>
      <c r="D27" s="198">
        <f t="shared" ref="D27:M27" si="8">D13+D15+D16-D19-D20-D22-D23-D24-D21</f>
        <v>74344.01609911758</v>
      </c>
      <c r="E27" s="198">
        <f t="shared" si="8"/>
        <v>32704.649148676363</v>
      </c>
      <c r="F27" s="198">
        <f t="shared" si="8"/>
        <v>37714.532198235152</v>
      </c>
      <c r="G27" s="198">
        <f t="shared" si="8"/>
        <v>56974.915247793942</v>
      </c>
      <c r="H27" s="198">
        <f t="shared" si="8"/>
        <v>66095.29829735274</v>
      </c>
      <c r="I27" s="198">
        <f t="shared" si="8"/>
        <v>74735.93134691153</v>
      </c>
      <c r="J27" s="198">
        <f t="shared" si="8"/>
        <v>77347.064396470319</v>
      </c>
      <c r="K27" s="198">
        <f t="shared" si="8"/>
        <v>43858.697446029109</v>
      </c>
      <c r="L27" s="198">
        <f t="shared" si="8"/>
        <v>27629.080495587899</v>
      </c>
      <c r="M27" s="198">
        <f t="shared" si="8"/>
        <v>36749.463545146682</v>
      </c>
      <c r="N27" s="198">
        <f>N13+N15+N16-N19-N20-N22-N23-N24-N21</f>
        <v>26349.596594705472</v>
      </c>
      <c r="O27" s="199">
        <f>O13+O15+O16-O19-O20-O22-O23-O24-O21</f>
        <v>42873.354370291658</v>
      </c>
      <c r="P27" s="199">
        <f t="shared" ref="P27:BJ27" si="9">P13+P15+P16-P19-P20-P22-P23-P24-P21</f>
        <v>66349.17339587785</v>
      </c>
      <c r="Q27" s="199">
        <f t="shared" si="9"/>
        <v>36183.918959140734</v>
      </c>
      <c r="R27" s="199">
        <f t="shared" si="9"/>
        <v>45342.371484726908</v>
      </c>
      <c r="S27" s="199">
        <f t="shared" si="9"/>
        <v>69763.109510313079</v>
      </c>
      <c r="T27" s="199">
        <f t="shared" si="9"/>
        <v>83323.907535899285</v>
      </c>
      <c r="U27" s="199">
        <f t="shared" si="9"/>
        <v>96370.893311485474</v>
      </c>
      <c r="V27" s="199">
        <f t="shared" si="9"/>
        <v>102960.28458707166</v>
      </c>
      <c r="W27" s="199">
        <f t="shared" si="9"/>
        <v>79751.811185721701</v>
      </c>
      <c r="X27" s="199">
        <f t="shared" si="9"/>
        <v>66162.759211307886</v>
      </c>
      <c r="Y27" s="199">
        <f t="shared" si="9"/>
        <v>79723.557236894063</v>
      </c>
      <c r="Z27" s="199">
        <f t="shared" si="9"/>
        <v>73798.167512480228</v>
      </c>
      <c r="AA27" s="200">
        <f t="shared" si="9"/>
        <v>91285.73533767827</v>
      </c>
      <c r="AB27" s="200">
        <f t="shared" si="9"/>
        <v>116218.96076162632</v>
      </c>
      <c r="AC27" s="200">
        <f t="shared" si="9"/>
        <v>80983.822403624072</v>
      </c>
      <c r="AD27" s="200">
        <f t="shared" si="9"/>
        <v>90583.148306072122</v>
      </c>
      <c r="AE27" s="200">
        <f t="shared" si="9"/>
        <v>116528.38197902018</v>
      </c>
      <c r="AF27" s="200">
        <f t="shared" si="9"/>
        <v>130842.61991196824</v>
      </c>
      <c r="AG27" s="200">
        <f t="shared" si="9"/>
        <v>144606.56492516631</v>
      </c>
      <c r="AH27" s="200">
        <f t="shared" si="9"/>
        <v>151454.42622886435</v>
      </c>
      <c r="AI27" s="200">
        <f t="shared" si="9"/>
        <v>124123.12937706216</v>
      </c>
      <c r="AJ27" s="200">
        <f t="shared" si="9"/>
        <v>109359.87796001024</v>
      </c>
      <c r="AK27" s="200">
        <f t="shared" si="9"/>
        <v>123674.11589295832</v>
      </c>
      <c r="AL27" s="200">
        <f t="shared" si="9"/>
        <v>118538.64674565638</v>
      </c>
      <c r="AM27" s="201">
        <f t="shared" si="9"/>
        <v>137250.70785065542</v>
      </c>
      <c r="AN27" s="201">
        <f t="shared" si="9"/>
        <v>163937.06824391571</v>
      </c>
      <c r="AO27" s="201">
        <f t="shared" si="9"/>
        <v>126445.49000536167</v>
      </c>
      <c r="AP27" s="201">
        <f t="shared" si="9"/>
        <v>136709.24401109546</v>
      </c>
      <c r="AQ27" s="201">
        <f t="shared" si="9"/>
        <v>164479.46523903476</v>
      </c>
      <c r="AR27" s="201">
        <f t="shared" si="9"/>
        <v>179792.89002943406</v>
      </c>
      <c r="AS27" s="201">
        <f t="shared" si="9"/>
        <v>194516.95110278108</v>
      </c>
      <c r="AT27" s="201">
        <f t="shared" si="9"/>
        <v>201833.88652325363</v>
      </c>
      <c r="AU27" s="201">
        <f t="shared" si="9"/>
        <v>172763.59270806407</v>
      </c>
      <c r="AV27" s="201">
        <f t="shared" si="9"/>
        <v>156935.02640461334</v>
      </c>
      <c r="AW27" s="201">
        <f t="shared" si="9"/>
        <v>172248.4511950126</v>
      </c>
      <c r="AX27" s="201">
        <f t="shared" si="9"/>
        <v>168151.23970246411</v>
      </c>
      <c r="AY27" s="202">
        <f t="shared" si="9"/>
        <v>190475.43213113002</v>
      </c>
      <c r="AZ27" s="202">
        <f t="shared" si="9"/>
        <v>221340.09909752378</v>
      </c>
      <c r="BA27" s="202">
        <f t="shared" si="9"/>
        <v>183046.87924047792</v>
      </c>
      <c r="BB27" s="202">
        <f t="shared" si="9"/>
        <v>196322.93476583069</v>
      </c>
      <c r="BC27" s="202">
        <f t="shared" si="9"/>
        <v>228348.41668616561</v>
      </c>
      <c r="BD27" s="202">
        <f t="shared" si="9"/>
        <v>247032.66962189518</v>
      </c>
      <c r="BE27" s="202">
        <f t="shared" si="9"/>
        <v>265085.7140166618</v>
      </c>
      <c r="BF27" s="202">
        <f t="shared" si="9"/>
        <v>275205.72683719982</v>
      </c>
      <c r="BG27" s="202">
        <f t="shared" si="9"/>
        <v>246002.25502237177</v>
      </c>
      <c r="BH27" s="202">
        <f t="shared" si="9"/>
        <v>231333.435496588</v>
      </c>
      <c r="BI27" s="202">
        <f t="shared" si="9"/>
        <v>250017.68843231758</v>
      </c>
      <c r="BJ27" s="202">
        <f t="shared" si="9"/>
        <v>249333.1499090101</v>
      </c>
    </row>
    <row r="29" spans="1:62" x14ac:dyDescent="0.2">
      <c r="B29" s="172"/>
      <c r="N29" s="154"/>
    </row>
    <row r="30" spans="1:62" x14ac:dyDescent="0.2">
      <c r="B30" s="108"/>
      <c r="M30" s="108"/>
      <c r="N30" s="108"/>
    </row>
    <row r="31" spans="1:62" x14ac:dyDescent="0.2">
      <c r="M31" s="108"/>
      <c r="N31" s="180"/>
    </row>
    <row r="39" spans="2:62" x14ac:dyDescent="0.2">
      <c r="N39" s="150" t="s">
        <v>188</v>
      </c>
      <c r="Z39" s="150" t="s">
        <v>188</v>
      </c>
      <c r="AL39" s="150" t="s">
        <v>188</v>
      </c>
      <c r="AX39" s="150" t="s">
        <v>188</v>
      </c>
      <c r="BJ39" s="150" t="s">
        <v>188</v>
      </c>
    </row>
    <row r="40" spans="2:62" x14ac:dyDescent="0.2">
      <c r="C40" s="172" t="s">
        <v>196</v>
      </c>
      <c r="N40">
        <f>SUM(C43:N43)-SUM(C49:N49)+'Balance Sheet'!C10</f>
        <v>142380</v>
      </c>
      <c r="Z40" s="154">
        <f>SUM(O43:Z43)-SUM(O49:Z49)+N40</f>
        <v>154618.98000000021</v>
      </c>
      <c r="AL40" s="154">
        <f>SUM(AA43:AL43)-SUM(AA49:AL49)+Z40</f>
        <v>167726.92758000013</v>
      </c>
      <c r="AX40" s="154">
        <f>SUM(AM43:AX43)-SUM(AM49:AX49)+AL40</f>
        <v>181765.53943818016</v>
      </c>
      <c r="BJ40" s="154">
        <f>SUM(AY43:BJ43)-SUM(AY49:BJ49)+AX40</f>
        <v>196800.89273829083</v>
      </c>
    </row>
    <row r="42" spans="2:62" x14ac:dyDescent="0.2">
      <c r="C42" s="152" t="str">
        <f>C11</f>
        <v>Month 1</v>
      </c>
      <c r="D42" s="152" t="str">
        <f t="shared" ref="D42:N42" si="10">D11</f>
        <v>Month 2</v>
      </c>
      <c r="E42" s="152" t="str">
        <f t="shared" si="10"/>
        <v>Month 3</v>
      </c>
      <c r="F42" s="152" t="str">
        <f t="shared" si="10"/>
        <v>Month 4</v>
      </c>
      <c r="G42" s="152" t="str">
        <f t="shared" si="10"/>
        <v>Month 5</v>
      </c>
      <c r="H42" s="152" t="str">
        <f t="shared" si="10"/>
        <v>Month 6</v>
      </c>
      <c r="I42" s="152" t="str">
        <f t="shared" si="10"/>
        <v>Month 7</v>
      </c>
      <c r="J42" s="152" t="str">
        <f t="shared" si="10"/>
        <v>Month 8</v>
      </c>
      <c r="K42" s="152" t="str">
        <f t="shared" si="10"/>
        <v>Month 9</v>
      </c>
      <c r="L42" s="152" t="str">
        <f t="shared" si="10"/>
        <v>Month 10</v>
      </c>
      <c r="M42" s="152" t="str">
        <f t="shared" si="10"/>
        <v>Month 11</v>
      </c>
      <c r="N42" s="152" t="str">
        <f t="shared" si="10"/>
        <v>Month 12</v>
      </c>
      <c r="O42" s="152" t="str">
        <f>C42</f>
        <v>Month 1</v>
      </c>
      <c r="P42" s="152" t="str">
        <f t="shared" ref="P42:Z42" si="11">D42</f>
        <v>Month 2</v>
      </c>
      <c r="Q42" s="152" t="str">
        <f t="shared" si="11"/>
        <v>Month 3</v>
      </c>
      <c r="R42" s="152" t="str">
        <f t="shared" si="11"/>
        <v>Month 4</v>
      </c>
      <c r="S42" s="152" t="str">
        <f t="shared" si="11"/>
        <v>Month 5</v>
      </c>
      <c r="T42" s="152" t="str">
        <f t="shared" si="11"/>
        <v>Month 6</v>
      </c>
      <c r="U42" s="152" t="str">
        <f t="shared" si="11"/>
        <v>Month 7</v>
      </c>
      <c r="V42" s="152" t="str">
        <f t="shared" si="11"/>
        <v>Month 8</v>
      </c>
      <c r="W42" s="152" t="str">
        <f t="shared" si="11"/>
        <v>Month 9</v>
      </c>
      <c r="X42" s="152" t="str">
        <f t="shared" si="11"/>
        <v>Month 10</v>
      </c>
      <c r="Y42" s="152" t="str">
        <f t="shared" si="11"/>
        <v>Month 11</v>
      </c>
      <c r="Z42" s="152" t="str">
        <f t="shared" si="11"/>
        <v>Month 12</v>
      </c>
      <c r="AA42" s="152" t="str">
        <f>O42</f>
        <v>Month 1</v>
      </c>
      <c r="AB42" s="152" t="str">
        <f t="shared" ref="AB42" si="12">P42</f>
        <v>Month 2</v>
      </c>
      <c r="AC42" s="152" t="str">
        <f t="shared" ref="AC42" si="13">Q42</f>
        <v>Month 3</v>
      </c>
      <c r="AD42" s="152" t="str">
        <f t="shared" ref="AD42" si="14">R42</f>
        <v>Month 4</v>
      </c>
      <c r="AE42" s="152" t="str">
        <f t="shared" ref="AE42" si="15">S42</f>
        <v>Month 5</v>
      </c>
      <c r="AF42" s="152" t="str">
        <f t="shared" ref="AF42" si="16">T42</f>
        <v>Month 6</v>
      </c>
      <c r="AG42" s="152" t="str">
        <f t="shared" ref="AG42" si="17">U42</f>
        <v>Month 7</v>
      </c>
      <c r="AH42" s="152" t="str">
        <f t="shared" ref="AH42" si="18">V42</f>
        <v>Month 8</v>
      </c>
      <c r="AI42" s="152" t="str">
        <f t="shared" ref="AI42" si="19">W42</f>
        <v>Month 9</v>
      </c>
      <c r="AJ42" s="152" t="str">
        <f t="shared" ref="AJ42" si="20">X42</f>
        <v>Month 10</v>
      </c>
      <c r="AK42" s="152" t="str">
        <f t="shared" ref="AK42" si="21">Y42</f>
        <v>Month 11</v>
      </c>
      <c r="AL42" s="152" t="str">
        <f t="shared" ref="AL42" si="22">Z42</f>
        <v>Month 12</v>
      </c>
      <c r="AM42" s="152" t="str">
        <f>AA42</f>
        <v>Month 1</v>
      </c>
      <c r="AN42" s="152" t="str">
        <f t="shared" ref="AN42" si="23">AB42</f>
        <v>Month 2</v>
      </c>
      <c r="AO42" s="152" t="str">
        <f t="shared" ref="AO42" si="24">AC42</f>
        <v>Month 3</v>
      </c>
      <c r="AP42" s="152" t="str">
        <f t="shared" ref="AP42" si="25">AD42</f>
        <v>Month 4</v>
      </c>
      <c r="AQ42" s="152" t="str">
        <f t="shared" ref="AQ42" si="26">AE42</f>
        <v>Month 5</v>
      </c>
      <c r="AR42" s="152" t="str">
        <f t="shared" ref="AR42" si="27">AF42</f>
        <v>Month 6</v>
      </c>
      <c r="AS42" s="152" t="str">
        <f t="shared" ref="AS42" si="28">AG42</f>
        <v>Month 7</v>
      </c>
      <c r="AT42" s="152" t="str">
        <f t="shared" ref="AT42" si="29">AH42</f>
        <v>Month 8</v>
      </c>
      <c r="AU42" s="152" t="str">
        <f t="shared" ref="AU42" si="30">AI42</f>
        <v>Month 9</v>
      </c>
      <c r="AV42" s="152" t="str">
        <f t="shared" ref="AV42" si="31">AJ42</f>
        <v>Month 10</v>
      </c>
      <c r="AW42" s="152" t="str">
        <f t="shared" ref="AW42" si="32">AK42</f>
        <v>Month 11</v>
      </c>
      <c r="AX42" s="152" t="str">
        <f t="shared" ref="AX42" si="33">AL42</f>
        <v>Month 12</v>
      </c>
      <c r="AY42" s="152" t="str">
        <f>AM42</f>
        <v>Month 1</v>
      </c>
      <c r="AZ42" s="152" t="str">
        <f t="shared" ref="AZ42" si="34">AN42</f>
        <v>Month 2</v>
      </c>
      <c r="BA42" s="152" t="str">
        <f t="shared" ref="BA42" si="35">AO42</f>
        <v>Month 3</v>
      </c>
      <c r="BB42" s="152" t="str">
        <f t="shared" ref="BB42" si="36">AP42</f>
        <v>Month 4</v>
      </c>
      <c r="BC42" s="152" t="str">
        <f t="shared" ref="BC42" si="37">AQ42</f>
        <v>Month 5</v>
      </c>
      <c r="BD42" s="152" t="str">
        <f t="shared" ref="BD42" si="38">AR42</f>
        <v>Month 6</v>
      </c>
      <c r="BE42" s="152" t="str">
        <f t="shared" ref="BE42" si="39">AS42</f>
        <v>Month 7</v>
      </c>
      <c r="BF42" s="152" t="str">
        <f t="shared" ref="BF42" si="40">AT42</f>
        <v>Month 8</v>
      </c>
      <c r="BG42" s="152" t="str">
        <f t="shared" ref="BG42" si="41">AU42</f>
        <v>Month 9</v>
      </c>
      <c r="BH42" s="152" t="str">
        <f t="shared" ref="BH42" si="42">AV42</f>
        <v>Month 10</v>
      </c>
      <c r="BI42" s="152" t="str">
        <f t="shared" ref="BI42" si="43">AW42</f>
        <v>Month 11</v>
      </c>
      <c r="BJ42" s="152" t="str">
        <f t="shared" ref="BJ42" si="44">AX42</f>
        <v>Month 12</v>
      </c>
    </row>
    <row r="43" spans="2:62" x14ac:dyDescent="0.2">
      <c r="B43" s="111" t="s">
        <v>125</v>
      </c>
      <c r="C43" s="110">
        <f>'Profit and Loss'!$C16*'Monthly Cash'!C4/100</f>
        <v>50700</v>
      </c>
      <c r="D43" s="110">
        <f>'Profit and Loss'!$C16*'Monthly Cash'!D4/100</f>
        <v>81120</v>
      </c>
      <c r="E43" s="110">
        <f>'Profit and Loss'!$C16*'Monthly Cash'!E4/100</f>
        <v>111540</v>
      </c>
      <c r="F43" s="110">
        <f>'Profit and Loss'!$C16*'Monthly Cash'!F4/100</f>
        <v>91260</v>
      </c>
      <c r="G43" s="110">
        <f>'Profit and Loss'!$C16*'Monthly Cash'!G4/100</f>
        <v>91260</v>
      </c>
      <c r="H43" s="110">
        <f>'Profit and Loss'!$C16*'Monthly Cash'!H4/100</f>
        <v>81120</v>
      </c>
      <c r="I43" s="110">
        <f>'Profit and Loss'!$C16*'Monthly Cash'!I4/100</f>
        <v>60840</v>
      </c>
      <c r="J43" s="110">
        <f>'Profit and Loss'!$C16*'Monthly Cash'!J4/100</f>
        <v>40560</v>
      </c>
      <c r="K43" s="110">
        <f>'Profit and Loss'!$C16*'Monthly Cash'!K4/100</f>
        <v>91260</v>
      </c>
      <c r="L43" s="110">
        <f>'Profit and Loss'!$C16*'Monthly Cash'!L4/100</f>
        <v>91260</v>
      </c>
      <c r="M43" s="110">
        <f>'Profit and Loss'!$C16*'Monthly Cash'!M4/100</f>
        <v>101400</v>
      </c>
      <c r="N43" s="110">
        <f>'Profit and Loss'!$C16*'Monthly Cash'!N4/100</f>
        <v>121680</v>
      </c>
      <c r="O43" s="155">
        <f>'Profit and Loss'!$D16*'Monthly Cash'!C4/100</f>
        <v>54299.7</v>
      </c>
      <c r="P43" s="155">
        <f>'Profit and Loss'!$D16*'Monthly Cash'!D4/100</f>
        <v>86879.52</v>
      </c>
      <c r="Q43" s="155">
        <f>'Profit and Loss'!$D16*'Monthly Cash'!E4/100</f>
        <v>119459.34</v>
      </c>
      <c r="R43" s="155">
        <f>'Profit and Loss'!$D16*'Monthly Cash'!F4/100</f>
        <v>97739.46</v>
      </c>
      <c r="S43" s="155">
        <f>'Profit and Loss'!$D16*'Monthly Cash'!G4/100</f>
        <v>97739.46</v>
      </c>
      <c r="T43" s="155">
        <f>'Profit and Loss'!$D16*'Monthly Cash'!H4/100</f>
        <v>86879.52</v>
      </c>
      <c r="U43" s="155">
        <f>'Profit and Loss'!$D16*'Monthly Cash'!I4/100</f>
        <v>65159.64</v>
      </c>
      <c r="V43" s="155">
        <f>'Profit and Loss'!$D16*'Monthly Cash'!J4/100</f>
        <v>43439.76</v>
      </c>
      <c r="W43" s="155">
        <f>'Profit and Loss'!$D16*'Monthly Cash'!K4/100</f>
        <v>97739.46</v>
      </c>
      <c r="X43" s="155">
        <f>'Profit and Loss'!$D16*'Monthly Cash'!L4/100</f>
        <v>97739.46</v>
      </c>
      <c r="Y43" s="155">
        <f>'Profit and Loss'!$D16*'Monthly Cash'!M4/100</f>
        <v>108599.4</v>
      </c>
      <c r="Z43" s="155">
        <f>'Profit and Loss'!$D16*'Monthly Cash'!N4/100</f>
        <v>130319.28</v>
      </c>
      <c r="AA43" s="159">
        <f>'Profit and Loss'!$E16*'Monthly Cash'!C4/100</f>
        <v>58154.9787</v>
      </c>
      <c r="AB43" s="159">
        <f>'Profit and Loss'!$E16*'Monthly Cash'!D4/100</f>
        <v>93047.965920000002</v>
      </c>
      <c r="AC43" s="159">
        <f>'Profit and Loss'!$E16*'Monthly Cash'!E4/100</f>
        <v>127940.95314</v>
      </c>
      <c r="AD43" s="159">
        <f>'Profit and Loss'!$E16*'Monthly Cash'!F4/100</f>
        <v>104678.96166000002</v>
      </c>
      <c r="AE43" s="159">
        <f>'Profit and Loss'!$E16*'Monthly Cash'!G4/100</f>
        <v>104678.96166000002</v>
      </c>
      <c r="AF43" s="159">
        <f>'Profit and Loss'!$E16*'Monthly Cash'!H4/100</f>
        <v>93047.965920000002</v>
      </c>
      <c r="AG43" s="159">
        <f>'Profit and Loss'!$E16*'Monthly Cash'!I4/100</f>
        <v>69785.974440000005</v>
      </c>
      <c r="AH43" s="159">
        <f>'Profit and Loss'!$E16*'Monthly Cash'!J4/100</f>
        <v>46523.982960000001</v>
      </c>
      <c r="AI43" s="159">
        <f>'Profit and Loss'!$E16*'Monthly Cash'!K4/100</f>
        <v>104678.96166000002</v>
      </c>
      <c r="AJ43" s="159">
        <f>'Profit and Loss'!$E16*'Monthly Cash'!L4/100</f>
        <v>104678.96166000002</v>
      </c>
      <c r="AK43" s="159">
        <f>'Profit and Loss'!$E16*'Monthly Cash'!M4/100</f>
        <v>116309.9574</v>
      </c>
      <c r="AL43" s="159">
        <f>'Profit and Loss'!$E16*'Monthly Cash'!N4/100</f>
        <v>139571.94888000001</v>
      </c>
      <c r="AM43" s="163">
        <f>'Profit and Loss'!$F16*'Monthly Cash'!C4/100</f>
        <v>62283.982187700014</v>
      </c>
      <c r="AN43" s="163">
        <f>'Profit and Loss'!$F16*'Monthly Cash'!D4/100</f>
        <v>99654.37150032002</v>
      </c>
      <c r="AO43" s="163">
        <f>'Profit and Loss'!$F16*'Monthly Cash'!E4/100</f>
        <v>137024.76081294005</v>
      </c>
      <c r="AP43" s="163">
        <f>'Profit and Loss'!$F16*'Monthly Cash'!F4/100</f>
        <v>112111.16793786002</v>
      </c>
      <c r="AQ43" s="163">
        <f>'Profit and Loss'!$F16*'Monthly Cash'!G4/100</f>
        <v>112111.16793786002</v>
      </c>
      <c r="AR43" s="163">
        <f>'Profit and Loss'!$F16*'Monthly Cash'!H4/100</f>
        <v>99654.37150032002</v>
      </c>
      <c r="AS43" s="163">
        <f>'Profit and Loss'!$F16*'Monthly Cash'!I4/100</f>
        <v>74740.778625240026</v>
      </c>
      <c r="AT43" s="163">
        <f>'Profit and Loss'!$F16*'Monthly Cash'!J4/100</f>
        <v>49827.18575016001</v>
      </c>
      <c r="AU43" s="163">
        <f>'Profit and Loss'!$F16*'Monthly Cash'!K4/100</f>
        <v>112111.16793786002</v>
      </c>
      <c r="AV43" s="163">
        <f>'Profit and Loss'!$F16*'Monthly Cash'!L4/100</f>
        <v>112111.16793786002</v>
      </c>
      <c r="AW43" s="163">
        <f>'Profit and Loss'!$F16*'Monthly Cash'!M4/100</f>
        <v>124567.96437540003</v>
      </c>
      <c r="AX43" s="163">
        <f>'Profit and Loss'!$F16*'Monthly Cash'!N4/100</f>
        <v>149481.55725048005</v>
      </c>
      <c r="AY43" s="167">
        <f>'Profit and Loss'!$G16*'Monthly Cash'!C4/100</f>
        <v>66706.144923026717</v>
      </c>
      <c r="AZ43" s="167">
        <f>'Profit and Loss'!$G16*'Monthly Cash'!D4/100</f>
        <v>106729.83187684273</v>
      </c>
      <c r="BA43" s="167">
        <f>'Profit and Loss'!$G16*'Monthly Cash'!E4/100</f>
        <v>146753.51883065875</v>
      </c>
      <c r="BB43" s="167">
        <f>'Profit and Loss'!$G16*'Monthly Cash'!F4/100</f>
        <v>120071.06086144807</v>
      </c>
      <c r="BC43" s="167">
        <f>'Profit and Loss'!$G16*'Monthly Cash'!G4/100</f>
        <v>120071.06086144807</v>
      </c>
      <c r="BD43" s="167">
        <f>'Profit and Loss'!$G16*'Monthly Cash'!H4/100</f>
        <v>106729.83187684273</v>
      </c>
      <c r="BE43" s="167">
        <f>'Profit and Loss'!$G16*'Monthly Cash'!I4/100</f>
        <v>80047.373907632049</v>
      </c>
      <c r="BF43" s="167">
        <f>'Profit and Loss'!$G16*'Monthly Cash'!J4/100</f>
        <v>53364.915938421364</v>
      </c>
      <c r="BG43" s="167">
        <f>'Profit and Loss'!$G16*'Monthly Cash'!K4/100</f>
        <v>120071.06086144807</v>
      </c>
      <c r="BH43" s="167">
        <f>'Profit and Loss'!$G16*'Monthly Cash'!L4/100</f>
        <v>120071.06086144807</v>
      </c>
      <c r="BI43" s="167">
        <f>'Profit and Loss'!$G16*'Monthly Cash'!M4/100</f>
        <v>133412.28984605343</v>
      </c>
      <c r="BJ43" s="167">
        <f>'Profit and Loss'!$G16*'Monthly Cash'!N4/100</f>
        <v>160094.7478152641</v>
      </c>
    </row>
    <row r="44" spans="2:62" x14ac:dyDescent="0.2">
      <c r="B44" s="112" t="s">
        <v>126</v>
      </c>
      <c r="C44" s="111">
        <f>IF($C$5&lt;1,C$43*(1-$C$5),0)</f>
        <v>0</v>
      </c>
      <c r="D44" s="111">
        <f>IF($C$5&lt;1,D$43*(1-$C$5),0)</f>
        <v>0</v>
      </c>
      <c r="E44" s="111">
        <f t="shared" ref="E44:Z44" si="45">IF($C$5&lt;1,E43*(1-$C$5),0)</f>
        <v>0</v>
      </c>
      <c r="F44" s="111">
        <f t="shared" si="45"/>
        <v>0</v>
      </c>
      <c r="G44" s="111">
        <f t="shared" si="45"/>
        <v>0</v>
      </c>
      <c r="H44" s="111">
        <f t="shared" si="45"/>
        <v>0</v>
      </c>
      <c r="I44" s="111">
        <f t="shared" si="45"/>
        <v>0</v>
      </c>
      <c r="J44" s="111">
        <f t="shared" si="45"/>
        <v>0</v>
      </c>
      <c r="K44" s="111">
        <f t="shared" si="45"/>
        <v>0</v>
      </c>
      <c r="L44" s="111">
        <f t="shared" si="45"/>
        <v>0</v>
      </c>
      <c r="M44" s="111">
        <f t="shared" si="45"/>
        <v>0</v>
      </c>
      <c r="N44" s="111">
        <f t="shared" si="45"/>
        <v>0</v>
      </c>
      <c r="O44" s="156">
        <f t="shared" si="45"/>
        <v>0</v>
      </c>
      <c r="P44" s="156">
        <f t="shared" si="45"/>
        <v>0</v>
      </c>
      <c r="Q44" s="156">
        <f t="shared" si="45"/>
        <v>0</v>
      </c>
      <c r="R44" s="156">
        <f t="shared" si="45"/>
        <v>0</v>
      </c>
      <c r="S44" s="156">
        <f t="shared" si="45"/>
        <v>0</v>
      </c>
      <c r="T44" s="156">
        <f t="shared" si="45"/>
        <v>0</v>
      </c>
      <c r="U44" s="156">
        <f t="shared" si="45"/>
        <v>0</v>
      </c>
      <c r="V44" s="156">
        <f t="shared" si="45"/>
        <v>0</v>
      </c>
      <c r="W44" s="156">
        <f t="shared" si="45"/>
        <v>0</v>
      </c>
      <c r="X44" s="156">
        <f t="shared" si="45"/>
        <v>0</v>
      </c>
      <c r="Y44" s="156">
        <f t="shared" si="45"/>
        <v>0</v>
      </c>
      <c r="Z44" s="156">
        <f t="shared" si="45"/>
        <v>0</v>
      </c>
      <c r="AA44" s="160">
        <f t="shared" ref="AA44:AL44" si="46">IF($C$5&lt;1,AA43*(1-$C$5),0)</f>
        <v>0</v>
      </c>
      <c r="AB44" s="160">
        <f t="shared" si="46"/>
        <v>0</v>
      </c>
      <c r="AC44" s="160">
        <f t="shared" si="46"/>
        <v>0</v>
      </c>
      <c r="AD44" s="160">
        <f t="shared" si="46"/>
        <v>0</v>
      </c>
      <c r="AE44" s="160">
        <f t="shared" si="46"/>
        <v>0</v>
      </c>
      <c r="AF44" s="160">
        <f t="shared" si="46"/>
        <v>0</v>
      </c>
      <c r="AG44" s="160">
        <f t="shared" si="46"/>
        <v>0</v>
      </c>
      <c r="AH44" s="160">
        <f t="shared" si="46"/>
        <v>0</v>
      </c>
      <c r="AI44" s="160">
        <f t="shared" si="46"/>
        <v>0</v>
      </c>
      <c r="AJ44" s="160">
        <f t="shared" si="46"/>
        <v>0</v>
      </c>
      <c r="AK44" s="160">
        <f t="shared" si="46"/>
        <v>0</v>
      </c>
      <c r="AL44" s="160">
        <f t="shared" si="46"/>
        <v>0</v>
      </c>
      <c r="AM44" s="164">
        <f t="shared" ref="AM44:AX44" si="47">IF($C$5&lt;1,AM43*(1-$C$5),0)</f>
        <v>0</v>
      </c>
      <c r="AN44" s="164">
        <f t="shared" si="47"/>
        <v>0</v>
      </c>
      <c r="AO44" s="164">
        <f t="shared" si="47"/>
        <v>0</v>
      </c>
      <c r="AP44" s="164">
        <f t="shared" si="47"/>
        <v>0</v>
      </c>
      <c r="AQ44" s="164">
        <f t="shared" si="47"/>
        <v>0</v>
      </c>
      <c r="AR44" s="164">
        <f t="shared" si="47"/>
        <v>0</v>
      </c>
      <c r="AS44" s="164">
        <f t="shared" si="47"/>
        <v>0</v>
      </c>
      <c r="AT44" s="164">
        <f t="shared" si="47"/>
        <v>0</v>
      </c>
      <c r="AU44" s="164">
        <f t="shared" si="47"/>
        <v>0</v>
      </c>
      <c r="AV44" s="164">
        <f t="shared" si="47"/>
        <v>0</v>
      </c>
      <c r="AW44" s="164">
        <f t="shared" si="47"/>
        <v>0</v>
      </c>
      <c r="AX44" s="164">
        <f t="shared" si="47"/>
        <v>0</v>
      </c>
      <c r="AY44" s="168">
        <f t="shared" ref="AY44:BJ44" si="48">IF($C$5&lt;1,AY43*(1-$C$5),0)</f>
        <v>0</v>
      </c>
      <c r="AZ44" s="168">
        <f t="shared" si="48"/>
        <v>0</v>
      </c>
      <c r="BA44" s="168">
        <f t="shared" si="48"/>
        <v>0</v>
      </c>
      <c r="BB44" s="168">
        <f t="shared" si="48"/>
        <v>0</v>
      </c>
      <c r="BC44" s="168">
        <f t="shared" si="48"/>
        <v>0</v>
      </c>
      <c r="BD44" s="168">
        <f t="shared" si="48"/>
        <v>0</v>
      </c>
      <c r="BE44" s="168">
        <f t="shared" si="48"/>
        <v>0</v>
      </c>
      <c r="BF44" s="168">
        <f t="shared" si="48"/>
        <v>0</v>
      </c>
      <c r="BG44" s="168">
        <f t="shared" si="48"/>
        <v>0</v>
      </c>
      <c r="BH44" s="168">
        <f t="shared" si="48"/>
        <v>0</v>
      </c>
      <c r="BI44" s="168">
        <f t="shared" si="48"/>
        <v>0</v>
      </c>
      <c r="BJ44" s="168">
        <f t="shared" si="48"/>
        <v>0</v>
      </c>
    </row>
    <row r="45" spans="2:62" x14ac:dyDescent="0.2">
      <c r="B45" s="112" t="s">
        <v>127</v>
      </c>
      <c r="C45" s="111">
        <v>0</v>
      </c>
      <c r="D45" s="111">
        <f>IF($C$5&lt;2,MAX((2-$C$5)*(C$43-C44),0),0)</f>
        <v>25350</v>
      </c>
      <c r="E45" s="111">
        <f>IF($C$5&lt;2,MAX((2-$C$5)*(D$43-D44),0),0)</f>
        <v>40560</v>
      </c>
      <c r="F45" s="111">
        <f t="shared" ref="F45:N45" si="49">IF($C$5&lt;2,MAX((2-$C$5)*(E$43-E44),0),0)</f>
        <v>55770</v>
      </c>
      <c r="G45" s="111">
        <f t="shared" si="49"/>
        <v>45630</v>
      </c>
      <c r="H45" s="111">
        <f t="shared" si="49"/>
        <v>45630</v>
      </c>
      <c r="I45" s="111">
        <f t="shared" si="49"/>
        <v>40560</v>
      </c>
      <c r="J45" s="111">
        <f t="shared" si="49"/>
        <v>30420</v>
      </c>
      <c r="K45" s="111">
        <f t="shared" si="49"/>
        <v>20280</v>
      </c>
      <c r="L45" s="111">
        <f t="shared" si="49"/>
        <v>45630</v>
      </c>
      <c r="M45" s="111">
        <f t="shared" si="49"/>
        <v>45630</v>
      </c>
      <c r="N45" s="111">
        <f t="shared" si="49"/>
        <v>50700</v>
      </c>
      <c r="O45" s="157">
        <f t="shared" ref="O45:Z45" si="50">IF($C$5&lt;2,MAX((2-$C$5)*(N$43-N44),0),0)</f>
        <v>60840</v>
      </c>
      <c r="P45" s="157">
        <f t="shared" si="50"/>
        <v>27149.85</v>
      </c>
      <c r="Q45" s="157">
        <f t="shared" si="50"/>
        <v>43439.76</v>
      </c>
      <c r="R45" s="157">
        <f t="shared" si="50"/>
        <v>59729.67</v>
      </c>
      <c r="S45" s="157">
        <f t="shared" si="50"/>
        <v>48869.73</v>
      </c>
      <c r="T45" s="157">
        <f t="shared" si="50"/>
        <v>48869.73</v>
      </c>
      <c r="U45" s="157">
        <f t="shared" si="50"/>
        <v>43439.76</v>
      </c>
      <c r="V45" s="157">
        <f t="shared" si="50"/>
        <v>32579.82</v>
      </c>
      <c r="W45" s="157">
        <f t="shared" si="50"/>
        <v>21719.88</v>
      </c>
      <c r="X45" s="157">
        <f t="shared" si="50"/>
        <v>48869.73</v>
      </c>
      <c r="Y45" s="157">
        <f t="shared" si="50"/>
        <v>48869.73</v>
      </c>
      <c r="Z45" s="157">
        <f t="shared" si="50"/>
        <v>54299.7</v>
      </c>
      <c r="AA45" s="161">
        <f t="shared" ref="AA45:AL45" si="51">IF($C$5&lt;2,MAX((2-$C$5)*(Z$43-Z44),0),0)</f>
        <v>65159.64</v>
      </c>
      <c r="AB45" s="161">
        <f t="shared" si="51"/>
        <v>29077.48935</v>
      </c>
      <c r="AC45" s="161">
        <f t="shared" si="51"/>
        <v>46523.982960000001</v>
      </c>
      <c r="AD45" s="161">
        <f t="shared" si="51"/>
        <v>63970.476569999999</v>
      </c>
      <c r="AE45" s="161">
        <f t="shared" si="51"/>
        <v>52339.480830000008</v>
      </c>
      <c r="AF45" s="161">
        <f t="shared" si="51"/>
        <v>52339.480830000008</v>
      </c>
      <c r="AG45" s="161">
        <f t="shared" si="51"/>
        <v>46523.982960000001</v>
      </c>
      <c r="AH45" s="161">
        <f t="shared" si="51"/>
        <v>34892.987220000003</v>
      </c>
      <c r="AI45" s="161">
        <f t="shared" si="51"/>
        <v>23261.991480000001</v>
      </c>
      <c r="AJ45" s="161">
        <f t="shared" si="51"/>
        <v>52339.480830000008</v>
      </c>
      <c r="AK45" s="161">
        <f t="shared" si="51"/>
        <v>52339.480830000008</v>
      </c>
      <c r="AL45" s="161">
        <f t="shared" si="51"/>
        <v>58154.9787</v>
      </c>
      <c r="AM45" s="165">
        <f t="shared" ref="AM45:AX45" si="52">IF($C$5&lt;2,MAX((2-$C$5)*(AL$43-AL44),0),0)</f>
        <v>69785.974440000005</v>
      </c>
      <c r="AN45" s="165">
        <f t="shared" si="52"/>
        <v>31141.991093850007</v>
      </c>
      <c r="AO45" s="165">
        <f t="shared" si="52"/>
        <v>49827.18575016001</v>
      </c>
      <c r="AP45" s="165">
        <f t="shared" si="52"/>
        <v>68512.380406470023</v>
      </c>
      <c r="AQ45" s="165">
        <f t="shared" si="52"/>
        <v>56055.583968930012</v>
      </c>
      <c r="AR45" s="165">
        <f t="shared" si="52"/>
        <v>56055.583968930012</v>
      </c>
      <c r="AS45" s="165">
        <f t="shared" si="52"/>
        <v>49827.18575016001</v>
      </c>
      <c r="AT45" s="165">
        <f t="shared" si="52"/>
        <v>37370.389312620013</v>
      </c>
      <c r="AU45" s="165">
        <f t="shared" si="52"/>
        <v>24913.592875080005</v>
      </c>
      <c r="AV45" s="165">
        <f t="shared" si="52"/>
        <v>56055.583968930012</v>
      </c>
      <c r="AW45" s="165">
        <f t="shared" si="52"/>
        <v>56055.583968930012</v>
      </c>
      <c r="AX45" s="165">
        <f t="shared" si="52"/>
        <v>62283.982187700014</v>
      </c>
      <c r="AY45" s="169">
        <f t="shared" ref="AY45:BJ45" si="53">IF($C$5&lt;2,MAX((2-$C$5)*(AX$43-AX44),0),0)</f>
        <v>74740.778625240026</v>
      </c>
      <c r="AZ45" s="169">
        <f t="shared" si="53"/>
        <v>33353.072461513359</v>
      </c>
      <c r="BA45" s="169">
        <f t="shared" si="53"/>
        <v>53364.915938421364</v>
      </c>
      <c r="BB45" s="169">
        <f t="shared" si="53"/>
        <v>73376.759415329376</v>
      </c>
      <c r="BC45" s="169">
        <f t="shared" si="53"/>
        <v>60035.530430724037</v>
      </c>
      <c r="BD45" s="169">
        <f t="shared" si="53"/>
        <v>60035.530430724037</v>
      </c>
      <c r="BE45" s="169">
        <f t="shared" si="53"/>
        <v>53364.915938421364</v>
      </c>
      <c r="BF45" s="169">
        <f t="shared" si="53"/>
        <v>40023.686953816024</v>
      </c>
      <c r="BG45" s="169">
        <f t="shared" si="53"/>
        <v>26682.457969210682</v>
      </c>
      <c r="BH45" s="169">
        <f t="shared" si="53"/>
        <v>60035.530430724037</v>
      </c>
      <c r="BI45" s="169">
        <f t="shared" si="53"/>
        <v>60035.530430724037</v>
      </c>
      <c r="BJ45" s="169">
        <f t="shared" si="53"/>
        <v>66706.144923026717</v>
      </c>
    </row>
    <row r="46" spans="2:62" x14ac:dyDescent="0.2">
      <c r="B46" s="112" t="s">
        <v>128</v>
      </c>
      <c r="C46" s="111"/>
      <c r="D46" s="111"/>
      <c r="E46" s="111">
        <f>IF($C$5&lt;3,MAX(C43-C44-D45,0),0)</f>
        <v>25350</v>
      </c>
      <c r="F46" s="111">
        <f t="shared" ref="F46:N46" si="54">IF($C$5&lt;3,MAX(D43-D44-E45,0),0)</f>
        <v>40560</v>
      </c>
      <c r="G46" s="111">
        <f t="shared" si="54"/>
        <v>55770</v>
      </c>
      <c r="H46" s="111">
        <f t="shared" si="54"/>
        <v>45630</v>
      </c>
      <c r="I46" s="111">
        <f t="shared" si="54"/>
        <v>45630</v>
      </c>
      <c r="J46" s="111">
        <f t="shared" si="54"/>
        <v>40560</v>
      </c>
      <c r="K46" s="111">
        <f t="shared" si="54"/>
        <v>30420</v>
      </c>
      <c r="L46" s="111">
        <f t="shared" si="54"/>
        <v>20280</v>
      </c>
      <c r="M46" s="111">
        <f t="shared" si="54"/>
        <v>45630</v>
      </c>
      <c r="N46" s="111">
        <f t="shared" si="54"/>
        <v>45630</v>
      </c>
      <c r="O46" s="157">
        <f t="shared" ref="O46" si="55">IF($C$5&lt;3,MAX(M43-M44-N45,0),0)</f>
        <v>50700</v>
      </c>
      <c r="P46" s="157">
        <f t="shared" ref="P46" si="56">IF($C$5&lt;3,MAX(N43-N44-O45,0),0)</f>
        <v>60840</v>
      </c>
      <c r="Q46" s="157">
        <f t="shared" ref="Q46" si="57">IF($C$5&lt;3,MAX(O43-O44-P45,0),0)</f>
        <v>27149.85</v>
      </c>
      <c r="R46" s="157">
        <f t="shared" ref="R46" si="58">IF($C$5&lt;3,MAX(P43-P44-Q45,0),0)</f>
        <v>43439.76</v>
      </c>
      <c r="S46" s="157">
        <f t="shared" ref="S46" si="59">IF($C$5&lt;3,MAX(Q43-Q44-R45,0),0)</f>
        <v>59729.67</v>
      </c>
      <c r="T46" s="157">
        <f t="shared" ref="T46" si="60">IF($C$5&lt;3,MAX(R43-R44-S45,0),0)</f>
        <v>48869.73</v>
      </c>
      <c r="U46" s="157">
        <f t="shared" ref="U46" si="61">IF($C$5&lt;3,MAX(S43-S44-T45,0),0)</f>
        <v>48869.73</v>
      </c>
      <c r="V46" s="157">
        <f t="shared" ref="V46" si="62">IF($C$5&lt;3,MAX(T43-T44-U45,0),0)</f>
        <v>43439.76</v>
      </c>
      <c r="W46" s="157">
        <f t="shared" ref="W46" si="63">IF($C$5&lt;3,MAX(U43-U44-V45,0),0)</f>
        <v>32579.82</v>
      </c>
      <c r="X46" s="157">
        <f t="shared" ref="X46" si="64">IF($C$5&lt;3,MAX(V43-V44-W45,0),0)</f>
        <v>21719.88</v>
      </c>
      <c r="Y46" s="157">
        <f t="shared" ref="Y46" si="65">IF($C$5&lt;3,MAX(W43-W44-X45,0),0)</f>
        <v>48869.73</v>
      </c>
      <c r="Z46" s="157">
        <f t="shared" ref="Z46" si="66">IF($C$5&lt;3,MAX(X43-X44-Y45,0),0)</f>
        <v>48869.73</v>
      </c>
      <c r="AA46" s="161">
        <f t="shared" ref="AA46" si="67">IF($C$5&lt;3,MAX(Y43-Y44-Z45,0),0)</f>
        <v>54299.7</v>
      </c>
      <c r="AB46" s="161">
        <f t="shared" ref="AB46" si="68">IF($C$5&lt;3,MAX(Z43-Z44-AA45,0),0)</f>
        <v>65159.64</v>
      </c>
      <c r="AC46" s="161">
        <f t="shared" ref="AC46" si="69">IF($C$5&lt;3,MAX(AA43-AA44-AB45,0),0)</f>
        <v>29077.48935</v>
      </c>
      <c r="AD46" s="161">
        <f t="shared" ref="AD46" si="70">IF($C$5&lt;3,MAX(AB43-AB44-AC45,0),0)</f>
        <v>46523.982960000001</v>
      </c>
      <c r="AE46" s="161">
        <f t="shared" ref="AE46" si="71">IF($C$5&lt;3,MAX(AC43-AC44-AD45,0),0)</f>
        <v>63970.476569999999</v>
      </c>
      <c r="AF46" s="161">
        <f t="shared" ref="AF46" si="72">IF($C$5&lt;3,MAX(AD43-AD44-AE45,0),0)</f>
        <v>52339.480830000008</v>
      </c>
      <c r="AG46" s="161">
        <f t="shared" ref="AG46" si="73">IF($C$5&lt;3,MAX(AE43-AE44-AF45,0),0)</f>
        <v>52339.480830000008</v>
      </c>
      <c r="AH46" s="161">
        <f t="shared" ref="AH46" si="74">IF($C$5&lt;3,MAX(AF43-AF44-AG45,0),0)</f>
        <v>46523.982960000001</v>
      </c>
      <c r="AI46" s="161">
        <f t="shared" ref="AI46" si="75">IF($C$5&lt;3,MAX(AG43-AG44-AH45,0),0)</f>
        <v>34892.987220000003</v>
      </c>
      <c r="AJ46" s="161">
        <f t="shared" ref="AJ46" si="76">IF($C$5&lt;3,MAX(AH43-AH44-AI45,0),0)</f>
        <v>23261.991480000001</v>
      </c>
      <c r="AK46" s="161">
        <f t="shared" ref="AK46" si="77">IF($C$5&lt;3,MAX(AI43-AI44-AJ45,0),0)</f>
        <v>52339.480830000008</v>
      </c>
      <c r="AL46" s="161">
        <f t="shared" ref="AL46" si="78">IF($C$5&lt;3,MAX(AJ43-AJ44-AK45,0),0)</f>
        <v>52339.480830000008</v>
      </c>
      <c r="AM46" s="165">
        <f t="shared" ref="AM46" si="79">IF($C$5&lt;3,MAX(AK43-AK44-AL45,0),0)</f>
        <v>58154.9787</v>
      </c>
      <c r="AN46" s="165">
        <f t="shared" ref="AN46" si="80">IF($C$5&lt;3,MAX(AL43-AL44-AM45,0),0)</f>
        <v>69785.974440000005</v>
      </c>
      <c r="AO46" s="165">
        <f t="shared" ref="AO46" si="81">IF($C$5&lt;3,MAX(AM43-AM44-AN45,0),0)</f>
        <v>31141.991093850007</v>
      </c>
      <c r="AP46" s="165">
        <f t="shared" ref="AP46" si="82">IF($C$5&lt;3,MAX(AN43-AN44-AO45,0),0)</f>
        <v>49827.18575016001</v>
      </c>
      <c r="AQ46" s="165">
        <f t="shared" ref="AQ46" si="83">IF($C$5&lt;3,MAX(AO43-AO44-AP45,0),0)</f>
        <v>68512.380406470023</v>
      </c>
      <c r="AR46" s="165">
        <f t="shared" ref="AR46" si="84">IF($C$5&lt;3,MAX(AP43-AP44-AQ45,0),0)</f>
        <v>56055.583968930012</v>
      </c>
      <c r="AS46" s="165">
        <f t="shared" ref="AS46" si="85">IF($C$5&lt;3,MAX(AQ43-AQ44-AR45,0),0)</f>
        <v>56055.583968930012</v>
      </c>
      <c r="AT46" s="165">
        <f t="shared" ref="AT46" si="86">IF($C$5&lt;3,MAX(AR43-AR44-AS45,0),0)</f>
        <v>49827.18575016001</v>
      </c>
      <c r="AU46" s="165">
        <f t="shared" ref="AU46" si="87">IF($C$5&lt;3,MAX(AS43-AS44-AT45,0),0)</f>
        <v>37370.389312620013</v>
      </c>
      <c r="AV46" s="165">
        <f t="shared" ref="AV46" si="88">IF($C$5&lt;3,MAX(AT43-AT44-AU45,0),0)</f>
        <v>24913.592875080005</v>
      </c>
      <c r="AW46" s="165">
        <f t="shared" ref="AW46" si="89">IF($C$5&lt;3,MAX(AU43-AU44-AV45,0),0)</f>
        <v>56055.583968930012</v>
      </c>
      <c r="AX46" s="165">
        <f t="shared" ref="AX46" si="90">IF($C$5&lt;3,MAX(AV43-AV44-AW45,0),0)</f>
        <v>56055.583968930012</v>
      </c>
      <c r="AY46" s="169">
        <f t="shared" ref="AY46" si="91">IF($C$5&lt;3,MAX(AW43-AW44-AX45,0),0)</f>
        <v>62283.982187700014</v>
      </c>
      <c r="AZ46" s="169">
        <f t="shared" ref="AZ46" si="92">IF($C$5&lt;3,MAX(AX43-AX44-AY45,0),0)</f>
        <v>74740.778625240026</v>
      </c>
      <c r="BA46" s="169">
        <f t="shared" ref="BA46" si="93">IF($C$5&lt;3,MAX(AY43-AY44-AZ45,0),0)</f>
        <v>33353.072461513359</v>
      </c>
      <c r="BB46" s="169">
        <f t="shared" ref="BB46" si="94">IF($C$5&lt;3,MAX(AZ43-AZ44-BA45,0),0)</f>
        <v>53364.915938421364</v>
      </c>
      <c r="BC46" s="169">
        <f t="shared" ref="BC46" si="95">IF($C$5&lt;3,MAX(BA43-BA44-BB45,0),0)</f>
        <v>73376.759415329376</v>
      </c>
      <c r="BD46" s="169">
        <f t="shared" ref="BD46" si="96">IF($C$5&lt;3,MAX(BB43-BB44-BC45,0),0)</f>
        <v>60035.530430724037</v>
      </c>
      <c r="BE46" s="169">
        <f t="shared" ref="BE46" si="97">IF($C$5&lt;3,MAX(BC43-BC44-BD45,0),0)</f>
        <v>60035.530430724037</v>
      </c>
      <c r="BF46" s="169">
        <f t="shared" ref="BF46" si="98">IF($C$5&lt;3,MAX(BD43-BD44-BE45,0),0)</f>
        <v>53364.915938421364</v>
      </c>
      <c r="BG46" s="169">
        <f t="shared" ref="BG46" si="99">IF($C$5&lt;3,MAX(BE43-BE44-BF45,0),0)</f>
        <v>40023.686953816024</v>
      </c>
      <c r="BH46" s="169">
        <f t="shared" ref="BH46" si="100">IF($C$5&lt;3,MAX(BF43-BF44-BG45,0),0)</f>
        <v>26682.457969210682</v>
      </c>
      <c r="BI46" s="169">
        <f t="shared" ref="BI46" si="101">IF($C$5&lt;3,MAX(BG43-BG44-BH45,0),0)</f>
        <v>60035.530430724037</v>
      </c>
      <c r="BJ46" s="169">
        <f t="shared" ref="BJ46" si="102">IF($C$5&lt;3,MAX(BH43-BH44-BI45,0),0)</f>
        <v>60035.530430724037</v>
      </c>
    </row>
    <row r="47" spans="2:62" x14ac:dyDescent="0.2">
      <c r="B47" s="112" t="s">
        <v>130</v>
      </c>
      <c r="C47" s="111"/>
      <c r="D47" s="111"/>
      <c r="E47" s="111"/>
      <c r="F47" s="111">
        <f t="shared" ref="F47:N47" si="103">MAX(C43-C44-D45-E46,0)</f>
        <v>0</v>
      </c>
      <c r="G47" s="111">
        <f t="shared" si="103"/>
        <v>0</v>
      </c>
      <c r="H47" s="111">
        <f t="shared" si="103"/>
        <v>0</v>
      </c>
      <c r="I47" s="111">
        <f t="shared" si="103"/>
        <v>0</v>
      </c>
      <c r="J47" s="111">
        <f t="shared" si="103"/>
        <v>0</v>
      </c>
      <c r="K47" s="111">
        <f t="shared" si="103"/>
        <v>0</v>
      </c>
      <c r="L47" s="111">
        <f t="shared" si="103"/>
        <v>0</v>
      </c>
      <c r="M47" s="111">
        <f t="shared" si="103"/>
        <v>0</v>
      </c>
      <c r="N47" s="111">
        <f t="shared" si="103"/>
        <v>0</v>
      </c>
      <c r="O47" s="156">
        <f t="shared" ref="O47" si="104">MAX(L43-L44-M45-N46,0)</f>
        <v>0</v>
      </c>
      <c r="P47" s="156">
        <f t="shared" ref="P47" si="105">MAX(M43-M44-N45-O46,0)</f>
        <v>0</v>
      </c>
      <c r="Q47" s="156">
        <f t="shared" ref="Q47" si="106">MAX(N43-N44-O45-P46,0)</f>
        <v>0</v>
      </c>
      <c r="R47" s="156">
        <f t="shared" ref="R47" si="107">MAX(O43-O44-P45-Q46,0)</f>
        <v>0</v>
      </c>
      <c r="S47" s="156">
        <f t="shared" ref="S47" si="108">MAX(P43-P44-Q45-R46,0)</f>
        <v>0</v>
      </c>
      <c r="T47" s="156">
        <f t="shared" ref="T47" si="109">MAX(Q43-Q44-R45-S46,0)</f>
        <v>0</v>
      </c>
      <c r="U47" s="156">
        <f t="shared" ref="U47" si="110">MAX(R43-R44-S45-T46,0)</f>
        <v>0</v>
      </c>
      <c r="V47" s="156">
        <f t="shared" ref="V47" si="111">MAX(S43-S44-T45-U46,0)</f>
        <v>0</v>
      </c>
      <c r="W47" s="156">
        <f t="shared" ref="W47" si="112">MAX(T43-T44-U45-V46,0)</f>
        <v>0</v>
      </c>
      <c r="X47" s="156">
        <f t="shared" ref="X47" si="113">MAX(U43-U44-V45-W46,0)</f>
        <v>0</v>
      </c>
      <c r="Y47" s="156">
        <f t="shared" ref="Y47" si="114">MAX(V43-V44-W45-X46,0)</f>
        <v>0</v>
      </c>
      <c r="Z47" s="156">
        <f t="shared" ref="Z47" si="115">MAX(W43-W44-X45-Y46,0)</f>
        <v>0</v>
      </c>
      <c r="AA47" s="160">
        <f t="shared" ref="AA47" si="116">MAX(X43-X44-Y45-Z46,0)</f>
        <v>0</v>
      </c>
      <c r="AB47" s="160">
        <f t="shared" ref="AB47" si="117">MAX(Y43-Y44-Z45-AA46,0)</f>
        <v>0</v>
      </c>
      <c r="AC47" s="160">
        <f t="shared" ref="AC47" si="118">MAX(Z43-Z44-AA45-AB46,0)</f>
        <v>0</v>
      </c>
      <c r="AD47" s="160">
        <f t="shared" ref="AD47" si="119">MAX(AA43-AA44-AB45-AC46,0)</f>
        <v>0</v>
      </c>
      <c r="AE47" s="160">
        <f t="shared" ref="AE47" si="120">MAX(AB43-AB44-AC45-AD46,0)</f>
        <v>0</v>
      </c>
      <c r="AF47" s="160">
        <f t="shared" ref="AF47" si="121">MAX(AC43-AC44-AD45-AE46,0)</f>
        <v>0</v>
      </c>
      <c r="AG47" s="160">
        <f t="shared" ref="AG47" si="122">MAX(AD43-AD44-AE45-AF46,0)</f>
        <v>0</v>
      </c>
      <c r="AH47" s="160">
        <f t="shared" ref="AH47" si="123">MAX(AE43-AE44-AF45-AG46,0)</f>
        <v>0</v>
      </c>
      <c r="AI47" s="160">
        <f t="shared" ref="AI47" si="124">MAX(AF43-AF44-AG45-AH46,0)</f>
        <v>0</v>
      </c>
      <c r="AJ47" s="160">
        <f t="shared" ref="AJ47" si="125">MAX(AG43-AG44-AH45-AI46,0)</f>
        <v>0</v>
      </c>
      <c r="AK47" s="160">
        <f t="shared" ref="AK47" si="126">MAX(AH43-AH44-AI45-AJ46,0)</f>
        <v>0</v>
      </c>
      <c r="AL47" s="160">
        <f t="shared" ref="AL47" si="127">MAX(AI43-AI44-AJ45-AK46,0)</f>
        <v>0</v>
      </c>
      <c r="AM47" s="164">
        <f t="shared" ref="AM47" si="128">MAX(AJ43-AJ44-AK45-AL46,0)</f>
        <v>0</v>
      </c>
      <c r="AN47" s="164">
        <f t="shared" ref="AN47" si="129">MAX(AK43-AK44-AL45-AM46,0)</f>
        <v>0</v>
      </c>
      <c r="AO47" s="164">
        <f t="shared" ref="AO47" si="130">MAX(AL43-AL44-AM45-AN46,0)</f>
        <v>0</v>
      </c>
      <c r="AP47" s="164">
        <f t="shared" ref="AP47" si="131">MAX(AM43-AM44-AN45-AO46,0)</f>
        <v>0</v>
      </c>
      <c r="AQ47" s="164">
        <f t="shared" ref="AQ47" si="132">MAX(AN43-AN44-AO45-AP46,0)</f>
        <v>0</v>
      </c>
      <c r="AR47" s="164">
        <f t="shared" ref="AR47" si="133">MAX(AO43-AO44-AP45-AQ46,0)</f>
        <v>0</v>
      </c>
      <c r="AS47" s="164">
        <f t="shared" ref="AS47" si="134">MAX(AP43-AP44-AQ45-AR46,0)</f>
        <v>0</v>
      </c>
      <c r="AT47" s="164">
        <f t="shared" ref="AT47" si="135">MAX(AQ43-AQ44-AR45-AS46,0)</f>
        <v>0</v>
      </c>
      <c r="AU47" s="164">
        <f t="shared" ref="AU47" si="136">MAX(AR43-AR44-AS45-AT46,0)</f>
        <v>0</v>
      </c>
      <c r="AV47" s="164">
        <f t="shared" ref="AV47" si="137">MAX(AS43-AS44-AT45-AU46,0)</f>
        <v>0</v>
      </c>
      <c r="AW47" s="164">
        <f t="shared" ref="AW47" si="138">MAX(AT43-AT44-AU45-AV46,0)</f>
        <v>0</v>
      </c>
      <c r="AX47" s="164">
        <f t="shared" ref="AX47" si="139">MAX(AU43-AU44-AV45-AW46,0)</f>
        <v>0</v>
      </c>
      <c r="AY47" s="168">
        <f t="shared" ref="AY47" si="140">MAX(AV43-AV44-AW45-AX46,0)</f>
        <v>0</v>
      </c>
      <c r="AZ47" s="168">
        <f t="shared" ref="AZ47" si="141">MAX(AW43-AW44-AX45-AY46,0)</f>
        <v>0</v>
      </c>
      <c r="BA47" s="168">
        <f t="shared" ref="BA47" si="142">MAX(AX43-AX44-AY45-AZ46,0)</f>
        <v>0</v>
      </c>
      <c r="BB47" s="168">
        <f t="shared" ref="BB47" si="143">MAX(AY43-AY44-AZ45-BA46,0)</f>
        <v>0</v>
      </c>
      <c r="BC47" s="168">
        <f t="shared" ref="BC47" si="144">MAX(AZ43-AZ44-BA45-BB46,0)</f>
        <v>0</v>
      </c>
      <c r="BD47" s="168">
        <f t="shared" ref="BD47" si="145">MAX(BA43-BA44-BB45-BC46,0)</f>
        <v>0</v>
      </c>
      <c r="BE47" s="168">
        <f t="shared" ref="BE47" si="146">MAX(BB43-BB44-BC45-BD46,0)</f>
        <v>0</v>
      </c>
      <c r="BF47" s="168">
        <f t="shared" ref="BF47" si="147">MAX(BC43-BC44-BD45-BE46,0)</f>
        <v>0</v>
      </c>
      <c r="BG47" s="168">
        <f t="shared" ref="BG47" si="148">MAX(BD43-BD44-BE45-BF46,0)</f>
        <v>0</v>
      </c>
      <c r="BH47" s="168">
        <f t="shared" ref="BH47" si="149">MAX(BE43-BE44-BF45-BG46,0)</f>
        <v>0</v>
      </c>
      <c r="BI47" s="168">
        <f t="shared" ref="BI47" si="150">MAX(BF43-BF44-BG45-BH46,0)</f>
        <v>0</v>
      </c>
      <c r="BJ47" s="168">
        <f t="shared" ref="BJ47" si="151">MAX(BG43-BG44-BH45-BI46,0)</f>
        <v>0</v>
      </c>
    </row>
    <row r="48" spans="2:62" x14ac:dyDescent="0.2">
      <c r="B48" s="114" t="s">
        <v>129</v>
      </c>
      <c r="C48" s="113">
        <v>150000</v>
      </c>
      <c r="D48" s="111">
        <f>IF(C5=2,'Balance Sheet'!C10/2,0)+IF(C5=3,'Balance Sheet'!C10/3,0)</f>
        <v>0</v>
      </c>
      <c r="E48" s="111">
        <f>IF(C5=3,'Balance Sheet'!C10/3,0)</f>
        <v>0</v>
      </c>
      <c r="F48" s="111"/>
      <c r="G48" s="111"/>
      <c r="H48" s="111"/>
      <c r="I48" s="111"/>
      <c r="J48" s="111"/>
      <c r="K48" s="111"/>
      <c r="L48" s="111"/>
      <c r="M48" s="111"/>
      <c r="N48" s="111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8"/>
      <c r="AZ48" s="168"/>
      <c r="BA48" s="168"/>
      <c r="BB48" s="168"/>
      <c r="BC48" s="168"/>
      <c r="BD48" s="168"/>
      <c r="BE48" s="168"/>
      <c r="BF48" s="168"/>
      <c r="BG48" s="168"/>
      <c r="BH48" s="168"/>
      <c r="BI48" s="168"/>
      <c r="BJ48" s="168"/>
    </row>
    <row r="49" spans="1:62" x14ac:dyDescent="0.2">
      <c r="B49" s="112" t="s">
        <v>138</v>
      </c>
      <c r="C49" s="110">
        <f>SUM(C44:C48)</f>
        <v>150000</v>
      </c>
      <c r="D49" s="110">
        <f t="shared" ref="D49:Z49" si="152">SUM(D44:D48)</f>
        <v>25350</v>
      </c>
      <c r="E49" s="110">
        <f t="shared" si="152"/>
        <v>65910</v>
      </c>
      <c r="F49" s="110">
        <f t="shared" si="152"/>
        <v>96330</v>
      </c>
      <c r="G49" s="110">
        <f t="shared" si="152"/>
        <v>101400</v>
      </c>
      <c r="H49" s="110">
        <f t="shared" si="152"/>
        <v>91260</v>
      </c>
      <c r="I49" s="110">
        <f t="shared" si="152"/>
        <v>86190</v>
      </c>
      <c r="J49" s="110">
        <f t="shared" si="152"/>
        <v>70980</v>
      </c>
      <c r="K49" s="110">
        <f t="shared" si="152"/>
        <v>50700</v>
      </c>
      <c r="L49" s="110">
        <f t="shared" si="152"/>
        <v>65910</v>
      </c>
      <c r="M49" s="110">
        <f t="shared" si="152"/>
        <v>91260</v>
      </c>
      <c r="N49" s="110">
        <f t="shared" si="152"/>
        <v>96330</v>
      </c>
      <c r="O49" s="155">
        <f t="shared" si="152"/>
        <v>111540</v>
      </c>
      <c r="P49" s="155">
        <f t="shared" si="152"/>
        <v>87989.85</v>
      </c>
      <c r="Q49" s="155">
        <f t="shared" si="152"/>
        <v>70589.61</v>
      </c>
      <c r="R49" s="155">
        <f t="shared" si="152"/>
        <v>103169.43</v>
      </c>
      <c r="S49" s="155">
        <f t="shared" si="152"/>
        <v>108599.4</v>
      </c>
      <c r="T49" s="155">
        <f t="shared" si="152"/>
        <v>97739.46</v>
      </c>
      <c r="U49" s="155">
        <f t="shared" si="152"/>
        <v>92309.49</v>
      </c>
      <c r="V49" s="155">
        <f t="shared" si="152"/>
        <v>76019.58</v>
      </c>
      <c r="W49" s="155">
        <f t="shared" si="152"/>
        <v>54299.7</v>
      </c>
      <c r="X49" s="155">
        <f t="shared" si="152"/>
        <v>70589.61</v>
      </c>
      <c r="Y49" s="155">
        <f t="shared" si="152"/>
        <v>97739.46</v>
      </c>
      <c r="Z49" s="155">
        <f t="shared" si="152"/>
        <v>103169.43</v>
      </c>
      <c r="AA49" s="159">
        <f t="shared" ref="AA49:AL49" si="153">SUM(AA44:AA48)</f>
        <v>119459.34</v>
      </c>
      <c r="AB49" s="159">
        <f t="shared" si="153"/>
        <v>94237.129350000003</v>
      </c>
      <c r="AC49" s="159">
        <f t="shared" si="153"/>
        <v>75601.472309999997</v>
      </c>
      <c r="AD49" s="159">
        <f t="shared" si="153"/>
        <v>110494.45952999999</v>
      </c>
      <c r="AE49" s="159">
        <f t="shared" si="153"/>
        <v>116309.95740000001</v>
      </c>
      <c r="AF49" s="159">
        <f t="shared" si="153"/>
        <v>104678.96166000002</v>
      </c>
      <c r="AG49" s="159">
        <f t="shared" si="153"/>
        <v>98863.463790000009</v>
      </c>
      <c r="AH49" s="159">
        <f t="shared" si="153"/>
        <v>81416.970180000004</v>
      </c>
      <c r="AI49" s="159">
        <f t="shared" si="153"/>
        <v>58154.978700000007</v>
      </c>
      <c r="AJ49" s="159">
        <f t="shared" si="153"/>
        <v>75601.472310000012</v>
      </c>
      <c r="AK49" s="159">
        <f t="shared" si="153"/>
        <v>104678.96166000002</v>
      </c>
      <c r="AL49" s="159">
        <f t="shared" si="153"/>
        <v>110494.45953000001</v>
      </c>
      <c r="AM49" s="163">
        <f t="shared" ref="AM49:AX49" si="154">SUM(AM44:AM48)</f>
        <v>127940.95314</v>
      </c>
      <c r="AN49" s="163">
        <f t="shared" si="154"/>
        <v>100927.96553385002</v>
      </c>
      <c r="AO49" s="163">
        <f t="shared" si="154"/>
        <v>80969.176844010013</v>
      </c>
      <c r="AP49" s="163">
        <f t="shared" si="154"/>
        <v>118339.56615663003</v>
      </c>
      <c r="AQ49" s="163">
        <f t="shared" si="154"/>
        <v>124567.96437540004</v>
      </c>
      <c r="AR49" s="163">
        <f t="shared" si="154"/>
        <v>112111.16793786002</v>
      </c>
      <c r="AS49" s="163">
        <f t="shared" si="154"/>
        <v>105882.76971909002</v>
      </c>
      <c r="AT49" s="163">
        <f t="shared" si="154"/>
        <v>87197.57506278003</v>
      </c>
      <c r="AU49" s="163">
        <f t="shared" si="154"/>
        <v>62283.982187700021</v>
      </c>
      <c r="AV49" s="163">
        <f t="shared" si="154"/>
        <v>80969.176844010013</v>
      </c>
      <c r="AW49" s="163">
        <f t="shared" si="154"/>
        <v>112111.16793786002</v>
      </c>
      <c r="AX49" s="163">
        <f t="shared" si="154"/>
        <v>118339.56615663003</v>
      </c>
      <c r="AY49" s="167">
        <f t="shared" ref="AY49:BJ49" si="155">SUM(AY44:AY48)</f>
        <v>137024.76081294005</v>
      </c>
      <c r="AZ49" s="167">
        <f t="shared" si="155"/>
        <v>108093.85108675339</v>
      </c>
      <c r="BA49" s="167">
        <f t="shared" si="155"/>
        <v>86717.988399934722</v>
      </c>
      <c r="BB49" s="167">
        <f t="shared" si="155"/>
        <v>126741.67535375073</v>
      </c>
      <c r="BC49" s="167">
        <f t="shared" si="155"/>
        <v>133412.28984605341</v>
      </c>
      <c r="BD49" s="167">
        <f t="shared" si="155"/>
        <v>120071.06086144807</v>
      </c>
      <c r="BE49" s="167">
        <f t="shared" si="155"/>
        <v>113400.4463691454</v>
      </c>
      <c r="BF49" s="167">
        <f t="shared" si="155"/>
        <v>93388.602892237395</v>
      </c>
      <c r="BG49" s="167">
        <f t="shared" si="155"/>
        <v>66706.144923026703</v>
      </c>
      <c r="BH49" s="167">
        <f t="shared" si="155"/>
        <v>86717.988399934722</v>
      </c>
      <c r="BI49" s="167">
        <f t="shared" si="155"/>
        <v>120071.06086144807</v>
      </c>
      <c r="BJ49" s="167">
        <f t="shared" si="155"/>
        <v>126741.67535375076</v>
      </c>
    </row>
    <row r="50" spans="1:62" x14ac:dyDescent="0.2"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</row>
    <row r="51" spans="1:62" x14ac:dyDescent="0.2"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</row>
    <row r="52" spans="1:62" x14ac:dyDescent="0.2">
      <c r="B52" s="115" t="s">
        <v>131</v>
      </c>
      <c r="C52" s="116">
        <f>'Profit and Loss'!$C25*C4/100</f>
        <v>22951.25</v>
      </c>
      <c r="D52" s="116">
        <f>'Profit and Loss'!$C25*D4/100</f>
        <v>36722</v>
      </c>
      <c r="E52" s="116">
        <f>'Profit and Loss'!$C25*E4/100</f>
        <v>50492.75</v>
      </c>
      <c r="F52" s="116">
        <f>'Profit and Loss'!$C25*F4/100</f>
        <v>41312.25</v>
      </c>
      <c r="G52" s="116">
        <f>'Profit and Loss'!$C25*G4/100</f>
        <v>41312.25</v>
      </c>
      <c r="H52" s="116">
        <f>'Profit and Loss'!$C25*H4/100</f>
        <v>36722</v>
      </c>
      <c r="I52" s="116">
        <f>'Profit and Loss'!$C25*I4/100</f>
        <v>27541.5</v>
      </c>
      <c r="J52" s="116">
        <f>'Profit and Loss'!$C25*J4/100</f>
        <v>18361</v>
      </c>
      <c r="K52" s="116">
        <f>'Profit and Loss'!$C25*K4/100</f>
        <v>41312.25</v>
      </c>
      <c r="L52" s="116">
        <f>'Profit and Loss'!$C25*L4/100</f>
        <v>41312.25</v>
      </c>
      <c r="M52" s="116">
        <f>'Profit and Loss'!$C25*M4/100</f>
        <v>45902.5</v>
      </c>
      <c r="N52" s="116">
        <f>'Profit and Loss'!$C25*N4/100</f>
        <v>55083</v>
      </c>
      <c r="O52" s="155">
        <f>'Profit and Loss'!$D25*C4/100</f>
        <v>24580.788749999996</v>
      </c>
      <c r="P52" s="155">
        <f>'Profit and Loss'!$D25*D4/100</f>
        <v>39329.261999999995</v>
      </c>
      <c r="Q52" s="155">
        <f>'Profit and Loss'!$D25*E4/100</f>
        <v>54077.735249999983</v>
      </c>
      <c r="R52" s="155">
        <f>'Profit and Loss'!$D25*F4/100</f>
        <v>44245.419749999994</v>
      </c>
      <c r="S52" s="155">
        <f>'Profit and Loss'!$D25*G4/100</f>
        <v>44245.419749999994</v>
      </c>
      <c r="T52" s="155">
        <f>'Profit and Loss'!$D25*H4/100</f>
        <v>39329.261999999995</v>
      </c>
      <c r="U52" s="155">
        <f>'Profit and Loss'!$D25*I4/100</f>
        <v>29496.946499999995</v>
      </c>
      <c r="V52" s="155">
        <f>'Profit and Loss'!$D25*J4/100</f>
        <v>19664.630999999998</v>
      </c>
      <c r="W52" s="155">
        <f>'Profit and Loss'!$D25*K4/100</f>
        <v>44245.419749999994</v>
      </c>
      <c r="X52" s="155">
        <f>'Profit and Loss'!$D25*L4/100</f>
        <v>44245.419749999994</v>
      </c>
      <c r="Y52" s="155">
        <f>'Profit and Loss'!$D25*M4/100</f>
        <v>49161.577499999992</v>
      </c>
      <c r="Z52" s="155">
        <f>'Profit and Loss'!$D25*N4/100</f>
        <v>58993.892999999989</v>
      </c>
      <c r="AA52" s="159">
        <f>'Profit and Loss'!$E25*C4/100</f>
        <v>26326.024751249999</v>
      </c>
      <c r="AB52" s="159">
        <f>'Profit and Loss'!$E25*D4/100</f>
        <v>42121.639601999996</v>
      </c>
      <c r="AC52" s="159">
        <f>'Profit and Loss'!$E25*E4/100</f>
        <v>57917.254452749992</v>
      </c>
      <c r="AD52" s="159">
        <f>'Profit and Loss'!$E25*F4/100</f>
        <v>47386.84455224999</v>
      </c>
      <c r="AE52" s="159">
        <f>'Profit and Loss'!$E25*G4/100</f>
        <v>47386.84455224999</v>
      </c>
      <c r="AF52" s="159">
        <f>'Profit and Loss'!$E25*H4/100</f>
        <v>42121.639601999996</v>
      </c>
      <c r="AG52" s="159">
        <f>'Profit and Loss'!$E25*I4/100</f>
        <v>31591.229701499993</v>
      </c>
      <c r="AH52" s="159">
        <f>'Profit and Loss'!$E25*J4/100</f>
        <v>21060.819800999998</v>
      </c>
      <c r="AI52" s="159">
        <f>'Profit and Loss'!$E25*K4/100</f>
        <v>47386.84455224999</v>
      </c>
      <c r="AJ52" s="159">
        <f>'Profit and Loss'!$E25*L4/100</f>
        <v>47386.84455224999</v>
      </c>
      <c r="AK52" s="159">
        <f>'Profit and Loss'!$E25*M4/100</f>
        <v>52652.049502499998</v>
      </c>
      <c r="AL52" s="159">
        <f>'Profit and Loss'!$E25*N4/100</f>
        <v>63182.459402999986</v>
      </c>
      <c r="AM52" s="163">
        <f>'Profit and Loss'!$F25*C4/100</f>
        <v>28195.172508588756</v>
      </c>
      <c r="AN52" s="163">
        <f>'Profit and Loss'!$F25*D4/100</f>
        <v>45112.276013742005</v>
      </c>
      <c r="AO52" s="163">
        <f>'Profit and Loss'!$F25*E4/100</f>
        <v>62029.379518895264</v>
      </c>
      <c r="AP52" s="163">
        <f>'Profit and Loss'!$F25*F4/100</f>
        <v>50751.310515459758</v>
      </c>
      <c r="AQ52" s="163">
        <f>'Profit and Loss'!$F25*G4/100</f>
        <v>50751.310515459758</v>
      </c>
      <c r="AR52" s="163">
        <f>'Profit and Loss'!$F25*H4/100</f>
        <v>45112.276013742005</v>
      </c>
      <c r="AS52" s="163">
        <f>'Profit and Loss'!$F25*I4/100</f>
        <v>33834.207010306505</v>
      </c>
      <c r="AT52" s="163">
        <f>'Profit and Loss'!$F25*J4/100</f>
        <v>22556.138006871002</v>
      </c>
      <c r="AU52" s="163">
        <f>'Profit and Loss'!$F25*K4/100</f>
        <v>50751.310515459758</v>
      </c>
      <c r="AV52" s="163">
        <f>'Profit and Loss'!$F25*L4/100</f>
        <v>50751.310515459758</v>
      </c>
      <c r="AW52" s="163">
        <f>'Profit and Loss'!$F25*M4/100</f>
        <v>56390.345017177511</v>
      </c>
      <c r="AX52" s="163">
        <f>'Profit and Loss'!$F25*N4/100</f>
        <v>67668.414020613011</v>
      </c>
      <c r="AY52" s="167">
        <f>'Profit and Loss'!$G25*'Monthly Cash'!C4/100</f>
        <v>30197.029756698554</v>
      </c>
      <c r="AZ52" s="167">
        <f>'Profit and Loss'!$G25*'Monthly Cash'!D4/100</f>
        <v>48315.247610717684</v>
      </c>
      <c r="BA52" s="167">
        <f>'Profit and Loss'!$G25*'Monthly Cash'!E4/100</f>
        <v>66433.465464736815</v>
      </c>
      <c r="BB52" s="167">
        <f>'Profit and Loss'!$G25*'Monthly Cash'!F4/100</f>
        <v>54354.6535620574</v>
      </c>
      <c r="BC52" s="167">
        <f>'Profit and Loss'!$G25*'Monthly Cash'!G4/100</f>
        <v>54354.6535620574</v>
      </c>
      <c r="BD52" s="167">
        <f>'Profit and Loss'!$G25*'Monthly Cash'!H4/100</f>
        <v>48315.247610717684</v>
      </c>
      <c r="BE52" s="167">
        <f>'Profit and Loss'!$G25*'Monthly Cash'!I4/100</f>
        <v>36236.435708038269</v>
      </c>
      <c r="BF52" s="167">
        <f>'Profit and Loss'!$G25*'Monthly Cash'!J4/100</f>
        <v>24157.623805358842</v>
      </c>
      <c r="BG52" s="167">
        <f>'Profit and Loss'!$G25*'Monthly Cash'!K4/100</f>
        <v>54354.6535620574</v>
      </c>
      <c r="BH52" s="167">
        <f>'Profit and Loss'!$G25*'Monthly Cash'!L4/100</f>
        <v>54354.6535620574</v>
      </c>
      <c r="BI52" s="167">
        <f>'Profit and Loss'!$G25*'Monthly Cash'!M4/100</f>
        <v>60394.059513397107</v>
      </c>
      <c r="BJ52" s="167">
        <f>'Profit and Loss'!$G25*'Monthly Cash'!N4/100</f>
        <v>72472.871416076538</v>
      </c>
    </row>
    <row r="53" spans="1:62" x14ac:dyDescent="0.2">
      <c r="B53" s="112" t="s">
        <v>189</v>
      </c>
      <c r="C53" s="111">
        <f>IF($C$6&lt;1,C$52*(1-$C$6),0)</f>
        <v>0</v>
      </c>
      <c r="D53" s="111">
        <f t="shared" ref="D53:BJ53" si="156">IF($C$6&lt;1,D$52*(1-$C$6),0)</f>
        <v>0</v>
      </c>
      <c r="E53" s="111">
        <f t="shared" si="156"/>
        <v>0</v>
      </c>
      <c r="F53" s="111">
        <f t="shared" si="156"/>
        <v>0</v>
      </c>
      <c r="G53" s="111">
        <f t="shared" si="156"/>
        <v>0</v>
      </c>
      <c r="H53" s="111">
        <f t="shared" si="156"/>
        <v>0</v>
      </c>
      <c r="I53" s="111">
        <f t="shared" si="156"/>
        <v>0</v>
      </c>
      <c r="J53" s="111">
        <f t="shared" si="156"/>
        <v>0</v>
      </c>
      <c r="K53" s="111">
        <f t="shared" si="156"/>
        <v>0</v>
      </c>
      <c r="L53" s="111">
        <f t="shared" si="156"/>
        <v>0</v>
      </c>
      <c r="M53" s="111">
        <f t="shared" si="156"/>
        <v>0</v>
      </c>
      <c r="N53" s="111">
        <f t="shared" si="156"/>
        <v>0</v>
      </c>
      <c r="O53" s="156">
        <f t="shared" si="156"/>
        <v>0</v>
      </c>
      <c r="P53" s="156">
        <f t="shared" si="156"/>
        <v>0</v>
      </c>
      <c r="Q53" s="156">
        <f t="shared" si="156"/>
        <v>0</v>
      </c>
      <c r="R53" s="156">
        <f t="shared" si="156"/>
        <v>0</v>
      </c>
      <c r="S53" s="156">
        <f t="shared" si="156"/>
        <v>0</v>
      </c>
      <c r="T53" s="156">
        <f t="shared" si="156"/>
        <v>0</v>
      </c>
      <c r="U53" s="156">
        <f t="shared" si="156"/>
        <v>0</v>
      </c>
      <c r="V53" s="156">
        <f t="shared" si="156"/>
        <v>0</v>
      </c>
      <c r="W53" s="156">
        <f t="shared" si="156"/>
        <v>0</v>
      </c>
      <c r="X53" s="156">
        <f t="shared" si="156"/>
        <v>0</v>
      </c>
      <c r="Y53" s="156">
        <f t="shared" si="156"/>
        <v>0</v>
      </c>
      <c r="Z53" s="156">
        <f t="shared" si="156"/>
        <v>0</v>
      </c>
      <c r="AA53" s="160">
        <f t="shared" si="156"/>
        <v>0</v>
      </c>
      <c r="AB53" s="160">
        <f t="shared" si="156"/>
        <v>0</v>
      </c>
      <c r="AC53" s="160">
        <f t="shared" si="156"/>
        <v>0</v>
      </c>
      <c r="AD53" s="160">
        <f t="shared" si="156"/>
        <v>0</v>
      </c>
      <c r="AE53" s="160">
        <f t="shared" si="156"/>
        <v>0</v>
      </c>
      <c r="AF53" s="160">
        <f t="shared" si="156"/>
        <v>0</v>
      </c>
      <c r="AG53" s="160">
        <f t="shared" si="156"/>
        <v>0</v>
      </c>
      <c r="AH53" s="160">
        <f t="shared" si="156"/>
        <v>0</v>
      </c>
      <c r="AI53" s="160">
        <f t="shared" si="156"/>
        <v>0</v>
      </c>
      <c r="AJ53" s="160">
        <f t="shared" si="156"/>
        <v>0</v>
      </c>
      <c r="AK53" s="160">
        <f t="shared" si="156"/>
        <v>0</v>
      </c>
      <c r="AL53" s="160">
        <f t="shared" si="156"/>
        <v>0</v>
      </c>
      <c r="AM53" s="164">
        <f t="shared" si="156"/>
        <v>0</v>
      </c>
      <c r="AN53" s="164">
        <f t="shared" si="156"/>
        <v>0</v>
      </c>
      <c r="AO53" s="164">
        <f t="shared" si="156"/>
        <v>0</v>
      </c>
      <c r="AP53" s="164">
        <f t="shared" si="156"/>
        <v>0</v>
      </c>
      <c r="AQ53" s="164">
        <f t="shared" si="156"/>
        <v>0</v>
      </c>
      <c r="AR53" s="164">
        <f t="shared" si="156"/>
        <v>0</v>
      </c>
      <c r="AS53" s="164">
        <f t="shared" si="156"/>
        <v>0</v>
      </c>
      <c r="AT53" s="164">
        <f t="shared" si="156"/>
        <v>0</v>
      </c>
      <c r="AU53" s="164">
        <f t="shared" si="156"/>
        <v>0</v>
      </c>
      <c r="AV53" s="164">
        <f t="shared" si="156"/>
        <v>0</v>
      </c>
      <c r="AW53" s="164">
        <f t="shared" si="156"/>
        <v>0</v>
      </c>
      <c r="AX53" s="164">
        <f t="shared" si="156"/>
        <v>0</v>
      </c>
      <c r="AY53" s="168">
        <f t="shared" si="156"/>
        <v>0</v>
      </c>
      <c r="AZ53" s="168">
        <f t="shared" si="156"/>
        <v>0</v>
      </c>
      <c r="BA53" s="168">
        <f t="shared" si="156"/>
        <v>0</v>
      </c>
      <c r="BB53" s="168">
        <f t="shared" si="156"/>
        <v>0</v>
      </c>
      <c r="BC53" s="168">
        <f t="shared" si="156"/>
        <v>0</v>
      </c>
      <c r="BD53" s="168">
        <f t="shared" si="156"/>
        <v>0</v>
      </c>
      <c r="BE53" s="168">
        <f t="shared" si="156"/>
        <v>0</v>
      </c>
      <c r="BF53" s="168">
        <f t="shared" si="156"/>
        <v>0</v>
      </c>
      <c r="BG53" s="168">
        <f t="shared" si="156"/>
        <v>0</v>
      </c>
      <c r="BH53" s="168">
        <f t="shared" si="156"/>
        <v>0</v>
      </c>
      <c r="BI53" s="168">
        <f t="shared" si="156"/>
        <v>0</v>
      </c>
      <c r="BJ53" s="168">
        <f t="shared" si="156"/>
        <v>0</v>
      </c>
    </row>
    <row r="54" spans="1:62" x14ac:dyDescent="0.2">
      <c r="B54" s="111" t="s">
        <v>190</v>
      </c>
      <c r="C54" s="110"/>
      <c r="D54" s="153">
        <f>IF($C$6&lt;2,MAX((2-$C$6)*(C$52-C53),0),0)</f>
        <v>22951.25</v>
      </c>
      <c r="E54" s="153">
        <f t="shared" ref="E54:N54" si="157">IF($C$6&lt;2,MAX((2-$C$6)*(D$52-D53),0),0)</f>
        <v>36722</v>
      </c>
      <c r="F54" s="153">
        <f t="shared" si="157"/>
        <v>50492.75</v>
      </c>
      <c r="G54" s="153">
        <f t="shared" si="157"/>
        <v>41312.25</v>
      </c>
      <c r="H54" s="153">
        <f t="shared" si="157"/>
        <v>41312.25</v>
      </c>
      <c r="I54" s="153">
        <f t="shared" si="157"/>
        <v>36722</v>
      </c>
      <c r="J54" s="153">
        <f t="shared" si="157"/>
        <v>27541.5</v>
      </c>
      <c r="K54" s="153">
        <f t="shared" si="157"/>
        <v>18361</v>
      </c>
      <c r="L54" s="153">
        <f t="shared" si="157"/>
        <v>41312.25</v>
      </c>
      <c r="M54" s="153">
        <f t="shared" si="157"/>
        <v>41312.25</v>
      </c>
      <c r="N54" s="153">
        <f t="shared" si="157"/>
        <v>45902.5</v>
      </c>
      <c r="O54" s="157">
        <f t="shared" ref="O54:Z54" si="158">IF($C$6&lt;2,MAX((2-$C$6)*(N$52-N53),0),0)</f>
        <v>55083</v>
      </c>
      <c r="P54" s="157">
        <f t="shared" si="158"/>
        <v>24580.788749999996</v>
      </c>
      <c r="Q54" s="157">
        <f t="shared" si="158"/>
        <v>39329.261999999995</v>
      </c>
      <c r="R54" s="157">
        <f t="shared" si="158"/>
        <v>54077.735249999983</v>
      </c>
      <c r="S54" s="157">
        <f t="shared" si="158"/>
        <v>44245.419749999994</v>
      </c>
      <c r="T54" s="157">
        <f t="shared" si="158"/>
        <v>44245.419749999994</v>
      </c>
      <c r="U54" s="157">
        <f t="shared" si="158"/>
        <v>39329.261999999995</v>
      </c>
      <c r="V54" s="157">
        <f t="shared" si="158"/>
        <v>29496.946499999995</v>
      </c>
      <c r="W54" s="157">
        <f t="shared" si="158"/>
        <v>19664.630999999998</v>
      </c>
      <c r="X54" s="157">
        <f t="shared" si="158"/>
        <v>44245.419749999994</v>
      </c>
      <c r="Y54" s="157">
        <f t="shared" si="158"/>
        <v>44245.419749999994</v>
      </c>
      <c r="Z54" s="157">
        <f t="shared" si="158"/>
        <v>49161.577499999992</v>
      </c>
      <c r="AA54" s="161">
        <f t="shared" ref="AA54:BJ54" si="159">IF($C$6&lt;2,MAX((2-$C$6)*(Z$52-Z53),0),0)</f>
        <v>58993.892999999989</v>
      </c>
      <c r="AB54" s="161">
        <f t="shared" si="159"/>
        <v>26326.024751249999</v>
      </c>
      <c r="AC54" s="161">
        <f t="shared" si="159"/>
        <v>42121.639601999996</v>
      </c>
      <c r="AD54" s="161">
        <f t="shared" si="159"/>
        <v>57917.254452749992</v>
      </c>
      <c r="AE54" s="161">
        <f t="shared" si="159"/>
        <v>47386.84455224999</v>
      </c>
      <c r="AF54" s="161">
        <f t="shared" si="159"/>
        <v>47386.84455224999</v>
      </c>
      <c r="AG54" s="161">
        <f t="shared" si="159"/>
        <v>42121.639601999996</v>
      </c>
      <c r="AH54" s="161">
        <f t="shared" si="159"/>
        <v>31591.229701499993</v>
      </c>
      <c r="AI54" s="161">
        <f t="shared" si="159"/>
        <v>21060.819800999998</v>
      </c>
      <c r="AJ54" s="161">
        <f t="shared" si="159"/>
        <v>47386.84455224999</v>
      </c>
      <c r="AK54" s="161">
        <f t="shared" si="159"/>
        <v>47386.84455224999</v>
      </c>
      <c r="AL54" s="161">
        <f t="shared" si="159"/>
        <v>52652.049502499998</v>
      </c>
      <c r="AM54" s="165">
        <f t="shared" si="159"/>
        <v>63182.459402999986</v>
      </c>
      <c r="AN54" s="165">
        <f t="shared" si="159"/>
        <v>28195.172508588756</v>
      </c>
      <c r="AO54" s="165">
        <f t="shared" si="159"/>
        <v>45112.276013742005</v>
      </c>
      <c r="AP54" s="165">
        <f t="shared" si="159"/>
        <v>62029.379518895264</v>
      </c>
      <c r="AQ54" s="165">
        <f t="shared" si="159"/>
        <v>50751.310515459758</v>
      </c>
      <c r="AR54" s="165">
        <f t="shared" si="159"/>
        <v>50751.310515459758</v>
      </c>
      <c r="AS54" s="165">
        <f t="shared" si="159"/>
        <v>45112.276013742005</v>
      </c>
      <c r="AT54" s="165">
        <f t="shared" si="159"/>
        <v>33834.207010306505</v>
      </c>
      <c r="AU54" s="165">
        <f t="shared" si="159"/>
        <v>22556.138006871002</v>
      </c>
      <c r="AV54" s="165">
        <f t="shared" si="159"/>
        <v>50751.310515459758</v>
      </c>
      <c r="AW54" s="165">
        <f t="shared" si="159"/>
        <v>50751.310515459758</v>
      </c>
      <c r="AX54" s="165">
        <f t="shared" si="159"/>
        <v>56390.345017177511</v>
      </c>
      <c r="AY54" s="169">
        <f t="shared" si="159"/>
        <v>67668.414020613011</v>
      </c>
      <c r="AZ54" s="169">
        <f t="shared" si="159"/>
        <v>30197.029756698554</v>
      </c>
      <c r="BA54" s="169">
        <f t="shared" si="159"/>
        <v>48315.247610717684</v>
      </c>
      <c r="BB54" s="169">
        <f t="shared" si="159"/>
        <v>66433.465464736815</v>
      </c>
      <c r="BC54" s="169">
        <f t="shared" si="159"/>
        <v>54354.6535620574</v>
      </c>
      <c r="BD54" s="169">
        <f t="shared" si="159"/>
        <v>54354.6535620574</v>
      </c>
      <c r="BE54" s="169">
        <f t="shared" si="159"/>
        <v>48315.247610717684</v>
      </c>
      <c r="BF54" s="169">
        <f t="shared" si="159"/>
        <v>36236.435708038269</v>
      </c>
      <c r="BG54" s="169">
        <f t="shared" si="159"/>
        <v>24157.623805358842</v>
      </c>
      <c r="BH54" s="169">
        <f t="shared" si="159"/>
        <v>54354.6535620574</v>
      </c>
      <c r="BI54" s="169">
        <f t="shared" si="159"/>
        <v>54354.6535620574</v>
      </c>
      <c r="BJ54" s="169">
        <f t="shared" si="159"/>
        <v>60394.059513397107</v>
      </c>
    </row>
    <row r="55" spans="1:62" x14ac:dyDescent="0.2">
      <c r="B55" s="112" t="s">
        <v>192</v>
      </c>
      <c r="C55" s="110"/>
      <c r="D55" s="110"/>
      <c r="E55" s="111">
        <f>IF($C$6&lt;3,MAX(C52-C53-D54,0),0)</f>
        <v>0</v>
      </c>
      <c r="F55" s="111">
        <f t="shared" ref="F55:N55" si="160">IF($C$6&lt;3,MAX(D52-D53-E54,0),0)</f>
        <v>0</v>
      </c>
      <c r="G55" s="111">
        <f t="shared" si="160"/>
        <v>0</v>
      </c>
      <c r="H55" s="111">
        <f t="shared" si="160"/>
        <v>0</v>
      </c>
      <c r="I55" s="111">
        <f t="shared" si="160"/>
        <v>0</v>
      </c>
      <c r="J55" s="111">
        <f t="shared" si="160"/>
        <v>0</v>
      </c>
      <c r="K55" s="111">
        <f t="shared" si="160"/>
        <v>0</v>
      </c>
      <c r="L55" s="111">
        <f t="shared" si="160"/>
        <v>0</v>
      </c>
      <c r="M55" s="111">
        <f t="shared" si="160"/>
        <v>0</v>
      </c>
      <c r="N55" s="111">
        <f t="shared" si="160"/>
        <v>0</v>
      </c>
      <c r="O55" s="156">
        <f t="shared" ref="O55" si="161">IF($C$6&lt;3,MAX(M52-M53-N54,0),0)</f>
        <v>0</v>
      </c>
      <c r="P55" s="156">
        <f t="shared" ref="P55" si="162">IF($C$6&lt;3,MAX(N52-N53-O54,0),0)</f>
        <v>0</v>
      </c>
      <c r="Q55" s="156">
        <f t="shared" ref="Q55" si="163">IF($C$6&lt;3,MAX(O52-O53-P54,0),0)</f>
        <v>0</v>
      </c>
      <c r="R55" s="156">
        <f t="shared" ref="R55" si="164">IF($C$6&lt;3,MAX(P52-P53-Q54,0),0)</f>
        <v>0</v>
      </c>
      <c r="S55" s="156">
        <f t="shared" ref="S55" si="165">IF($C$6&lt;3,MAX(Q52-Q53-R54,0),0)</f>
        <v>0</v>
      </c>
      <c r="T55" s="156">
        <f t="shared" ref="T55" si="166">IF($C$6&lt;3,MAX(R52-R53-S54,0),0)</f>
        <v>0</v>
      </c>
      <c r="U55" s="156">
        <f t="shared" ref="U55" si="167">IF($C$6&lt;3,MAX(S52-S53-T54,0),0)</f>
        <v>0</v>
      </c>
      <c r="V55" s="156">
        <f t="shared" ref="V55" si="168">IF($C$6&lt;3,MAX(T52-T53-U54,0),0)</f>
        <v>0</v>
      </c>
      <c r="W55" s="156">
        <f t="shared" ref="W55" si="169">IF($C$6&lt;3,MAX(U52-U53-V54,0),0)</f>
        <v>0</v>
      </c>
      <c r="X55" s="156">
        <f t="shared" ref="X55" si="170">IF($C$6&lt;3,MAX(V52-V53-W54,0),0)</f>
        <v>0</v>
      </c>
      <c r="Y55" s="156">
        <f t="shared" ref="Y55" si="171">IF($C$6&lt;3,MAX(W52-W53-X54,0),0)</f>
        <v>0</v>
      </c>
      <c r="Z55" s="156">
        <f t="shared" ref="Z55" si="172">IF($C$6&lt;3,MAX(X52-X53-Y54,0),0)</f>
        <v>0</v>
      </c>
      <c r="AA55" s="160">
        <f t="shared" ref="AA55" si="173">IF($C$6&lt;3,MAX(Y52-Y53-Z54,0),0)</f>
        <v>0</v>
      </c>
      <c r="AB55" s="160">
        <f t="shared" ref="AB55" si="174">IF($C$6&lt;3,MAX(Z52-Z53-AA54,0),0)</f>
        <v>0</v>
      </c>
      <c r="AC55" s="160">
        <f t="shared" ref="AC55" si="175">IF($C$6&lt;3,MAX(AA52-AA53-AB54,0),0)</f>
        <v>0</v>
      </c>
      <c r="AD55" s="160">
        <f t="shared" ref="AD55" si="176">IF($C$6&lt;3,MAX(AB52-AB53-AC54,0),0)</f>
        <v>0</v>
      </c>
      <c r="AE55" s="160">
        <f t="shared" ref="AE55" si="177">IF($C$6&lt;3,MAX(AC52-AC53-AD54,0),0)</f>
        <v>0</v>
      </c>
      <c r="AF55" s="160">
        <f t="shared" ref="AF55" si="178">IF($C$6&lt;3,MAX(AD52-AD53-AE54,0),0)</f>
        <v>0</v>
      </c>
      <c r="AG55" s="160">
        <f t="shared" ref="AG55" si="179">IF($C$6&lt;3,MAX(AE52-AE53-AF54,0),0)</f>
        <v>0</v>
      </c>
      <c r="AH55" s="160">
        <f t="shared" ref="AH55" si="180">IF($C$6&lt;3,MAX(AF52-AF53-AG54,0),0)</f>
        <v>0</v>
      </c>
      <c r="AI55" s="160">
        <f t="shared" ref="AI55" si="181">IF($C$6&lt;3,MAX(AG52-AG53-AH54,0),0)</f>
        <v>0</v>
      </c>
      <c r="AJ55" s="160">
        <f t="shared" ref="AJ55" si="182">IF($C$6&lt;3,MAX(AH52-AH53-AI54,0),0)</f>
        <v>0</v>
      </c>
      <c r="AK55" s="160">
        <f t="shared" ref="AK55" si="183">IF($C$6&lt;3,MAX(AI52-AI53-AJ54,0),0)</f>
        <v>0</v>
      </c>
      <c r="AL55" s="160">
        <f t="shared" ref="AL55" si="184">IF($C$6&lt;3,MAX(AJ52-AJ53-AK54,0),0)</f>
        <v>0</v>
      </c>
      <c r="AM55" s="164">
        <f t="shared" ref="AM55" si="185">IF($C$6&lt;3,MAX(AK52-AK53-AL54,0),0)</f>
        <v>0</v>
      </c>
      <c r="AN55" s="164">
        <f t="shared" ref="AN55" si="186">IF($C$6&lt;3,MAX(AL52-AL53-AM54,0),0)</f>
        <v>0</v>
      </c>
      <c r="AO55" s="164">
        <f t="shared" ref="AO55" si="187">IF($C$6&lt;3,MAX(AM52-AM53-AN54,0),0)</f>
        <v>0</v>
      </c>
      <c r="AP55" s="164">
        <f t="shared" ref="AP55" si="188">IF($C$6&lt;3,MAX(AN52-AN53-AO54,0),0)</f>
        <v>0</v>
      </c>
      <c r="AQ55" s="164">
        <f t="shared" ref="AQ55" si="189">IF($C$6&lt;3,MAX(AO52-AO53-AP54,0),0)</f>
        <v>0</v>
      </c>
      <c r="AR55" s="164">
        <f t="shared" ref="AR55" si="190">IF($C$6&lt;3,MAX(AP52-AP53-AQ54,0),0)</f>
        <v>0</v>
      </c>
      <c r="AS55" s="164">
        <f t="shared" ref="AS55" si="191">IF($C$6&lt;3,MAX(AQ52-AQ53-AR54,0),0)</f>
        <v>0</v>
      </c>
      <c r="AT55" s="164">
        <f t="shared" ref="AT55" si="192">IF($C$6&lt;3,MAX(AR52-AR53-AS54,0),0)</f>
        <v>0</v>
      </c>
      <c r="AU55" s="164">
        <f t="shared" ref="AU55" si="193">IF($C$6&lt;3,MAX(AS52-AS53-AT54,0),0)</f>
        <v>0</v>
      </c>
      <c r="AV55" s="164">
        <f t="shared" ref="AV55" si="194">IF($C$6&lt;3,MAX(AT52-AT53-AU54,0),0)</f>
        <v>0</v>
      </c>
      <c r="AW55" s="164">
        <f t="shared" ref="AW55" si="195">IF($C$6&lt;3,MAX(AU52-AU53-AV54,0),0)</f>
        <v>0</v>
      </c>
      <c r="AX55" s="164">
        <f t="shared" ref="AX55" si="196">IF($C$6&lt;3,MAX(AV52-AV53-AW54,0),0)</f>
        <v>0</v>
      </c>
      <c r="AY55" s="168">
        <f t="shared" ref="AY55" si="197">IF($C$6&lt;3,MAX(AW52-AW53-AX54,0),0)</f>
        <v>0</v>
      </c>
      <c r="AZ55" s="168">
        <f t="shared" ref="AZ55" si="198">IF($C$6&lt;3,MAX(AX52-AX53-AY54,0),0)</f>
        <v>0</v>
      </c>
      <c r="BA55" s="168">
        <f t="shared" ref="BA55" si="199">IF($C$6&lt;3,MAX(AY52-AY53-AZ54,0),0)</f>
        <v>0</v>
      </c>
      <c r="BB55" s="168">
        <f t="shared" ref="BB55" si="200">IF($C$6&lt;3,MAX(AZ52-AZ53-BA54,0),0)</f>
        <v>0</v>
      </c>
      <c r="BC55" s="168">
        <f t="shared" ref="BC55" si="201">IF($C$6&lt;3,MAX(BA52-BA53-BB54,0),0)</f>
        <v>0</v>
      </c>
      <c r="BD55" s="168">
        <f t="shared" ref="BD55" si="202">IF($C$6&lt;3,MAX(BB52-BB53-BC54,0),0)</f>
        <v>0</v>
      </c>
      <c r="BE55" s="168">
        <f t="shared" ref="BE55" si="203">IF($C$6&lt;3,MAX(BC52-BC53-BD54,0),0)</f>
        <v>0</v>
      </c>
      <c r="BF55" s="168">
        <f t="shared" ref="BF55" si="204">IF($C$6&lt;3,MAX(BD52-BD53-BE54,0),0)</f>
        <v>0</v>
      </c>
      <c r="BG55" s="168">
        <f t="shared" ref="BG55" si="205">IF($C$6&lt;3,MAX(BE52-BE53-BF54,0),0)</f>
        <v>0</v>
      </c>
      <c r="BH55" s="168">
        <f t="shared" ref="BH55" si="206">IF($C$6&lt;3,MAX(BF52-BF53-BG54,0),0)</f>
        <v>0</v>
      </c>
      <c r="BI55" s="168">
        <f t="shared" ref="BI55" si="207">IF($C$6&lt;3,MAX(BG52-BG53-BH54,0),0)</f>
        <v>0</v>
      </c>
      <c r="BJ55" s="168">
        <f t="shared" ref="BJ55" si="208">IF($C$6&lt;3,MAX(BH52-BH53-BI54,0),0)</f>
        <v>0</v>
      </c>
    </row>
    <row r="56" spans="1:62" x14ac:dyDescent="0.2">
      <c r="B56" s="111" t="s">
        <v>191</v>
      </c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6"/>
      <c r="AN56" s="166"/>
      <c r="AO56" s="166"/>
      <c r="AP56" s="166"/>
      <c r="AQ56" s="166"/>
      <c r="AR56" s="166"/>
      <c r="AS56" s="166"/>
      <c r="AT56" s="166"/>
      <c r="AU56" s="166"/>
      <c r="AV56" s="166"/>
      <c r="AW56" s="166"/>
      <c r="AX56" s="166"/>
      <c r="AY56" s="170"/>
      <c r="AZ56" s="170"/>
      <c r="BA56" s="170"/>
      <c r="BB56" s="170"/>
      <c r="BC56" s="170"/>
      <c r="BD56" s="170"/>
      <c r="BE56" s="170"/>
      <c r="BF56" s="170"/>
      <c r="BG56" s="170"/>
      <c r="BH56" s="170"/>
      <c r="BI56" s="170"/>
      <c r="BJ56" s="170"/>
    </row>
    <row r="57" spans="1:62" x14ac:dyDescent="0.2">
      <c r="B57" s="114" t="s">
        <v>193</v>
      </c>
      <c r="C57" s="113">
        <f>'Balance Sheet'!C43</f>
        <v>50000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6"/>
      <c r="AN57" s="166"/>
      <c r="AO57" s="166"/>
      <c r="AP57" s="166"/>
      <c r="AQ57" s="166"/>
      <c r="AR57" s="166"/>
      <c r="AS57" s="166"/>
      <c r="AT57" s="166"/>
      <c r="AU57" s="166"/>
      <c r="AV57" s="166"/>
      <c r="AW57" s="166"/>
      <c r="AX57" s="166"/>
      <c r="AY57" s="170"/>
      <c r="AZ57" s="170"/>
      <c r="BA57" s="170"/>
      <c r="BB57" s="170"/>
      <c r="BC57" s="170"/>
      <c r="BD57" s="170"/>
      <c r="BE57" s="170"/>
      <c r="BF57" s="170"/>
      <c r="BG57" s="170"/>
      <c r="BH57" s="170"/>
      <c r="BI57" s="170"/>
      <c r="BJ57" s="170"/>
    </row>
    <row r="58" spans="1:62" x14ac:dyDescent="0.2">
      <c r="A58" s="108" t="s">
        <v>227</v>
      </c>
      <c r="B58" s="114" t="s">
        <v>209</v>
      </c>
      <c r="C58" s="181">
        <f>-'Cash Flow'!$C10/12</f>
        <v>2954.6803652968033</v>
      </c>
      <c r="D58" s="181">
        <f>-'Cash Flow'!$C10/12</f>
        <v>2954.6803652968033</v>
      </c>
      <c r="E58" s="181">
        <f>-'Cash Flow'!$C10/12</f>
        <v>2954.6803652968033</v>
      </c>
      <c r="F58" s="181">
        <f>-'Cash Flow'!$C10/12</f>
        <v>2954.6803652968033</v>
      </c>
      <c r="G58" s="181">
        <f>-'Cash Flow'!$C10/12</f>
        <v>2954.6803652968033</v>
      </c>
      <c r="H58" s="181">
        <f>-'Cash Flow'!$C10/12</f>
        <v>2954.6803652968033</v>
      </c>
      <c r="I58" s="181">
        <f>-'Cash Flow'!$C10/12</f>
        <v>2954.6803652968033</v>
      </c>
      <c r="J58" s="181">
        <f>-'Cash Flow'!$C10/12</f>
        <v>2954.6803652968033</v>
      </c>
      <c r="K58" s="181">
        <f>-'Cash Flow'!$C10/12</f>
        <v>2954.6803652968033</v>
      </c>
      <c r="L58" s="181">
        <f>-'Cash Flow'!$C10/12</f>
        <v>2954.6803652968033</v>
      </c>
      <c r="M58" s="181">
        <f>-'Cash Flow'!$C10/12</f>
        <v>2954.6803652968033</v>
      </c>
      <c r="N58" s="181">
        <f>-'Cash Flow'!$C10/12</f>
        <v>2954.6803652968033</v>
      </c>
      <c r="O58" s="155">
        <f>-'Cash Flow'!$D10/12</f>
        <v>446.44897260273865</v>
      </c>
      <c r="P58" s="155">
        <f>-'Cash Flow'!$D10/12</f>
        <v>446.44897260273865</v>
      </c>
      <c r="Q58" s="155">
        <f>-'Cash Flow'!$D10/12</f>
        <v>446.44897260273865</v>
      </c>
      <c r="R58" s="155">
        <f>-'Cash Flow'!$D10/12</f>
        <v>446.44897260273865</v>
      </c>
      <c r="S58" s="155">
        <f>-'Cash Flow'!$D10/12</f>
        <v>446.44897260273865</v>
      </c>
      <c r="T58" s="155">
        <f>-'Cash Flow'!$D10/12</f>
        <v>446.44897260273865</v>
      </c>
      <c r="U58" s="155">
        <f>-'Cash Flow'!$D10/12</f>
        <v>446.44897260273865</v>
      </c>
      <c r="V58" s="155">
        <f>-'Cash Flow'!$D10/12</f>
        <v>446.44897260273865</v>
      </c>
      <c r="W58" s="155">
        <f>-'Cash Flow'!$D10/12</f>
        <v>446.44897260273865</v>
      </c>
      <c r="X58" s="155">
        <f>-'Cash Flow'!$D10/12</f>
        <v>446.44897260273865</v>
      </c>
      <c r="Y58" s="155">
        <f>-'Cash Flow'!$D10/12</f>
        <v>446.44897260273865</v>
      </c>
      <c r="Z58" s="155">
        <f>-'Cash Flow'!$D10/12</f>
        <v>446.44897260273865</v>
      </c>
      <c r="AA58" s="159">
        <f>-'Cash Flow'!$E10/12</f>
        <v>478.14684965753503</v>
      </c>
      <c r="AB58" s="159">
        <f>-'Cash Flow'!$E10/12</f>
        <v>478.14684965753503</v>
      </c>
      <c r="AC58" s="159">
        <f>-'Cash Flow'!$E10/12</f>
        <v>478.14684965753503</v>
      </c>
      <c r="AD58" s="159">
        <f>-'Cash Flow'!$E10/12</f>
        <v>478.14684965753503</v>
      </c>
      <c r="AE58" s="159">
        <f>-'Cash Flow'!$E10/12</f>
        <v>478.14684965753503</v>
      </c>
      <c r="AF58" s="159">
        <f>-'Cash Flow'!$E10/12</f>
        <v>478.14684965753503</v>
      </c>
      <c r="AG58" s="159">
        <f>-'Cash Flow'!$E10/12</f>
        <v>478.14684965753503</v>
      </c>
      <c r="AH58" s="159">
        <f>-'Cash Flow'!$E10/12</f>
        <v>478.14684965753503</v>
      </c>
      <c r="AI58" s="159">
        <f>-'Cash Flow'!$E10/12</f>
        <v>478.14684965753503</v>
      </c>
      <c r="AJ58" s="159">
        <f>-'Cash Flow'!$E10/12</f>
        <v>478.14684965753503</v>
      </c>
      <c r="AK58" s="159">
        <f>-'Cash Flow'!$E10/12</f>
        <v>478.14684965753503</v>
      </c>
      <c r="AL58" s="159">
        <f>-'Cash Flow'!$E10/12</f>
        <v>478.14684965753503</v>
      </c>
      <c r="AM58" s="163">
        <f>-'Cash Flow'!$F10/12</f>
        <v>512.09527598322165</v>
      </c>
      <c r="AN58" s="163">
        <f>-'Cash Flow'!$F10/12</f>
        <v>512.09527598322165</v>
      </c>
      <c r="AO58" s="163">
        <f>-'Cash Flow'!$F10/12</f>
        <v>512.09527598322165</v>
      </c>
      <c r="AP58" s="163">
        <f>-'Cash Flow'!$F10/12</f>
        <v>512.09527598322165</v>
      </c>
      <c r="AQ58" s="163">
        <f>-'Cash Flow'!$F10/12</f>
        <v>512.09527598322165</v>
      </c>
      <c r="AR58" s="163">
        <f>-'Cash Flow'!$F10/12</f>
        <v>512.09527598322165</v>
      </c>
      <c r="AS58" s="163">
        <f>-'Cash Flow'!$F10/12</f>
        <v>512.09527598322165</v>
      </c>
      <c r="AT58" s="163">
        <f>-'Cash Flow'!$F10/12</f>
        <v>512.09527598322165</v>
      </c>
      <c r="AU58" s="163">
        <f>-'Cash Flow'!$F10/12</f>
        <v>512.09527598322165</v>
      </c>
      <c r="AV58" s="163">
        <f>-'Cash Flow'!$F10/12</f>
        <v>512.09527598322165</v>
      </c>
      <c r="AW58" s="163">
        <f>-'Cash Flow'!$F10/12</f>
        <v>512.09527598322165</v>
      </c>
      <c r="AX58" s="163">
        <f>-'Cash Flow'!$F10/12</f>
        <v>512.09527598322165</v>
      </c>
      <c r="AY58" s="167">
        <f>-'Cash Flow'!$G10/12</f>
        <v>548.45404057802568</v>
      </c>
      <c r="AZ58" s="167">
        <f>-'Cash Flow'!$G10/12</f>
        <v>548.45404057802568</v>
      </c>
      <c r="BA58" s="167">
        <f>-'Cash Flow'!$G10/12</f>
        <v>548.45404057802568</v>
      </c>
      <c r="BB58" s="167">
        <f>-'Cash Flow'!$G10/12</f>
        <v>548.45404057802568</v>
      </c>
      <c r="BC58" s="167">
        <f>-'Cash Flow'!$G10/12</f>
        <v>548.45404057802568</v>
      </c>
      <c r="BD58" s="167">
        <f>-'Cash Flow'!$G10/12</f>
        <v>548.45404057802568</v>
      </c>
      <c r="BE58" s="167">
        <f>-'Cash Flow'!$G10/12</f>
        <v>548.45404057802568</v>
      </c>
      <c r="BF58" s="167">
        <f>-'Cash Flow'!$G10/12</f>
        <v>548.45404057802568</v>
      </c>
      <c r="BG58" s="167">
        <f>-'Cash Flow'!$G10/12</f>
        <v>548.45404057802568</v>
      </c>
      <c r="BH58" s="167">
        <f>-'Cash Flow'!$G10/12</f>
        <v>548.45404057802568</v>
      </c>
      <c r="BI58" s="167">
        <f>-'Cash Flow'!$G10/12</f>
        <v>548.45404057802568</v>
      </c>
      <c r="BJ58" s="167">
        <f>-'Cash Flow'!$G10/12</f>
        <v>548.45404057802568</v>
      </c>
    </row>
    <row r="59" spans="1:62" x14ac:dyDescent="0.2">
      <c r="B59" s="173" t="s">
        <v>194</v>
      </c>
      <c r="C59" s="116">
        <f>SUM(C53:C58)</f>
        <v>52954.680365296801</v>
      </c>
      <c r="D59" s="116">
        <f t="shared" ref="D59:BJ59" si="209">SUM(D53:D58)</f>
        <v>25905.930365296805</v>
      </c>
      <c r="E59" s="116">
        <f t="shared" si="209"/>
        <v>39676.680365296801</v>
      </c>
      <c r="F59" s="116">
        <f t="shared" si="209"/>
        <v>53447.430365296801</v>
      </c>
      <c r="G59" s="116">
        <f t="shared" si="209"/>
        <v>44266.930365296801</v>
      </c>
      <c r="H59" s="116">
        <f t="shared" si="209"/>
        <v>44266.930365296801</v>
      </c>
      <c r="I59" s="116">
        <f t="shared" si="209"/>
        <v>39676.680365296801</v>
      </c>
      <c r="J59" s="116">
        <f t="shared" si="209"/>
        <v>30496.180365296805</v>
      </c>
      <c r="K59" s="116">
        <f t="shared" si="209"/>
        <v>21315.680365296805</v>
      </c>
      <c r="L59" s="116">
        <f t="shared" si="209"/>
        <v>44266.930365296801</v>
      </c>
      <c r="M59" s="116">
        <f t="shared" si="209"/>
        <v>44266.930365296801</v>
      </c>
      <c r="N59" s="116">
        <f t="shared" si="209"/>
        <v>48857.180365296801</v>
      </c>
      <c r="O59" s="155">
        <f t="shared" si="209"/>
        <v>55529.448972602739</v>
      </c>
      <c r="P59" s="155">
        <f t="shared" si="209"/>
        <v>25027.237722602735</v>
      </c>
      <c r="Q59" s="155">
        <f t="shared" si="209"/>
        <v>39775.710972602734</v>
      </c>
      <c r="R59" s="155">
        <f t="shared" si="209"/>
        <v>54524.184222602722</v>
      </c>
      <c r="S59" s="155">
        <f t="shared" si="209"/>
        <v>44691.868722602732</v>
      </c>
      <c r="T59" s="155">
        <f t="shared" si="209"/>
        <v>44691.868722602732</v>
      </c>
      <c r="U59" s="155">
        <f t="shared" si="209"/>
        <v>39775.710972602734</v>
      </c>
      <c r="V59" s="155">
        <f t="shared" si="209"/>
        <v>29943.395472602733</v>
      </c>
      <c r="W59" s="155">
        <f t="shared" si="209"/>
        <v>20111.079972602736</v>
      </c>
      <c r="X59" s="155">
        <f t="shared" si="209"/>
        <v>44691.868722602732</v>
      </c>
      <c r="Y59" s="155">
        <f t="shared" si="209"/>
        <v>44691.868722602732</v>
      </c>
      <c r="Z59" s="155">
        <f t="shared" si="209"/>
        <v>49608.026472602731</v>
      </c>
      <c r="AA59" s="159">
        <f t="shared" si="209"/>
        <v>59472.039849657522</v>
      </c>
      <c r="AB59" s="159">
        <f t="shared" si="209"/>
        <v>26804.171600907535</v>
      </c>
      <c r="AC59" s="159">
        <f t="shared" si="209"/>
        <v>42599.786451657528</v>
      </c>
      <c r="AD59" s="159">
        <f t="shared" si="209"/>
        <v>58395.401302407525</v>
      </c>
      <c r="AE59" s="159">
        <f t="shared" si="209"/>
        <v>47864.991401907522</v>
      </c>
      <c r="AF59" s="159">
        <f t="shared" si="209"/>
        <v>47864.991401907522</v>
      </c>
      <c r="AG59" s="159">
        <f t="shared" si="209"/>
        <v>42599.786451657528</v>
      </c>
      <c r="AH59" s="159">
        <f t="shared" si="209"/>
        <v>32069.376551157529</v>
      </c>
      <c r="AI59" s="159">
        <f t="shared" si="209"/>
        <v>21538.966650657534</v>
      </c>
      <c r="AJ59" s="159">
        <f t="shared" si="209"/>
        <v>47864.991401907522</v>
      </c>
      <c r="AK59" s="159">
        <f t="shared" si="209"/>
        <v>47864.991401907522</v>
      </c>
      <c r="AL59" s="159">
        <f t="shared" si="209"/>
        <v>53130.196352157531</v>
      </c>
      <c r="AM59" s="163">
        <f t="shared" si="209"/>
        <v>63694.554678983208</v>
      </c>
      <c r="AN59" s="163">
        <f t="shared" si="209"/>
        <v>28707.267784571977</v>
      </c>
      <c r="AO59" s="163">
        <f t="shared" si="209"/>
        <v>45624.371289725226</v>
      </c>
      <c r="AP59" s="163">
        <f t="shared" si="209"/>
        <v>62541.474794878486</v>
      </c>
      <c r="AQ59" s="163">
        <f t="shared" si="209"/>
        <v>51263.40579144298</v>
      </c>
      <c r="AR59" s="163">
        <f t="shared" si="209"/>
        <v>51263.40579144298</v>
      </c>
      <c r="AS59" s="163">
        <f t="shared" si="209"/>
        <v>45624.371289725226</v>
      </c>
      <c r="AT59" s="163">
        <f t="shared" si="209"/>
        <v>34346.302286289727</v>
      </c>
      <c r="AU59" s="163">
        <f t="shared" si="209"/>
        <v>23068.233282854224</v>
      </c>
      <c r="AV59" s="163">
        <f t="shared" si="209"/>
        <v>51263.40579144298</v>
      </c>
      <c r="AW59" s="163">
        <f t="shared" si="209"/>
        <v>51263.40579144298</v>
      </c>
      <c r="AX59" s="163">
        <f t="shared" si="209"/>
        <v>56902.440293160733</v>
      </c>
      <c r="AY59" s="167">
        <f t="shared" si="209"/>
        <v>68216.868061191039</v>
      </c>
      <c r="AZ59" s="167">
        <f t="shared" si="209"/>
        <v>30745.483797276578</v>
      </c>
      <c r="BA59" s="167">
        <f t="shared" si="209"/>
        <v>48863.701651295713</v>
      </c>
      <c r="BB59" s="167">
        <f t="shared" si="209"/>
        <v>66981.919505314843</v>
      </c>
      <c r="BC59" s="167">
        <f t="shared" si="209"/>
        <v>54903.107602635428</v>
      </c>
      <c r="BD59" s="167">
        <f t="shared" si="209"/>
        <v>54903.107602635428</v>
      </c>
      <c r="BE59" s="167">
        <f t="shared" si="209"/>
        <v>48863.701651295713</v>
      </c>
      <c r="BF59" s="167">
        <f t="shared" si="209"/>
        <v>36784.889748616297</v>
      </c>
      <c r="BG59" s="167">
        <f t="shared" si="209"/>
        <v>24706.077845936867</v>
      </c>
      <c r="BH59" s="167">
        <f t="shared" si="209"/>
        <v>54903.107602635428</v>
      </c>
      <c r="BI59" s="167">
        <f t="shared" si="209"/>
        <v>54903.107602635428</v>
      </c>
      <c r="BJ59" s="167">
        <f t="shared" si="209"/>
        <v>60942.513553975135</v>
      </c>
    </row>
    <row r="60" spans="1:62" x14ac:dyDescent="0.2">
      <c r="N60" s="150" t="s">
        <v>195</v>
      </c>
      <c r="Z60" s="150" t="s">
        <v>195</v>
      </c>
      <c r="AL60" s="150" t="s">
        <v>195</v>
      </c>
      <c r="AX60" s="150" t="s">
        <v>195</v>
      </c>
      <c r="BJ60" s="150" t="s">
        <v>195</v>
      </c>
    </row>
    <row r="61" spans="1:62" x14ac:dyDescent="0.2">
      <c r="N61" s="154">
        <f>N69</f>
        <v>55083.000000000058</v>
      </c>
      <c r="Z61" s="154">
        <f>Z69</f>
        <v>58993.893000000098</v>
      </c>
      <c r="AL61" s="154">
        <f>AL69</f>
        <v>63182.45940300019</v>
      </c>
      <c r="AX61" s="154">
        <f>AX69</f>
        <v>67668.414020613069</v>
      </c>
      <c r="BJ61" s="154">
        <f>BJ69</f>
        <v>72472.871416076669</v>
      </c>
    </row>
    <row r="63" spans="1:62" x14ac:dyDescent="0.2">
      <c r="M63" t="s">
        <v>210</v>
      </c>
      <c r="N63" s="154">
        <f>SUM(C52:N52)</f>
        <v>459025</v>
      </c>
      <c r="Y63" t="s">
        <v>210</v>
      </c>
      <c r="Z63" s="154">
        <f>SUM(O52:Z52)</f>
        <v>491615.77499999997</v>
      </c>
      <c r="AK63" t="s">
        <v>210</v>
      </c>
      <c r="AL63" s="154">
        <f>SUM(AA52:AL52)</f>
        <v>526520.49502499995</v>
      </c>
      <c r="AW63" t="s">
        <v>210</v>
      </c>
      <c r="AX63" s="154">
        <f>SUM(AM52:AX52)</f>
        <v>563903.45017177495</v>
      </c>
      <c r="BI63" t="s">
        <v>210</v>
      </c>
      <c r="BJ63" s="154">
        <f>SUM(AY52:BJ52)</f>
        <v>603940.59513397119</v>
      </c>
    </row>
    <row r="64" spans="1:62" x14ac:dyDescent="0.2">
      <c r="M64" t="s">
        <v>211</v>
      </c>
      <c r="N64">
        <f>'Balance Sheet'!C11</f>
        <v>40000</v>
      </c>
      <c r="Y64" t="s">
        <v>211</v>
      </c>
      <c r="Z64" s="154">
        <f>'Balance Sheet'!D11</f>
        <v>75456.164383561641</v>
      </c>
      <c r="AK64" t="s">
        <v>211</v>
      </c>
      <c r="AL64" s="154">
        <f>'Balance Sheet'!E11</f>
        <v>80813.552054794505</v>
      </c>
      <c r="AW64" t="s">
        <v>211</v>
      </c>
      <c r="AX64" s="154">
        <f>'Balance Sheet'!F11</f>
        <v>86551.314250684925</v>
      </c>
      <c r="BI64" t="s">
        <v>211</v>
      </c>
      <c r="BJ64" s="154">
        <f>'Balance Sheet'!G11</f>
        <v>92696.457562483585</v>
      </c>
    </row>
    <row r="65" spans="13:62" x14ac:dyDescent="0.2">
      <c r="M65" t="s">
        <v>212</v>
      </c>
      <c r="N65" s="154">
        <f>'Balance Sheet'!D11</f>
        <v>75456.164383561641</v>
      </c>
      <c r="Y65" t="s">
        <v>212</v>
      </c>
      <c r="Z65" s="154">
        <f>'Balance Sheet'!E11</f>
        <v>80813.552054794505</v>
      </c>
      <c r="AK65" t="s">
        <v>212</v>
      </c>
      <c r="AL65" s="154">
        <f>'Balance Sheet'!F11</f>
        <v>86551.314250684925</v>
      </c>
      <c r="AW65" t="s">
        <v>212</v>
      </c>
      <c r="AX65" s="154">
        <f>'Balance Sheet'!G11</f>
        <v>92696.457562483585</v>
      </c>
      <c r="BI65" t="s">
        <v>212</v>
      </c>
      <c r="BJ65" s="154">
        <f>'Balance Sheet'!H11</f>
        <v>99277.906049419893</v>
      </c>
    </row>
    <row r="66" spans="13:62" x14ac:dyDescent="0.2">
      <c r="M66" t="s">
        <v>208</v>
      </c>
      <c r="N66" s="154">
        <f>N63+N65-N64</f>
        <v>494481.16438356158</v>
      </c>
      <c r="Y66" t="s">
        <v>208</v>
      </c>
      <c r="Z66" s="154">
        <f>Z63+Z65-Z64</f>
        <v>496973.16267123277</v>
      </c>
      <c r="AK66" t="s">
        <v>208</v>
      </c>
      <c r="AL66" s="154">
        <f>AL63+AL65-AL64</f>
        <v>532258.25722089037</v>
      </c>
      <c r="AW66" t="s">
        <v>208</v>
      </c>
      <c r="AX66" s="154">
        <f>AX63+AX65-AX64</f>
        <v>570048.59348357364</v>
      </c>
      <c r="BI66" t="s">
        <v>208</v>
      </c>
      <c r="BJ66" s="154">
        <f>BJ63+BJ65-BJ64</f>
        <v>610522.04362090747</v>
      </c>
    </row>
    <row r="67" spans="13:62" x14ac:dyDescent="0.2">
      <c r="M67" t="s">
        <v>213</v>
      </c>
      <c r="N67" s="154">
        <f>SUM(C59:N59)</f>
        <v>489398.16438356153</v>
      </c>
      <c r="Y67" t="s">
        <v>213</v>
      </c>
      <c r="Z67" s="154">
        <f>SUM(O59:Z59)</f>
        <v>493062.26967123273</v>
      </c>
      <c r="AK67" t="s">
        <v>213</v>
      </c>
      <c r="AL67" s="154">
        <f>SUM(AA59:AL59)</f>
        <v>528069.69081789034</v>
      </c>
      <c r="AW67" t="s">
        <v>213</v>
      </c>
      <c r="AX67" s="154">
        <f>SUM(AM59:AX59)</f>
        <v>565562.63886596076</v>
      </c>
      <c r="BI67" t="s">
        <v>213</v>
      </c>
      <c r="BJ67" s="154">
        <f>SUM(AY59:BJ59)</f>
        <v>605717.58622544387</v>
      </c>
    </row>
    <row r="68" spans="13:62" x14ac:dyDescent="0.2">
      <c r="M68" t="s">
        <v>215</v>
      </c>
      <c r="N68">
        <f>'Balance Sheet'!C43</f>
        <v>50000</v>
      </c>
      <c r="Y68" t="s">
        <v>215</v>
      </c>
      <c r="Z68" s="154">
        <f>'Balance Sheet'!D43</f>
        <v>55083.000000000058</v>
      </c>
      <c r="AK68" t="s">
        <v>215</v>
      </c>
      <c r="AL68" s="154">
        <f>'Balance Sheet'!E43</f>
        <v>58993.893000000098</v>
      </c>
      <c r="AW68" t="s">
        <v>215</v>
      </c>
      <c r="AX68" s="154">
        <f>'Balance Sheet'!F43</f>
        <v>63182.45940300019</v>
      </c>
      <c r="BI68" t="s">
        <v>215</v>
      </c>
      <c r="BJ68" s="154">
        <f>'Balance Sheet'!G43</f>
        <v>67668.414020613069</v>
      </c>
    </row>
    <row r="69" spans="13:62" x14ac:dyDescent="0.2">
      <c r="M69" t="s">
        <v>214</v>
      </c>
      <c r="N69" s="154">
        <f>N66+N68-N67</f>
        <v>55083.000000000058</v>
      </c>
      <c r="Y69" t="s">
        <v>214</v>
      </c>
      <c r="Z69" s="154">
        <f>Z66+Z68-Z67</f>
        <v>58993.893000000098</v>
      </c>
      <c r="AK69" t="s">
        <v>214</v>
      </c>
      <c r="AL69" s="154">
        <f>AL66+AL68-AL67</f>
        <v>63182.45940300019</v>
      </c>
      <c r="AW69" t="s">
        <v>214</v>
      </c>
      <c r="AX69" s="154">
        <f>AX66+AX68-AX67</f>
        <v>67668.414020613069</v>
      </c>
      <c r="BI69" t="s">
        <v>214</v>
      </c>
      <c r="BJ69" s="154">
        <f>BJ66+BJ68-BJ67</f>
        <v>72472.871416076669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5"/>
  <sheetViews>
    <sheetView showGridLines="0" workbookViewId="0">
      <selection activeCell="M25" sqref="M25"/>
    </sheetView>
  </sheetViews>
  <sheetFormatPr defaultRowHeight="12.75" x14ac:dyDescent="0.2"/>
  <cols>
    <col min="2" max="2" width="30.5703125" customWidth="1"/>
  </cols>
  <sheetData>
    <row r="1" spans="2:8" ht="27.75" thickBot="1" x14ac:dyDescent="0.25">
      <c r="B1" s="81" t="s">
        <v>223</v>
      </c>
      <c r="C1" s="81"/>
      <c r="D1" s="81"/>
      <c r="E1" s="81"/>
      <c r="F1" s="81"/>
      <c r="G1" s="81"/>
      <c r="H1" s="81"/>
    </row>
    <row r="2" spans="2:8" ht="13.5" thickTop="1" x14ac:dyDescent="0.2">
      <c r="B2" s="110"/>
      <c r="C2" s="110"/>
      <c r="D2" s="110"/>
      <c r="E2" s="110"/>
      <c r="F2" s="110"/>
      <c r="G2" s="110"/>
      <c r="H2" s="110"/>
    </row>
    <row r="3" spans="2:8" ht="18" x14ac:dyDescent="0.25">
      <c r="B3" s="196" t="str">
        <f>'Model Inputs'!B7</f>
        <v>Product, Service, Region or BU 1</v>
      </c>
      <c r="C3" s="195"/>
      <c r="D3" s="195"/>
      <c r="E3" s="195"/>
      <c r="F3" s="195"/>
      <c r="G3" s="195"/>
      <c r="H3" s="195"/>
    </row>
    <row r="4" spans="2:8" x14ac:dyDescent="0.2">
      <c r="B4" s="187"/>
      <c r="C4" s="187" t="s">
        <v>2</v>
      </c>
      <c r="D4" s="187" t="s">
        <v>3</v>
      </c>
      <c r="E4" s="187" t="s">
        <v>4</v>
      </c>
      <c r="F4" s="187" t="s">
        <v>5</v>
      </c>
      <c r="G4" s="187" t="s">
        <v>6</v>
      </c>
      <c r="H4" s="110"/>
    </row>
    <row r="5" spans="2:8" x14ac:dyDescent="0.2">
      <c r="B5" s="190" t="s">
        <v>173</v>
      </c>
      <c r="C5" s="189">
        <f>'Model Inputs'!C7</f>
        <v>2500</v>
      </c>
      <c r="D5" s="191">
        <f>C5*(1+'Model Inputs'!$D16)</f>
        <v>2625</v>
      </c>
      <c r="E5" s="191">
        <f>D5*(1+'Model Inputs'!$D16)</f>
        <v>2756.25</v>
      </c>
      <c r="F5" s="191">
        <f>E5*(1+'Model Inputs'!$D16)</f>
        <v>2894.0625</v>
      </c>
      <c r="G5" s="191">
        <f>F5*(1+'Model Inputs'!$D16)</f>
        <v>3038.765625</v>
      </c>
      <c r="H5" s="189"/>
    </row>
    <row r="6" spans="2:8" x14ac:dyDescent="0.2">
      <c r="B6" s="192" t="s">
        <v>0</v>
      </c>
      <c r="C6" s="191">
        <f>'Profit and Loss'!C11</f>
        <v>312500</v>
      </c>
      <c r="D6" s="191">
        <f>'Profit and Loss'!D11</f>
        <v>334687.5</v>
      </c>
      <c r="E6" s="191">
        <f>'Profit and Loss'!E11</f>
        <v>358450.3125</v>
      </c>
      <c r="F6" s="191">
        <f>'Profit and Loss'!F11</f>
        <v>383900.28468750004</v>
      </c>
      <c r="G6" s="191">
        <f>'Profit and Loss'!G11</f>
        <v>411157.20490031253</v>
      </c>
      <c r="H6" s="189"/>
    </row>
    <row r="7" spans="2:8" x14ac:dyDescent="0.2">
      <c r="B7" s="192" t="s">
        <v>174</v>
      </c>
      <c r="C7" s="191">
        <f>'Profit and Loss'!C20</f>
        <v>109375</v>
      </c>
      <c r="D7" s="191">
        <f>'Profit and Loss'!D20</f>
        <v>117140.62499999999</v>
      </c>
      <c r="E7" s="191">
        <f>'Profit and Loss'!E20</f>
        <v>125457.60937499999</v>
      </c>
      <c r="F7" s="191">
        <f>'Profit and Loss'!F20</f>
        <v>134365.09964062501</v>
      </c>
      <c r="G7" s="191">
        <f>'Profit and Loss'!G20</f>
        <v>143905.02171510938</v>
      </c>
      <c r="H7" s="189"/>
    </row>
    <row r="8" spans="2:8" x14ac:dyDescent="0.2">
      <c r="B8" s="112" t="s">
        <v>175</v>
      </c>
      <c r="C8" s="188">
        <f>C6-C7</f>
        <v>203125</v>
      </c>
      <c r="D8" s="188">
        <f t="shared" ref="D8:G8" si="0">D6-D7</f>
        <v>217546.875</v>
      </c>
      <c r="E8" s="188">
        <f t="shared" si="0"/>
        <v>232992.703125</v>
      </c>
      <c r="F8" s="188">
        <f t="shared" si="0"/>
        <v>249535.18504687503</v>
      </c>
      <c r="G8" s="188">
        <f t="shared" si="0"/>
        <v>267252.18318520312</v>
      </c>
      <c r="H8" s="110"/>
    </row>
    <row r="9" spans="2:8" x14ac:dyDescent="0.2">
      <c r="B9" s="190" t="s">
        <v>109</v>
      </c>
      <c r="C9" s="193">
        <f>C8/C6</f>
        <v>0.65</v>
      </c>
      <c r="D9" s="193">
        <f t="shared" ref="D9:G9" si="1">D8/D6</f>
        <v>0.65</v>
      </c>
      <c r="E9" s="193">
        <f t="shared" si="1"/>
        <v>0.65</v>
      </c>
      <c r="F9" s="193">
        <f t="shared" si="1"/>
        <v>0.65</v>
      </c>
      <c r="G9" s="193">
        <f t="shared" si="1"/>
        <v>0.64999999999999991</v>
      </c>
      <c r="H9" s="189"/>
    </row>
    <row r="10" spans="2:8" x14ac:dyDescent="0.2">
      <c r="B10" s="190" t="s">
        <v>176</v>
      </c>
      <c r="C10" s="194">
        <f>C8/C5</f>
        <v>81.25</v>
      </c>
      <c r="D10" s="194">
        <f t="shared" ref="D10:G10" si="2">D8/D5</f>
        <v>82.875</v>
      </c>
      <c r="E10" s="194">
        <f t="shared" si="2"/>
        <v>84.532499999999999</v>
      </c>
      <c r="F10" s="194">
        <f t="shared" si="2"/>
        <v>86.223150000000018</v>
      </c>
      <c r="G10" s="194">
        <f t="shared" si="2"/>
        <v>87.947613000000004</v>
      </c>
      <c r="H10" s="189"/>
    </row>
    <row r="11" spans="2:8" x14ac:dyDescent="0.2">
      <c r="B11" s="190"/>
      <c r="C11" s="194"/>
      <c r="D11" s="194"/>
      <c r="E11" s="194"/>
      <c r="F11" s="194"/>
      <c r="G11" s="194"/>
      <c r="H11" s="189"/>
    </row>
    <row r="12" spans="2:8" ht="18" x14ac:dyDescent="0.25">
      <c r="B12" s="196" t="str">
        <f>'Model Inputs'!B8</f>
        <v>Product, Service, Region or BU 2</v>
      </c>
      <c r="C12" s="195"/>
      <c r="D12" s="195"/>
      <c r="E12" s="195"/>
      <c r="F12" s="195"/>
      <c r="G12" s="195"/>
      <c r="H12" s="195"/>
    </row>
    <row r="13" spans="2:8" x14ac:dyDescent="0.2">
      <c r="B13" s="192" t="str">
        <f t="shared" ref="B13:B18" si="3">B5</f>
        <v>Sales volumes (units)</v>
      </c>
      <c r="C13" s="189">
        <f>'Model Inputs'!C8</f>
        <v>4300</v>
      </c>
      <c r="D13" s="191">
        <f>C13*(1+'Model Inputs'!$D17)</f>
        <v>4515</v>
      </c>
      <c r="E13" s="191">
        <f>D13*(1+'Model Inputs'!$D17)</f>
        <v>4740.75</v>
      </c>
      <c r="F13" s="191">
        <f>E13*(1+'Model Inputs'!$D17)</f>
        <v>4977.7875000000004</v>
      </c>
      <c r="G13" s="191">
        <f>F13*(1+'Model Inputs'!$D17)</f>
        <v>5226.676875000001</v>
      </c>
      <c r="H13" s="189"/>
    </row>
    <row r="14" spans="2:8" x14ac:dyDescent="0.2">
      <c r="B14" s="192" t="str">
        <f t="shared" si="3"/>
        <v>Revenue</v>
      </c>
      <c r="C14" s="191">
        <f>'Profit and Loss'!C12</f>
        <v>430000</v>
      </c>
      <c r="D14" s="191">
        <f>'Profit and Loss'!D12</f>
        <v>460530</v>
      </c>
      <c r="E14" s="191">
        <f>'Profit and Loss'!E12</f>
        <v>493227.63000000006</v>
      </c>
      <c r="F14" s="191">
        <f>'Profit and Loss'!F12</f>
        <v>528246.79173000006</v>
      </c>
      <c r="G14" s="191">
        <f>'Profit and Loss'!G12</f>
        <v>565752.31394283008</v>
      </c>
      <c r="H14" s="189"/>
    </row>
    <row r="15" spans="2:8" x14ac:dyDescent="0.2">
      <c r="B15" s="192" t="str">
        <f t="shared" si="3"/>
        <v>Direct costs</v>
      </c>
      <c r="C15" s="191">
        <f>'Profit and Loss'!C21</f>
        <v>193499.99999999997</v>
      </c>
      <c r="D15" s="191">
        <f>'Profit and Loss'!D21</f>
        <v>207238.49999999997</v>
      </c>
      <c r="E15" s="191">
        <f>'Profit and Loss'!E21</f>
        <v>221952.43350000001</v>
      </c>
      <c r="F15" s="191">
        <f>'Profit and Loss'!F21</f>
        <v>237711.05627850001</v>
      </c>
      <c r="G15" s="191">
        <f>'Profit and Loss'!G21</f>
        <v>254588.54127427351</v>
      </c>
      <c r="H15" s="189"/>
    </row>
    <row r="16" spans="2:8" x14ac:dyDescent="0.2">
      <c r="B16" s="111" t="str">
        <f t="shared" si="3"/>
        <v>Gross profit</v>
      </c>
      <c r="C16" s="188">
        <f>C14-C15</f>
        <v>236500.00000000003</v>
      </c>
      <c r="D16" s="188">
        <f t="shared" ref="D16:G16" si="4">D14-D15</f>
        <v>253291.50000000003</v>
      </c>
      <c r="E16" s="188">
        <f t="shared" si="4"/>
        <v>271275.19650000008</v>
      </c>
      <c r="F16" s="188">
        <f t="shared" si="4"/>
        <v>290535.73545150005</v>
      </c>
      <c r="G16" s="188">
        <f t="shared" si="4"/>
        <v>311163.77266855654</v>
      </c>
      <c r="H16" s="110"/>
    </row>
    <row r="17" spans="2:8" x14ac:dyDescent="0.2">
      <c r="B17" s="192" t="str">
        <f t="shared" si="3"/>
        <v>Gross margin %</v>
      </c>
      <c r="C17" s="193">
        <f>C16/C14</f>
        <v>0.55000000000000004</v>
      </c>
      <c r="D17" s="193">
        <f t="shared" ref="D17" si="5">D16/D14</f>
        <v>0.55000000000000004</v>
      </c>
      <c r="E17" s="193">
        <f t="shared" ref="E17" si="6">E16/E14</f>
        <v>0.55000000000000004</v>
      </c>
      <c r="F17" s="193">
        <f t="shared" ref="F17" si="7">F16/F14</f>
        <v>0.55000000000000004</v>
      </c>
      <c r="G17" s="193">
        <f t="shared" ref="G17" si="8">G16/G14</f>
        <v>0.55000000000000004</v>
      </c>
      <c r="H17" s="189"/>
    </row>
    <row r="18" spans="2:8" x14ac:dyDescent="0.2">
      <c r="B18" s="192" t="str">
        <f t="shared" si="3"/>
        <v>Gross Profit per Unit</v>
      </c>
      <c r="C18" s="194">
        <f>C16/C13</f>
        <v>55.000000000000007</v>
      </c>
      <c r="D18" s="194">
        <f t="shared" ref="D18:G18" si="9">D16/D13</f>
        <v>56.100000000000009</v>
      </c>
      <c r="E18" s="194">
        <f t="shared" si="9"/>
        <v>57.222000000000016</v>
      </c>
      <c r="F18" s="194">
        <f t="shared" si="9"/>
        <v>58.366440000000004</v>
      </c>
      <c r="G18" s="194">
        <f t="shared" si="9"/>
        <v>59.533768799999997</v>
      </c>
      <c r="H18" s="189"/>
    </row>
    <row r="19" spans="2:8" x14ac:dyDescent="0.2">
      <c r="B19" s="192"/>
      <c r="C19" s="194"/>
      <c r="D19" s="194"/>
      <c r="E19" s="194"/>
      <c r="F19" s="194"/>
      <c r="G19" s="194"/>
      <c r="H19" s="189"/>
    </row>
    <row r="20" spans="2:8" ht="18" x14ac:dyDescent="0.25">
      <c r="B20" s="196" t="str">
        <f>'Model Inputs'!B9</f>
        <v>Product, Service, Region or BU 3</v>
      </c>
      <c r="C20" s="195"/>
      <c r="D20" s="195"/>
      <c r="E20" s="195"/>
      <c r="F20" s="195"/>
      <c r="G20" s="195"/>
      <c r="H20" s="195"/>
    </row>
    <row r="21" spans="2:8" x14ac:dyDescent="0.2">
      <c r="B21" s="192" t="str">
        <f t="shared" ref="B21:B26" si="10">B13</f>
        <v>Sales volumes (units)</v>
      </c>
      <c r="C21" s="189">
        <f>'Model Inputs'!C9</f>
        <v>2100</v>
      </c>
      <c r="D21" s="191">
        <f>C21*(1+'Model Inputs'!$D18)</f>
        <v>2205</v>
      </c>
      <c r="E21" s="191">
        <f>D21*(1+'Model Inputs'!$D18)</f>
        <v>2315.25</v>
      </c>
      <c r="F21" s="191">
        <f>E21*(1+'Model Inputs'!$D18)</f>
        <v>2431.0125000000003</v>
      </c>
      <c r="G21" s="191">
        <f>F21*(1+'Model Inputs'!$D18)</f>
        <v>2552.5631250000006</v>
      </c>
      <c r="H21" s="189"/>
    </row>
    <row r="22" spans="2:8" x14ac:dyDescent="0.2">
      <c r="B22" s="192" t="str">
        <f t="shared" si="10"/>
        <v>Revenue</v>
      </c>
      <c r="C22" s="191">
        <f>'Profit and Loss'!C13</f>
        <v>136500</v>
      </c>
      <c r="D22" s="191">
        <f>'Profit and Loss'!D13</f>
        <v>146191.5</v>
      </c>
      <c r="E22" s="191">
        <f>'Profit and Loss'!E13</f>
        <v>156571.09650000001</v>
      </c>
      <c r="F22" s="191">
        <f>'Profit and Loss'!F13</f>
        <v>167687.64435150003</v>
      </c>
      <c r="G22" s="191">
        <f>'Profit and Loss'!G13</f>
        <v>179593.46710045656</v>
      </c>
      <c r="H22" s="189"/>
    </row>
    <row r="23" spans="2:8" x14ac:dyDescent="0.2">
      <c r="B23" s="192" t="str">
        <f t="shared" si="10"/>
        <v>Direct costs</v>
      </c>
      <c r="C23" s="191">
        <f>'Profit and Loss'!C22</f>
        <v>81900</v>
      </c>
      <c r="D23" s="191">
        <f>'Profit and Loss'!D22</f>
        <v>87714.9</v>
      </c>
      <c r="E23" s="191">
        <f>'Profit and Loss'!E22</f>
        <v>93942.657900000006</v>
      </c>
      <c r="F23" s="191">
        <f>'Profit and Loss'!F22</f>
        <v>100612.58661090002</v>
      </c>
      <c r="G23" s="191">
        <f>'Profit and Loss'!G22</f>
        <v>107756.08026027393</v>
      </c>
      <c r="H23" s="189"/>
    </row>
    <row r="24" spans="2:8" x14ac:dyDescent="0.2">
      <c r="B24" s="111" t="str">
        <f t="shared" si="10"/>
        <v>Gross profit</v>
      </c>
      <c r="C24" s="188">
        <f>C22-C23</f>
        <v>54600</v>
      </c>
      <c r="D24" s="188">
        <f t="shared" ref="D24:G24" si="11">D22-D23</f>
        <v>58476.600000000006</v>
      </c>
      <c r="E24" s="188">
        <f t="shared" si="11"/>
        <v>62628.438600000009</v>
      </c>
      <c r="F24" s="188">
        <f t="shared" si="11"/>
        <v>67075.057740600008</v>
      </c>
      <c r="G24" s="188">
        <f t="shared" si="11"/>
        <v>71837.386840182633</v>
      </c>
      <c r="H24" s="110"/>
    </row>
    <row r="25" spans="2:8" x14ac:dyDescent="0.2">
      <c r="B25" s="192" t="str">
        <f t="shared" si="10"/>
        <v>Gross margin %</v>
      </c>
      <c r="C25" s="193">
        <f>C24/C22</f>
        <v>0.4</v>
      </c>
      <c r="D25" s="193">
        <f t="shared" ref="D25" si="12">D24/D22</f>
        <v>0.4</v>
      </c>
      <c r="E25" s="193">
        <f t="shared" ref="E25" si="13">E24/E22</f>
        <v>0.4</v>
      </c>
      <c r="F25" s="193">
        <f t="shared" ref="F25" si="14">F24/F22</f>
        <v>0.39999999999999997</v>
      </c>
      <c r="G25" s="193">
        <f t="shared" ref="G25" si="15">G24/G22</f>
        <v>0.4</v>
      </c>
      <c r="H25" s="189"/>
    </row>
    <row r="26" spans="2:8" x14ac:dyDescent="0.2">
      <c r="B26" s="192" t="str">
        <f t="shared" si="10"/>
        <v>Gross Profit per Unit</v>
      </c>
      <c r="C26" s="194">
        <f>C24/C21</f>
        <v>26</v>
      </c>
      <c r="D26" s="194">
        <f t="shared" ref="D26:G26" si="16">D24/D21</f>
        <v>26.520000000000003</v>
      </c>
      <c r="E26" s="194">
        <f t="shared" si="16"/>
        <v>27.050400000000003</v>
      </c>
      <c r="F26" s="194">
        <f t="shared" si="16"/>
        <v>27.591408000000001</v>
      </c>
      <c r="G26" s="194">
        <f t="shared" si="16"/>
        <v>28.143236160000008</v>
      </c>
      <c r="H26" s="189"/>
    </row>
    <row r="27" spans="2:8" x14ac:dyDescent="0.2">
      <c r="B27" s="192"/>
      <c r="C27" s="194"/>
      <c r="D27" s="194"/>
      <c r="E27" s="194"/>
      <c r="F27" s="194"/>
      <c r="G27" s="194"/>
      <c r="H27" s="189"/>
    </row>
    <row r="28" spans="2:8" ht="18" x14ac:dyDescent="0.25">
      <c r="B28" s="196" t="str">
        <f>'Model Inputs'!B10</f>
        <v>Product, Service, Region or BU 4</v>
      </c>
      <c r="C28" s="195"/>
      <c r="D28" s="195"/>
      <c r="E28" s="195"/>
      <c r="F28" s="195"/>
      <c r="G28" s="195"/>
      <c r="H28" s="195"/>
    </row>
    <row r="29" spans="2:8" x14ac:dyDescent="0.2">
      <c r="B29" s="192" t="str">
        <f t="shared" ref="B29:B34" si="17">B21</f>
        <v>Sales volumes (units)</v>
      </c>
      <c r="C29" s="189">
        <f>'Model Inputs'!C10</f>
        <v>5400</v>
      </c>
      <c r="D29" s="191">
        <f>C29*(1+'Model Inputs'!$D19)</f>
        <v>5670</v>
      </c>
      <c r="E29" s="191">
        <f>D29*(1+'Model Inputs'!$D19)</f>
        <v>5953.5</v>
      </c>
      <c r="F29" s="191">
        <f>E29*(1+'Model Inputs'!$D19)</f>
        <v>6251.1750000000002</v>
      </c>
      <c r="G29" s="191">
        <f>F29*(1+'Model Inputs'!$D19)</f>
        <v>6563.7337500000003</v>
      </c>
      <c r="H29" s="189"/>
    </row>
    <row r="30" spans="2:8" x14ac:dyDescent="0.2">
      <c r="B30" s="192" t="str">
        <f t="shared" si="17"/>
        <v>Revenue</v>
      </c>
      <c r="C30" s="191">
        <f>'Profit and Loss'!C14</f>
        <v>135000</v>
      </c>
      <c r="D30" s="191">
        <f>'Profit and Loss'!D14</f>
        <v>144585</v>
      </c>
      <c r="E30" s="191">
        <f>'Profit and Loss'!E14</f>
        <v>154850.53500000003</v>
      </c>
      <c r="F30" s="191">
        <f>'Profit and Loss'!F14</f>
        <v>165844.92298500004</v>
      </c>
      <c r="G30" s="191">
        <f>'Profit and Loss'!G14</f>
        <v>177619.91251693506</v>
      </c>
      <c r="H30" s="189"/>
    </row>
    <row r="31" spans="2:8" x14ac:dyDescent="0.2">
      <c r="B31" s="192" t="str">
        <f t="shared" si="17"/>
        <v>Direct costs</v>
      </c>
      <c r="C31" s="191">
        <f>'Profit and Loss'!C23</f>
        <v>74250</v>
      </c>
      <c r="D31" s="191">
        <f>'Profit and Loss'!D23</f>
        <v>79521.75</v>
      </c>
      <c r="E31" s="191">
        <f>'Profit and Loss'!E23</f>
        <v>85167.794250000021</v>
      </c>
      <c r="F31" s="191">
        <f>'Profit and Loss'!F23</f>
        <v>91214.707641750036</v>
      </c>
      <c r="G31" s="191">
        <f>'Profit and Loss'!G23</f>
        <v>97690.951884314287</v>
      </c>
      <c r="H31" s="189"/>
    </row>
    <row r="32" spans="2:8" x14ac:dyDescent="0.2">
      <c r="B32" s="111" t="str">
        <f t="shared" si="17"/>
        <v>Gross profit</v>
      </c>
      <c r="C32" s="188">
        <f>C30-C31</f>
        <v>60750</v>
      </c>
      <c r="D32" s="188">
        <f t="shared" ref="D32" si="18">D30-D31</f>
        <v>65063.25</v>
      </c>
      <c r="E32" s="188">
        <f t="shared" ref="E32" si="19">E30-E31</f>
        <v>69682.740750000012</v>
      </c>
      <c r="F32" s="188">
        <f t="shared" ref="F32" si="20">F30-F31</f>
        <v>74630.215343250005</v>
      </c>
      <c r="G32" s="188">
        <f t="shared" ref="G32" si="21">G30-G31</f>
        <v>79928.960632620772</v>
      </c>
      <c r="H32" s="110"/>
    </row>
    <row r="33" spans="2:8" x14ac:dyDescent="0.2">
      <c r="B33" s="192" t="str">
        <f t="shared" si="17"/>
        <v>Gross margin %</v>
      </c>
      <c r="C33" s="193">
        <f>C32/C30</f>
        <v>0.45</v>
      </c>
      <c r="D33" s="193">
        <f t="shared" ref="D33" si="22">D32/D30</f>
        <v>0.45</v>
      </c>
      <c r="E33" s="193">
        <f t="shared" ref="E33" si="23">E32/E30</f>
        <v>0.44999999999999996</v>
      </c>
      <c r="F33" s="193">
        <f t="shared" ref="F33" si="24">F32/F30</f>
        <v>0.4499999999999999</v>
      </c>
      <c r="G33" s="193">
        <f t="shared" ref="G33" si="25">G32/G30</f>
        <v>0.44999999999999996</v>
      </c>
      <c r="H33" s="189"/>
    </row>
    <row r="34" spans="2:8" x14ac:dyDescent="0.2">
      <c r="B34" s="192" t="str">
        <f t="shared" si="17"/>
        <v>Gross Profit per Unit</v>
      </c>
      <c r="C34" s="194">
        <f>C32/C29</f>
        <v>11.25</v>
      </c>
      <c r="D34" s="194">
        <f t="shared" ref="D34:G34" si="26">D32/D29</f>
        <v>11.475</v>
      </c>
      <c r="E34" s="194">
        <f t="shared" si="26"/>
        <v>11.704500000000001</v>
      </c>
      <c r="F34" s="194">
        <f t="shared" si="26"/>
        <v>11.938590000000001</v>
      </c>
      <c r="G34" s="194">
        <f t="shared" si="26"/>
        <v>12.177361800000003</v>
      </c>
      <c r="H34" s="189"/>
    </row>
    <row r="35" spans="2:8" x14ac:dyDescent="0.2">
      <c r="B35" s="110"/>
      <c r="C35" s="110"/>
      <c r="D35" s="110"/>
      <c r="E35" s="110"/>
      <c r="F35" s="110"/>
      <c r="G35" s="110"/>
      <c r="H35" s="110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BP366"/>
  <sheetViews>
    <sheetView showGridLines="0" workbookViewId="0">
      <selection activeCell="A7" sqref="A7"/>
    </sheetView>
  </sheetViews>
  <sheetFormatPr defaultColWidth="9.140625" defaultRowHeight="18" customHeight="1" x14ac:dyDescent="0.2"/>
  <cols>
    <col min="1" max="1" width="11.85546875" style="37" customWidth="1"/>
    <col min="2" max="5" width="21.5703125" style="67" customWidth="1"/>
    <col min="6" max="6" width="3.5703125" style="10" customWidth="1"/>
    <col min="7" max="16384" width="9.140625" style="10"/>
  </cols>
  <sheetData>
    <row r="1" spans="1:68" ht="35.1" customHeight="1" thickBot="1" x14ac:dyDescent="0.25">
      <c r="A1" s="82" t="s">
        <v>100</v>
      </c>
      <c r="B1" s="83"/>
      <c r="C1" s="83"/>
      <c r="D1" s="83"/>
      <c r="E1" s="83"/>
      <c r="F1" s="84"/>
    </row>
    <row r="2" spans="1:68" ht="18" customHeight="1" thickTop="1" x14ac:dyDescent="0.2"/>
    <row r="3" spans="1:68" ht="18" customHeight="1" x14ac:dyDescent="0.2">
      <c r="A3" s="206" t="s">
        <v>65</v>
      </c>
      <c r="B3" s="207"/>
      <c r="C3" s="208"/>
    </row>
    <row r="5" spans="1:68" ht="20.100000000000001" customHeight="1" x14ac:dyDescent="0.2">
      <c r="A5" s="77" t="s">
        <v>101</v>
      </c>
      <c r="B5" s="78" t="s">
        <v>102</v>
      </c>
      <c r="C5" s="78" t="s">
        <v>103</v>
      </c>
      <c r="D5" s="78" t="s">
        <v>104</v>
      </c>
      <c r="E5" s="78" t="s">
        <v>105</v>
      </c>
      <c r="F5" s="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</row>
    <row r="6" spans="1:68" ht="6.95" customHeight="1" x14ac:dyDescent="0.2">
      <c r="A6" s="90"/>
      <c r="B6" s="91">
        <f>'Model Inputs'!$C$72</f>
        <v>50000</v>
      </c>
      <c r="C6" s="91"/>
      <c r="D6" s="91"/>
      <c r="E6" s="91"/>
      <c r="F6" s="92"/>
    </row>
    <row r="7" spans="1:68" ht="18" customHeight="1" x14ac:dyDescent="0.2">
      <c r="A7" s="37">
        <f>IF(A6&gt;='Model Inputs'!$C$74,"",A6+1)</f>
        <v>1</v>
      </c>
      <c r="B7" s="133">
        <f>IF(A7="","",B6-D6)</f>
        <v>50000</v>
      </c>
      <c r="C7" s="74">
        <f>IF(A7="","",-PMT('Model Inputs'!$C$75,'Model Inputs'!$C$74,'Model Inputs'!$C$72))</f>
        <v>941.019918477744</v>
      </c>
      <c r="D7" s="74">
        <f>IF(A7="","",C7-E7)</f>
        <v>737.31372929532631</v>
      </c>
      <c r="E7" s="76">
        <f>IF(A7="","",'Model Inputs'!$C$75*B7)</f>
        <v>203.70618918241769</v>
      </c>
    </row>
    <row r="8" spans="1:68" ht="18" customHeight="1" x14ac:dyDescent="0.2">
      <c r="A8" s="37">
        <f>IF(A7&gt;='Model Inputs'!$C$74,"",A7+1)</f>
        <v>2</v>
      </c>
      <c r="B8" s="133">
        <f t="shared" ref="B8:B71" si="0">IF(A8="","",B7-D7)</f>
        <v>49262.686270704675</v>
      </c>
      <c r="C8" s="74">
        <f>IF(A8="","",-PMT('Model Inputs'!$C$75,'Model Inputs'!$C$74,'Model Inputs'!$C$72))</f>
        <v>941.019918477744</v>
      </c>
      <c r="D8" s="74">
        <f t="shared" ref="D8:D71" si="1">IF(A8="","",C8-E8)</f>
        <v>740.31763669585894</v>
      </c>
      <c r="E8" s="76">
        <f>IF(A8="","",'Model Inputs'!$C$75*B8)</f>
        <v>200.70228178188512</v>
      </c>
    </row>
    <row r="9" spans="1:68" ht="18" customHeight="1" x14ac:dyDescent="0.2">
      <c r="A9" s="37">
        <f>IF(A8&gt;='Model Inputs'!$C$74,"",A8+1)</f>
        <v>3</v>
      </c>
      <c r="B9" s="133">
        <f t="shared" si="0"/>
        <v>48522.368634008817</v>
      </c>
      <c r="C9" s="74">
        <f>IF(A9="","",-PMT('Model Inputs'!$C$75,'Model Inputs'!$C$74,'Model Inputs'!$C$72))</f>
        <v>941.019918477744</v>
      </c>
      <c r="D9" s="74">
        <f t="shared" si="1"/>
        <v>743.33378238697583</v>
      </c>
      <c r="E9" s="76">
        <f>IF(A9="","",'Model Inputs'!$C$75*B9)</f>
        <v>197.6861360907682</v>
      </c>
      <c r="H9" s="80"/>
    </row>
    <row r="10" spans="1:68" ht="18" customHeight="1" x14ac:dyDescent="0.2">
      <c r="A10" s="37">
        <f>IF(A9&gt;='Model Inputs'!$C$74,"",A9+1)</f>
        <v>4</v>
      </c>
      <c r="B10" s="133">
        <f t="shared" si="0"/>
        <v>47779.034851621844</v>
      </c>
      <c r="C10" s="74">
        <f>IF(A10="","",-PMT('Model Inputs'!$C$75,'Model Inputs'!$C$74,'Model Inputs'!$C$72))</f>
        <v>941.019918477744</v>
      </c>
      <c r="D10" s="74">
        <f t="shared" si="1"/>
        <v>746.3622162289879</v>
      </c>
      <c r="E10" s="76">
        <f>IF(A10="","",'Model Inputs'!$C$75*B10)</f>
        <v>194.65770224875612</v>
      </c>
    </row>
    <row r="11" spans="1:68" ht="18" customHeight="1" x14ac:dyDescent="0.2">
      <c r="A11" s="37">
        <f>IF(A10&gt;='Model Inputs'!$C$74,"",A10+1)</f>
        <v>5</v>
      </c>
      <c r="B11" s="133">
        <f t="shared" si="0"/>
        <v>47032.672635392853</v>
      </c>
      <c r="C11" s="74">
        <f>IF(A11="","",-PMT('Model Inputs'!$C$75,'Model Inputs'!$C$74,'Model Inputs'!$C$72))</f>
        <v>941.019918477744</v>
      </c>
      <c r="D11" s="74">
        <f t="shared" si="1"/>
        <v>749.40298828534287</v>
      </c>
      <c r="E11" s="76">
        <f>IF(A11="","",'Model Inputs'!$C$75*B11)</f>
        <v>191.6169301924011</v>
      </c>
    </row>
    <row r="12" spans="1:68" ht="18" customHeight="1" x14ac:dyDescent="0.2">
      <c r="A12" s="37">
        <f>IF(A11&gt;='Model Inputs'!$C$74,"",A11+1)</f>
        <v>6</v>
      </c>
      <c r="B12" s="133">
        <f t="shared" si="0"/>
        <v>46283.269647107511</v>
      </c>
      <c r="C12" s="74">
        <f>IF(A12="","",-PMT('Model Inputs'!$C$75,'Model Inputs'!$C$74,'Model Inputs'!$C$72))</f>
        <v>941.019918477744</v>
      </c>
      <c r="D12" s="74">
        <f t="shared" si="1"/>
        <v>752.4561488234533</v>
      </c>
      <c r="E12" s="76">
        <f>IF(A12="","",'Model Inputs'!$C$75*B12)</f>
        <v>188.56376965429064</v>
      </c>
    </row>
    <row r="13" spans="1:68" ht="18" customHeight="1" x14ac:dyDescent="0.2">
      <c r="A13" s="37">
        <f>IF(A12&gt;='Model Inputs'!$C$74,"",A12+1)</f>
        <v>7</v>
      </c>
      <c r="B13" s="133">
        <f t="shared" si="0"/>
        <v>45530.813498284057</v>
      </c>
      <c r="C13" s="74">
        <f>IF(A13="","",-PMT('Model Inputs'!$C$75,'Model Inputs'!$C$74,'Model Inputs'!$C$72))</f>
        <v>941.019918477744</v>
      </c>
      <c r="D13" s="74">
        <f t="shared" si="1"/>
        <v>755.52174831552747</v>
      </c>
      <c r="E13" s="76">
        <f>IF(A13="","",'Model Inputs'!$C$75*B13)</f>
        <v>185.49817016221655</v>
      </c>
    </row>
    <row r="14" spans="1:68" ht="18" customHeight="1" x14ac:dyDescent="0.2">
      <c r="A14" s="37">
        <f>IF(A13&gt;='Model Inputs'!$C$74,"",A13+1)</f>
        <v>8</v>
      </c>
      <c r="B14" s="133">
        <f t="shared" si="0"/>
        <v>44775.291749968528</v>
      </c>
      <c r="C14" s="74">
        <f>IF(A14="","",-PMT('Model Inputs'!$C$75,'Model Inputs'!$C$74,'Model Inputs'!$C$72))</f>
        <v>941.019918477744</v>
      </c>
      <c r="D14" s="74">
        <f t="shared" si="1"/>
        <v>758.59983743940325</v>
      </c>
      <c r="E14" s="76">
        <f>IF(A14="","",'Model Inputs'!$C$75*B14)</f>
        <v>182.4200810383407</v>
      </c>
    </row>
    <row r="15" spans="1:68" ht="18" customHeight="1" x14ac:dyDescent="0.2">
      <c r="A15" s="37">
        <f>IF(A14&gt;='Model Inputs'!$C$74,"",A14+1)</f>
        <v>9</v>
      </c>
      <c r="B15" s="133">
        <f t="shared" si="0"/>
        <v>44016.691912529124</v>
      </c>
      <c r="C15" s="74">
        <f>IF(A15="","",-PMT('Model Inputs'!$C$75,'Model Inputs'!$C$74,'Model Inputs'!$C$72))</f>
        <v>941.019918477744</v>
      </c>
      <c r="D15" s="74">
        <f t="shared" si="1"/>
        <v>761.69046707938696</v>
      </c>
      <c r="E15" s="76">
        <f>IF(A15="","",'Model Inputs'!$C$75*B15)</f>
        <v>179.32945139835704</v>
      </c>
    </row>
    <row r="16" spans="1:68" ht="18" customHeight="1" x14ac:dyDescent="0.2">
      <c r="A16" s="37">
        <f>IF(A15&gt;='Model Inputs'!$C$74,"",A15+1)</f>
        <v>10</v>
      </c>
      <c r="B16" s="133">
        <f t="shared" si="0"/>
        <v>43255.001445449736</v>
      </c>
      <c r="C16" s="74">
        <f>IF(A16="","",-PMT('Model Inputs'!$C$75,'Model Inputs'!$C$74,'Model Inputs'!$C$72))</f>
        <v>941.019918477744</v>
      </c>
      <c r="D16" s="74">
        <f t="shared" si="1"/>
        <v>764.79368832709338</v>
      </c>
      <c r="E16" s="76">
        <f>IF(A16="","",'Model Inputs'!$C$75*B16)</f>
        <v>176.22623015065068</v>
      </c>
    </row>
    <row r="17" spans="1:5" ht="18" customHeight="1" x14ac:dyDescent="0.2">
      <c r="A17" s="37">
        <f>IF(A16&gt;='Model Inputs'!$C$74,"",A16+1)</f>
        <v>11</v>
      </c>
      <c r="B17" s="133">
        <f t="shared" si="0"/>
        <v>42490.20775712264</v>
      </c>
      <c r="C17" s="74">
        <f>IF(A17="","",-PMT('Model Inputs'!$C$75,'Model Inputs'!$C$74,'Model Inputs'!$C$72))</f>
        <v>941.019918477744</v>
      </c>
      <c r="D17" s="74">
        <f t="shared" si="1"/>
        <v>767.90955248229091</v>
      </c>
      <c r="E17" s="76">
        <f>IF(A17="","",'Model Inputs'!$C$75*B17)</f>
        <v>173.11036599545312</v>
      </c>
    </row>
    <row r="18" spans="1:5" ht="18" customHeight="1" x14ac:dyDescent="0.2">
      <c r="A18" s="37">
        <f>IF(A17&gt;='Model Inputs'!$C$74,"",A17+1)</f>
        <v>12</v>
      </c>
      <c r="B18" s="133">
        <f t="shared" si="0"/>
        <v>41722.298204640349</v>
      </c>
      <c r="C18" s="74">
        <f>IF(A18="","",-PMT('Model Inputs'!$C$75,'Model Inputs'!$C$74,'Model Inputs'!$C$72))</f>
        <v>941.019918477744</v>
      </c>
      <c r="D18" s="74">
        <f t="shared" si="1"/>
        <v>771.03811105374973</v>
      </c>
      <c r="E18" s="76">
        <f>IF(A18="","",'Model Inputs'!$C$75*B18)</f>
        <v>169.98180742399424</v>
      </c>
    </row>
    <row r="19" spans="1:5" ht="18" customHeight="1" x14ac:dyDescent="0.2">
      <c r="A19" s="37">
        <f>IF(A18&gt;='Model Inputs'!$C$74,"",A18+1)</f>
        <v>13</v>
      </c>
      <c r="B19" s="133">
        <f t="shared" si="0"/>
        <v>40951.260093586599</v>
      </c>
      <c r="C19" s="74">
        <f>IF(A19="","",-PMT('Model Inputs'!$C$75,'Model Inputs'!$C$74,'Model Inputs'!$C$72))</f>
        <v>941.019918477744</v>
      </c>
      <c r="D19" s="74">
        <f t="shared" si="1"/>
        <v>774.17941576009321</v>
      </c>
      <c r="E19" s="76">
        <f>IF(A19="","",'Model Inputs'!$C$75*B19)</f>
        <v>166.84050271765085</v>
      </c>
    </row>
    <row r="20" spans="1:5" ht="18" customHeight="1" x14ac:dyDescent="0.2">
      <c r="A20" s="37">
        <f>IF(A19&gt;='Model Inputs'!$C$74,"",A19+1)</f>
        <v>14</v>
      </c>
      <c r="B20" s="133">
        <f t="shared" si="0"/>
        <v>40177.080677826503</v>
      </c>
      <c r="C20" s="74">
        <f>IF(A20="","",-PMT('Model Inputs'!$C$75,'Model Inputs'!$C$74,'Model Inputs'!$C$72))</f>
        <v>941.019918477744</v>
      </c>
      <c r="D20" s="74">
        <f t="shared" si="1"/>
        <v>777.33351853065233</v>
      </c>
      <c r="E20" s="76">
        <f>IF(A20="","",'Model Inputs'!$C$75*B20)</f>
        <v>163.68639994709167</v>
      </c>
    </row>
    <row r="21" spans="1:5" ht="18" customHeight="1" x14ac:dyDescent="0.2">
      <c r="A21" s="37">
        <f>IF(A20&gt;='Model Inputs'!$C$74,"",A20+1)</f>
        <v>15</v>
      </c>
      <c r="B21" s="133">
        <f t="shared" si="0"/>
        <v>39399.747159295854</v>
      </c>
      <c r="C21" s="74">
        <f>IF(A21="","",-PMT('Model Inputs'!$C$75,'Model Inputs'!$C$74,'Model Inputs'!$C$72))</f>
        <v>941.019918477744</v>
      </c>
      <c r="D21" s="74">
        <f t="shared" si="1"/>
        <v>780.50047150632508</v>
      </c>
      <c r="E21" s="76">
        <f>IF(A21="","",'Model Inputs'!$C$75*B21)</f>
        <v>160.51944697141889</v>
      </c>
    </row>
    <row r="22" spans="1:5" ht="18" customHeight="1" x14ac:dyDescent="0.2">
      <c r="A22" s="37">
        <f>IF(A21&gt;='Model Inputs'!$C$74,"",A21+1)</f>
        <v>16</v>
      </c>
      <c r="B22" s="133">
        <f t="shared" si="0"/>
        <v>38619.246687789528</v>
      </c>
      <c r="C22" s="74">
        <f>IF(A22="","",-PMT('Model Inputs'!$C$75,'Model Inputs'!$C$74,'Model Inputs'!$C$72))</f>
        <v>941.019918477744</v>
      </c>
      <c r="D22" s="74">
        <f t="shared" si="1"/>
        <v>783.68032704043776</v>
      </c>
      <c r="E22" s="76">
        <f>IF(A22="","",'Model Inputs'!$C$75*B22)</f>
        <v>157.33959143730621</v>
      </c>
    </row>
    <row r="23" spans="1:5" ht="18" customHeight="1" x14ac:dyDescent="0.2">
      <c r="A23" s="37">
        <f>IF(A22&gt;='Model Inputs'!$C$74,"",A22+1)</f>
        <v>17</v>
      </c>
      <c r="B23" s="133">
        <f t="shared" si="0"/>
        <v>37835.566360749093</v>
      </c>
      <c r="C23" s="74">
        <f>IF(A23="","",-PMT('Model Inputs'!$C$75,'Model Inputs'!$C$74,'Model Inputs'!$C$72))</f>
        <v>941.019918477744</v>
      </c>
      <c r="D23" s="74">
        <f t="shared" si="1"/>
        <v>786.87313769961054</v>
      </c>
      <c r="E23" s="76">
        <f>IF(A23="","",'Model Inputs'!$C$75*B23)</f>
        <v>154.14678077813346</v>
      </c>
    </row>
    <row r="24" spans="1:5" ht="18" customHeight="1" x14ac:dyDescent="0.2">
      <c r="A24" s="37">
        <f>IF(A23&gt;='Model Inputs'!$C$74,"",A23+1)</f>
        <v>18</v>
      </c>
      <c r="B24" s="133">
        <f t="shared" si="0"/>
        <v>37048.693223049486</v>
      </c>
      <c r="C24" s="74">
        <f>IF(A24="","",-PMT('Model Inputs'!$C$75,'Model Inputs'!$C$74,'Model Inputs'!$C$72))</f>
        <v>941.019918477744</v>
      </c>
      <c r="D24" s="74">
        <f t="shared" si="1"/>
        <v>790.07895626462653</v>
      </c>
      <c r="E24" s="76">
        <f>IF(A24="","",'Model Inputs'!$C$75*B24)</f>
        <v>150.94096221311747</v>
      </c>
    </row>
    <row r="25" spans="1:5" ht="18" customHeight="1" x14ac:dyDescent="0.2">
      <c r="A25" s="37">
        <f>IF(A24&gt;='Model Inputs'!$C$74,"",A24+1)</f>
        <v>19</v>
      </c>
      <c r="B25" s="133">
        <f t="shared" si="0"/>
        <v>36258.614266784862</v>
      </c>
      <c r="C25" s="74">
        <f>IF(A25="","",-PMT('Model Inputs'!$C$75,'Model Inputs'!$C$74,'Model Inputs'!$C$72))</f>
        <v>941.019918477744</v>
      </c>
      <c r="D25" s="74">
        <f t="shared" si="1"/>
        <v>793.2978357313043</v>
      </c>
      <c r="E25" s="76">
        <f>IF(A25="","",'Model Inputs'!$C$75*B25)</f>
        <v>147.72208274643972</v>
      </c>
    </row>
    <row r="26" spans="1:5" ht="18" customHeight="1" x14ac:dyDescent="0.2">
      <c r="A26" s="37">
        <f>IF(A25&gt;='Model Inputs'!$C$74,"",A25+1)</f>
        <v>20</v>
      </c>
      <c r="B26" s="133">
        <f t="shared" si="0"/>
        <v>35465.316431053558</v>
      </c>
      <c r="C26" s="74">
        <f>IF(A26="","",-PMT('Model Inputs'!$C$75,'Model Inputs'!$C$74,'Model Inputs'!$C$72))</f>
        <v>941.019918477744</v>
      </c>
      <c r="D26" s="74">
        <f t="shared" si="1"/>
        <v>796.52982931137399</v>
      </c>
      <c r="E26" s="76">
        <f>IF(A26="","",'Model Inputs'!$C$75*B26)</f>
        <v>144.49008916637004</v>
      </c>
    </row>
    <row r="27" spans="1:5" ht="18" customHeight="1" x14ac:dyDescent="0.2">
      <c r="A27" s="37">
        <f>IF(A26&gt;='Model Inputs'!$C$74,"",A26+1)</f>
        <v>21</v>
      </c>
      <c r="B27" s="133">
        <f t="shared" si="0"/>
        <v>34668.786601742184</v>
      </c>
      <c r="C27" s="74">
        <f>IF(A27="","",-PMT('Model Inputs'!$C$75,'Model Inputs'!$C$74,'Model Inputs'!$C$72))</f>
        <v>941.019918477744</v>
      </c>
      <c r="D27" s="74">
        <f t="shared" si="1"/>
        <v>799.77499043335683</v>
      </c>
      <c r="E27" s="76">
        <f>IF(A27="","",'Model Inputs'!$C$75*B27)</f>
        <v>141.24492804438722</v>
      </c>
    </row>
    <row r="28" spans="1:5" ht="18" customHeight="1" x14ac:dyDescent="0.2">
      <c r="A28" s="37">
        <f>IF(A27&gt;='Model Inputs'!$C$74,"",A27+1)</f>
        <v>22</v>
      </c>
      <c r="B28" s="133">
        <f t="shared" si="0"/>
        <v>33869.01161130883</v>
      </c>
      <c r="C28" s="74">
        <f>IF(A28="","",-PMT('Model Inputs'!$C$75,'Model Inputs'!$C$74,'Model Inputs'!$C$72))</f>
        <v>941.019918477744</v>
      </c>
      <c r="D28" s="74">
        <f t="shared" si="1"/>
        <v>803.03337274344847</v>
      </c>
      <c r="E28" s="76">
        <f>IF(A28="","",'Model Inputs'!$C$75*B28)</f>
        <v>137.98654573429553</v>
      </c>
    </row>
    <row r="29" spans="1:5" ht="18" customHeight="1" x14ac:dyDescent="0.2">
      <c r="A29" s="37">
        <f>IF(A28&gt;='Model Inputs'!$C$74,"",A28+1)</f>
        <v>23</v>
      </c>
      <c r="B29" s="133">
        <f t="shared" si="0"/>
        <v>33065.978238565382</v>
      </c>
      <c r="C29" s="74">
        <f>IF(A29="","",-PMT('Model Inputs'!$C$75,'Model Inputs'!$C$74,'Model Inputs'!$C$72))</f>
        <v>941.019918477744</v>
      </c>
      <c r="D29" s="74">
        <f t="shared" si="1"/>
        <v>806.30503010640587</v>
      </c>
      <c r="E29" s="76">
        <f>IF(A29="","",'Model Inputs'!$C$75*B29)</f>
        <v>134.71488837133811</v>
      </c>
    </row>
    <row r="30" spans="1:5" ht="18" customHeight="1" x14ac:dyDescent="0.2">
      <c r="A30" s="37">
        <f>IF(A29&gt;='Model Inputs'!$C$74,"",A29+1)</f>
        <v>24</v>
      </c>
      <c r="B30" s="133">
        <f t="shared" si="0"/>
        <v>32259.673208458975</v>
      </c>
      <c r="C30" s="74">
        <f>IF(A30="","",-PMT('Model Inputs'!$C$75,'Model Inputs'!$C$74,'Model Inputs'!$C$72))</f>
        <v>941.019918477744</v>
      </c>
      <c r="D30" s="74">
        <f t="shared" si="1"/>
        <v>809.59001660643776</v>
      </c>
      <c r="E30" s="76">
        <f>IF(A30="","",'Model Inputs'!$C$75*B30)</f>
        <v>131.4299018713063</v>
      </c>
    </row>
    <row r="31" spans="1:5" ht="18" customHeight="1" x14ac:dyDescent="0.2">
      <c r="A31" s="37">
        <f>IF(A30&gt;='Model Inputs'!$C$74,"",A30+1)</f>
        <v>25</v>
      </c>
      <c r="B31" s="133">
        <f t="shared" si="0"/>
        <v>31450.083191852536</v>
      </c>
      <c r="C31" s="74">
        <f>IF(A31="","",-PMT('Model Inputs'!$C$75,'Model Inputs'!$C$74,'Model Inputs'!$C$72))</f>
        <v>941.019918477744</v>
      </c>
      <c r="D31" s="74">
        <f t="shared" si="1"/>
        <v>812.8883865480982</v>
      </c>
      <c r="E31" s="76">
        <f>IF(A31="","",'Model Inputs'!$C$75*B31)</f>
        <v>128.13153192964575</v>
      </c>
    </row>
    <row r="32" spans="1:5" ht="18" customHeight="1" x14ac:dyDescent="0.2">
      <c r="A32" s="37">
        <f>IF(A31&gt;='Model Inputs'!$C$74,"",A31+1)</f>
        <v>26</v>
      </c>
      <c r="B32" s="133">
        <f t="shared" si="0"/>
        <v>30637.19480530444</v>
      </c>
      <c r="C32" s="74">
        <f>IF(A32="","",-PMT('Model Inputs'!$C$75,'Model Inputs'!$C$74,'Model Inputs'!$C$72))</f>
        <v>941.019918477744</v>
      </c>
      <c r="D32" s="74">
        <f t="shared" si="1"/>
        <v>816.20019445718538</v>
      </c>
      <c r="E32" s="76">
        <f>IF(A32="","",'Model Inputs'!$C$75*B32)</f>
        <v>124.81972402055861</v>
      </c>
    </row>
    <row r="33" spans="1:5" ht="18" customHeight="1" x14ac:dyDescent="0.2">
      <c r="A33" s="37">
        <f>IF(A32&gt;='Model Inputs'!$C$74,"",A32+1)</f>
        <v>27</v>
      </c>
      <c r="B33" s="133">
        <f t="shared" si="0"/>
        <v>29820.994610847254</v>
      </c>
      <c r="C33" s="74">
        <f>IF(A33="","",-PMT('Model Inputs'!$C$75,'Model Inputs'!$C$74,'Model Inputs'!$C$72))</f>
        <v>941.019918477744</v>
      </c>
      <c r="D33" s="74">
        <f t="shared" si="1"/>
        <v>819.52549508164179</v>
      </c>
      <c r="E33" s="76">
        <f>IF(A33="","",'Model Inputs'!$C$75*B33)</f>
        <v>121.49442339610218</v>
      </c>
    </row>
    <row r="34" spans="1:5" ht="18" customHeight="1" x14ac:dyDescent="0.2">
      <c r="A34" s="37">
        <f>IF(A33&gt;='Model Inputs'!$C$74,"",A33+1)</f>
        <v>28</v>
      </c>
      <c r="B34" s="133">
        <f t="shared" si="0"/>
        <v>29001.469115765613</v>
      </c>
      <c r="C34" s="74">
        <f>IF(A34="","",-PMT('Model Inputs'!$C$75,'Model Inputs'!$C$74,'Model Inputs'!$C$72))</f>
        <v>941.019918477744</v>
      </c>
      <c r="D34" s="74">
        <f t="shared" si="1"/>
        <v>822.86434339246011</v>
      </c>
      <c r="E34" s="76">
        <f>IF(A34="","",'Model Inputs'!$C$75*B34)</f>
        <v>118.15557508528387</v>
      </c>
    </row>
    <row r="35" spans="1:5" ht="18" customHeight="1" x14ac:dyDescent="0.2">
      <c r="A35" s="37">
        <f>IF(A34&gt;='Model Inputs'!$C$74,"",A34+1)</f>
        <v>29</v>
      </c>
      <c r="B35" s="133">
        <f t="shared" si="0"/>
        <v>28178.604772373154</v>
      </c>
      <c r="C35" s="74">
        <f>IF(A35="","",-PMT('Model Inputs'!$C$75,'Model Inputs'!$C$74,'Model Inputs'!$C$72))</f>
        <v>941.019918477744</v>
      </c>
      <c r="D35" s="74">
        <f t="shared" si="1"/>
        <v>826.21679458459153</v>
      </c>
      <c r="E35" s="76">
        <f>IF(A35="","",'Model Inputs'!$C$75*B35)</f>
        <v>114.80312389315246</v>
      </c>
    </row>
    <row r="36" spans="1:5" ht="18" customHeight="1" x14ac:dyDescent="0.2">
      <c r="A36" s="37">
        <f>IF(A35&gt;='Model Inputs'!$C$74,"",A35+1)</f>
        <v>30</v>
      </c>
      <c r="B36" s="133">
        <f t="shared" si="0"/>
        <v>27352.387977788563</v>
      </c>
      <c r="C36" s="74">
        <f>IF(A36="","",-PMT('Model Inputs'!$C$75,'Model Inputs'!$C$74,'Model Inputs'!$C$72))</f>
        <v>941.019918477744</v>
      </c>
      <c r="D36" s="74">
        <f t="shared" si="1"/>
        <v>829.5829040778583</v>
      </c>
      <c r="E36" s="76">
        <f>IF(A36="","",'Model Inputs'!$C$75*B36)</f>
        <v>111.43701439988568</v>
      </c>
    </row>
    <row r="37" spans="1:5" ht="18" customHeight="1" x14ac:dyDescent="0.2">
      <c r="A37" s="37">
        <f>IF(A36&gt;='Model Inputs'!$C$74,"",A36+1)</f>
        <v>31</v>
      </c>
      <c r="B37" s="133">
        <f t="shared" si="0"/>
        <v>26522.805073710704</v>
      </c>
      <c r="C37" s="74">
        <f>IF(A37="","",-PMT('Model Inputs'!$C$75,'Model Inputs'!$C$74,'Model Inputs'!$C$72))</f>
        <v>941.019918477744</v>
      </c>
      <c r="D37" s="74">
        <f t="shared" si="1"/>
        <v>832.96272751787001</v>
      </c>
      <c r="E37" s="76">
        <f>IF(A37="","",'Model Inputs'!$C$75*B37)</f>
        <v>108.05719095987401</v>
      </c>
    </row>
    <row r="38" spans="1:5" ht="18" customHeight="1" x14ac:dyDescent="0.2">
      <c r="A38" s="37">
        <f>IF(A37&gt;='Model Inputs'!$C$74,"",A37+1)</f>
        <v>32</v>
      </c>
      <c r="B38" s="133">
        <f t="shared" si="0"/>
        <v>25689.842346192832</v>
      </c>
      <c r="C38" s="74">
        <f>IF(A38="","",-PMT('Model Inputs'!$C$75,'Model Inputs'!$C$74,'Model Inputs'!$C$72))</f>
        <v>941.019918477744</v>
      </c>
      <c r="D38" s="74">
        <f t="shared" si="1"/>
        <v>836.35632077694322</v>
      </c>
      <c r="E38" s="76">
        <f>IF(A38="","",'Model Inputs'!$C$75*B38)</f>
        <v>104.66359770080084</v>
      </c>
    </row>
    <row r="39" spans="1:5" ht="18" customHeight="1" x14ac:dyDescent="0.2">
      <c r="A39" s="37">
        <f>IF(A38&gt;='Model Inputs'!$C$74,"",A38+1)</f>
        <v>33</v>
      </c>
      <c r="B39" s="133">
        <f t="shared" si="0"/>
        <v>24853.486025415888</v>
      </c>
      <c r="C39" s="74">
        <f>IF(A39="","",-PMT('Model Inputs'!$C$75,'Model Inputs'!$C$74,'Model Inputs'!$C$72))</f>
        <v>941.019918477744</v>
      </c>
      <c r="D39" s="74">
        <f t="shared" si="1"/>
        <v>839.76373995502513</v>
      </c>
      <c r="E39" s="76">
        <f>IF(A39="","",'Model Inputs'!$C$75*B39)</f>
        <v>101.25617852271886</v>
      </c>
    </row>
    <row r="40" spans="1:5" ht="18" customHeight="1" x14ac:dyDescent="0.2">
      <c r="A40" s="37">
        <f>IF(A39&gt;='Model Inputs'!$C$74,"",A39+1)</f>
        <v>34</v>
      </c>
      <c r="B40" s="133">
        <f t="shared" si="0"/>
        <v>24013.722285460863</v>
      </c>
      <c r="C40" s="74">
        <f>IF(A40="","",-PMT('Model Inputs'!$C$75,'Model Inputs'!$C$74,'Model Inputs'!$C$72))</f>
        <v>941.019918477744</v>
      </c>
      <c r="D40" s="74">
        <f t="shared" si="1"/>
        <v>843.18504138062144</v>
      </c>
      <c r="E40" s="76">
        <f>IF(A40="","",'Model Inputs'!$C$75*B40)</f>
        <v>97.8348770971226</v>
      </c>
    </row>
    <row r="41" spans="1:5" ht="18" customHeight="1" x14ac:dyDescent="0.2">
      <c r="A41" s="37">
        <f>IF(A40&gt;='Model Inputs'!$C$74,"",A40+1)</f>
        <v>35</v>
      </c>
      <c r="B41" s="133">
        <f t="shared" si="0"/>
        <v>23170.537244080242</v>
      </c>
      <c r="C41" s="74">
        <f>IF(A41="","",-PMT('Model Inputs'!$C$75,'Model Inputs'!$C$74,'Model Inputs'!$C$72))</f>
        <v>941.019918477744</v>
      </c>
      <c r="D41" s="74">
        <f t="shared" si="1"/>
        <v>846.62028161172668</v>
      </c>
      <c r="E41" s="76">
        <f>IF(A41="","",'Model Inputs'!$C$75*B41)</f>
        <v>94.399636866017289</v>
      </c>
    </row>
    <row r="42" spans="1:5" ht="18" customHeight="1" x14ac:dyDescent="0.2">
      <c r="A42" s="37">
        <f>IF(A41&gt;='Model Inputs'!$C$74,"",A41+1)</f>
        <v>36</v>
      </c>
      <c r="B42" s="133">
        <f t="shared" si="0"/>
        <v>22323.916962468516</v>
      </c>
      <c r="C42" s="74">
        <f>IF(A42="","",-PMT('Model Inputs'!$C$75,'Model Inputs'!$C$74,'Model Inputs'!$C$72))</f>
        <v>941.019918477744</v>
      </c>
      <c r="D42" s="74">
        <f t="shared" si="1"/>
        <v>850.06951743676007</v>
      </c>
      <c r="E42" s="76">
        <f>IF(A42="","",'Model Inputs'!$C$75*B42)</f>
        <v>90.950401040983891</v>
      </c>
    </row>
    <row r="43" spans="1:5" ht="18" customHeight="1" x14ac:dyDescent="0.2">
      <c r="A43" s="37">
        <f>IF(A42&gt;='Model Inputs'!$C$74,"",A42+1)</f>
        <v>37</v>
      </c>
      <c r="B43" s="133">
        <f t="shared" si="0"/>
        <v>21473.847445031755</v>
      </c>
      <c r="C43" s="74">
        <f>IF(A43="","",-PMT('Model Inputs'!$C$75,'Model Inputs'!$C$74,'Model Inputs'!$C$72))</f>
        <v>941.019918477744</v>
      </c>
      <c r="D43" s="74">
        <f t="shared" si="1"/>
        <v>853.53280587550375</v>
      </c>
      <c r="E43" s="76">
        <f>IF(A43="","",'Model Inputs'!$C$75*B43)</f>
        <v>87.487112602240302</v>
      </c>
    </row>
    <row r="44" spans="1:5" ht="18" customHeight="1" x14ac:dyDescent="0.2">
      <c r="A44" s="37">
        <f>IF(A43&gt;='Model Inputs'!$C$74,"",A43+1)</f>
        <v>38</v>
      </c>
      <c r="B44" s="133">
        <f t="shared" si="0"/>
        <v>20620.314639156251</v>
      </c>
      <c r="C44" s="74">
        <f>IF(A44="","",-PMT('Model Inputs'!$C$75,'Model Inputs'!$C$74,'Model Inputs'!$C$72))</f>
        <v>941.019918477744</v>
      </c>
      <c r="D44" s="74">
        <f t="shared" si="1"/>
        <v>857.01020418004521</v>
      </c>
      <c r="E44" s="76">
        <f>IF(A44="","",'Model Inputs'!$C$75*B44)</f>
        <v>84.009714297698793</v>
      </c>
    </row>
    <row r="45" spans="1:5" ht="18" customHeight="1" x14ac:dyDescent="0.2">
      <c r="A45" s="37">
        <f>IF(A44&gt;='Model Inputs'!$C$74,"",A44+1)</f>
        <v>39</v>
      </c>
      <c r="B45" s="133">
        <f t="shared" si="0"/>
        <v>19763.304434976206</v>
      </c>
      <c r="C45" s="74">
        <f>IF(A45="","",-PMT('Model Inputs'!$C$75,'Model Inputs'!$C$74,'Model Inputs'!$C$72))</f>
        <v>941.019918477744</v>
      </c>
      <c r="D45" s="74">
        <f t="shared" si="1"/>
        <v>860.50176983572442</v>
      </c>
      <c r="E45" s="76">
        <f>IF(A45="","",'Model Inputs'!$C$75*B45)</f>
        <v>80.51814864201954</v>
      </c>
    </row>
    <row r="46" spans="1:5" ht="18" customHeight="1" x14ac:dyDescent="0.2">
      <c r="A46" s="37">
        <f>IF(A45&gt;='Model Inputs'!$C$74,"",A45+1)</f>
        <v>40</v>
      </c>
      <c r="B46" s="133">
        <f t="shared" si="0"/>
        <v>18902.80266514048</v>
      </c>
      <c r="C46" s="74">
        <f>IF(A46="","",-PMT('Model Inputs'!$C$75,'Model Inputs'!$C$74,'Model Inputs'!$C$72))</f>
        <v>941.019918477744</v>
      </c>
      <c r="D46" s="74">
        <f t="shared" si="1"/>
        <v>864.00756056208365</v>
      </c>
      <c r="E46" s="76">
        <f>IF(A46="","",'Model Inputs'!$C$75*B46)</f>
        <v>77.012357915660317</v>
      </c>
    </row>
    <row r="47" spans="1:5" ht="18" customHeight="1" x14ac:dyDescent="0.2">
      <c r="A47" s="37">
        <f>IF(A46&gt;='Model Inputs'!$C$74,"",A46+1)</f>
        <v>41</v>
      </c>
      <c r="B47" s="133">
        <f t="shared" si="0"/>
        <v>18038.795104578396</v>
      </c>
      <c r="C47" s="74">
        <f>IF(A47="","",-PMT('Model Inputs'!$C$75,'Model Inputs'!$C$74,'Model Inputs'!$C$72))</f>
        <v>941.019918477744</v>
      </c>
      <c r="D47" s="74">
        <f t="shared" si="1"/>
        <v>867.52763431382164</v>
      </c>
      <c r="E47" s="76">
        <f>IF(A47="","",'Model Inputs'!$C$75*B47)</f>
        <v>73.492284163922335</v>
      </c>
    </row>
    <row r="48" spans="1:5" ht="18" customHeight="1" x14ac:dyDescent="0.2">
      <c r="A48" s="37">
        <f>IF(A47&gt;='Model Inputs'!$C$74,"",A47+1)</f>
        <v>42</v>
      </c>
      <c r="B48" s="133">
        <f t="shared" si="0"/>
        <v>17171.267470264575</v>
      </c>
      <c r="C48" s="74">
        <f>IF(A48="","",-PMT('Model Inputs'!$C$75,'Model Inputs'!$C$74,'Model Inputs'!$C$72))</f>
        <v>941.019918477744</v>
      </c>
      <c r="D48" s="74">
        <f t="shared" si="1"/>
        <v>871.0620492817518</v>
      </c>
      <c r="E48" s="76">
        <f>IF(A48="","",'Model Inputs'!$C$75*B48)</f>
        <v>69.957869195992203</v>
      </c>
    </row>
    <row r="49" spans="1:5" ht="18" customHeight="1" x14ac:dyDescent="0.2">
      <c r="A49" s="37">
        <f>IF(A48&gt;='Model Inputs'!$C$74,"",A48+1)</f>
        <v>43</v>
      </c>
      <c r="B49" s="133">
        <f t="shared" si="0"/>
        <v>16300.205420982822</v>
      </c>
      <c r="C49" s="74">
        <f>IF(A49="","",-PMT('Model Inputs'!$C$75,'Model Inputs'!$C$74,'Model Inputs'!$C$72))</f>
        <v>941.019918477744</v>
      </c>
      <c r="D49" s="74">
        <f t="shared" si="1"/>
        <v>874.61086389376408</v>
      </c>
      <c r="E49" s="76">
        <f>IF(A49="","",'Model Inputs'!$C$75*B49)</f>
        <v>66.409054583979938</v>
      </c>
    </row>
    <row r="50" spans="1:5" ht="18" customHeight="1" x14ac:dyDescent="0.2">
      <c r="A50" s="37">
        <f>IF(A49&gt;='Model Inputs'!$C$74,"",A49+1)</f>
        <v>44</v>
      </c>
      <c r="B50" s="133">
        <f t="shared" si="0"/>
        <v>15425.594557089058</v>
      </c>
      <c r="C50" s="74">
        <f>IF(A50="","",-PMT('Model Inputs'!$C$75,'Model Inputs'!$C$74,'Model Inputs'!$C$72))</f>
        <v>941.019918477744</v>
      </c>
      <c r="D50" s="74">
        <f t="shared" si="1"/>
        <v>878.17413681579092</v>
      </c>
      <c r="E50" s="76">
        <f>IF(A50="","",'Model Inputs'!$C$75*B50)</f>
        <v>62.845781661953119</v>
      </c>
    </row>
    <row r="51" spans="1:5" ht="18" customHeight="1" x14ac:dyDescent="0.2">
      <c r="A51" s="37">
        <f>IF(A50&gt;='Model Inputs'!$C$74,"",A50+1)</f>
        <v>45</v>
      </c>
      <c r="B51" s="133">
        <f t="shared" si="0"/>
        <v>14547.420420273267</v>
      </c>
      <c r="C51" s="74">
        <f>IF(A51="","",-PMT('Model Inputs'!$C$75,'Model Inputs'!$C$74,'Model Inputs'!$C$72))</f>
        <v>941.019918477744</v>
      </c>
      <c r="D51" s="74">
        <f t="shared" si="1"/>
        <v>881.75192695277701</v>
      </c>
      <c r="E51" s="76">
        <f>IF(A51="","",'Model Inputs'!$C$75*B51)</f>
        <v>59.267991524967044</v>
      </c>
    </row>
    <row r="52" spans="1:5" ht="18" customHeight="1" x14ac:dyDescent="0.2">
      <c r="A52" s="37">
        <f>IF(A51&gt;='Model Inputs'!$C$74,"",A51+1)</f>
        <v>46</v>
      </c>
      <c r="B52" s="133">
        <f t="shared" si="0"/>
        <v>13665.668493320491</v>
      </c>
      <c r="C52" s="74">
        <f>IF(A52="","",-PMT('Model Inputs'!$C$75,'Model Inputs'!$C$74,'Model Inputs'!$C$72))</f>
        <v>941.019918477744</v>
      </c>
      <c r="D52" s="74">
        <f t="shared" si="1"/>
        <v>885.34429344965304</v>
      </c>
      <c r="E52" s="76">
        <f>IF(A52="","",'Model Inputs'!$C$75*B52)</f>
        <v>55.67562502809097</v>
      </c>
    </row>
    <row r="53" spans="1:5" ht="18" customHeight="1" x14ac:dyDescent="0.2">
      <c r="A53" s="37">
        <f>IF(A52&gt;='Model Inputs'!$C$74,"",A52+1)</f>
        <v>47</v>
      </c>
      <c r="B53" s="133">
        <f t="shared" si="0"/>
        <v>12780.324199870838</v>
      </c>
      <c r="C53" s="74">
        <f>IF(A53="","",-PMT('Model Inputs'!$C$75,'Model Inputs'!$C$74,'Model Inputs'!$C$72))</f>
        <v>941.019918477744</v>
      </c>
      <c r="D53" s="74">
        <f t="shared" si="1"/>
        <v>888.95129569231358</v>
      </c>
      <c r="E53" s="76">
        <f>IF(A53="","",'Model Inputs'!$C$75*B53)</f>
        <v>52.068622785430392</v>
      </c>
    </row>
    <row r="54" spans="1:5" ht="18" customHeight="1" x14ac:dyDescent="0.2">
      <c r="A54" s="37">
        <f>IF(A53&gt;='Model Inputs'!$C$74,"",A53+1)</f>
        <v>48</v>
      </c>
      <c r="B54" s="133">
        <f t="shared" si="0"/>
        <v>11891.372904178525</v>
      </c>
      <c r="C54" s="74">
        <f>IF(A54="","",-PMT('Model Inputs'!$C$75,'Model Inputs'!$C$74,'Model Inputs'!$C$72))</f>
        <v>941.019918477744</v>
      </c>
      <c r="D54" s="74">
        <f t="shared" si="1"/>
        <v>892.57299330859871</v>
      </c>
      <c r="E54" s="76">
        <f>IF(A54="","",'Model Inputs'!$C$75*B54)</f>
        <v>48.446925169145317</v>
      </c>
    </row>
    <row r="55" spans="1:5" ht="18" customHeight="1" x14ac:dyDescent="0.2">
      <c r="A55" s="37">
        <f>IF(A54&gt;='Model Inputs'!$C$74,"",A54+1)</f>
        <v>49</v>
      </c>
      <c r="B55" s="133">
        <f t="shared" si="0"/>
        <v>10998.799910869926</v>
      </c>
      <c r="C55" s="74">
        <f>IF(A55="","",-PMT('Model Inputs'!$C$75,'Model Inputs'!$C$74,'Model Inputs'!$C$72))</f>
        <v>941.019918477744</v>
      </c>
      <c r="D55" s="74">
        <f t="shared" si="1"/>
        <v>896.20944616927943</v>
      </c>
      <c r="E55" s="76">
        <f>IF(A55="","",'Model Inputs'!$C$75*B55)</f>
        <v>44.810472308464554</v>
      </c>
    </row>
    <row r="56" spans="1:5" ht="18" customHeight="1" x14ac:dyDescent="0.2">
      <c r="A56" s="37">
        <f>IF(A55&gt;='Model Inputs'!$C$74,"",A55+1)</f>
        <v>50</v>
      </c>
      <c r="B56" s="133">
        <f t="shared" si="0"/>
        <v>10102.590464700646</v>
      </c>
      <c r="C56" s="74">
        <f>IF(A56="","",-PMT('Model Inputs'!$C$75,'Model Inputs'!$C$74,'Model Inputs'!$C$72))</f>
        <v>941.019918477744</v>
      </c>
      <c r="D56" s="74">
        <f t="shared" si="1"/>
        <v>899.86071438904798</v>
      </c>
      <c r="E56" s="76">
        <f>IF(A56="","",'Model Inputs'!$C$75*B56)</f>
        <v>41.159204088695972</v>
      </c>
    </row>
    <row r="57" spans="1:5" ht="18" customHeight="1" x14ac:dyDescent="0.2">
      <c r="A57" s="37">
        <f>IF(A56&gt;='Model Inputs'!$C$74,"",A56+1)</f>
        <v>51</v>
      </c>
      <c r="B57" s="133">
        <f t="shared" si="0"/>
        <v>9202.7297503115988</v>
      </c>
      <c r="C57" s="74">
        <f>IF(A57="","",-PMT('Model Inputs'!$C$75,'Model Inputs'!$C$74,'Model Inputs'!$C$72))</f>
        <v>941.019918477744</v>
      </c>
      <c r="D57" s="74">
        <f t="shared" si="1"/>
        <v>903.52685832751126</v>
      </c>
      <c r="E57" s="76">
        <f>IF(A57="","",'Model Inputs'!$C$75*B57)</f>
        <v>37.493060150232758</v>
      </c>
    </row>
    <row r="58" spans="1:5" ht="18" customHeight="1" x14ac:dyDescent="0.2">
      <c r="A58" s="37">
        <f>IF(A57&gt;='Model Inputs'!$C$74,"",A57+1)</f>
        <v>52</v>
      </c>
      <c r="B58" s="133">
        <f t="shared" si="0"/>
        <v>8299.2028919840868</v>
      </c>
      <c r="C58" s="74">
        <f>IF(A58="","",-PMT('Model Inputs'!$C$75,'Model Inputs'!$C$74,'Model Inputs'!$C$72))</f>
        <v>941.019918477744</v>
      </c>
      <c r="D58" s="74">
        <f t="shared" si="1"/>
        <v>907.20793859018841</v>
      </c>
      <c r="E58" s="76">
        <f>IF(A58="","",'Model Inputs'!$C$75*B58)</f>
        <v>33.811979887555566</v>
      </c>
    </row>
    <row r="59" spans="1:5" ht="18" customHeight="1" x14ac:dyDescent="0.2">
      <c r="A59" s="37">
        <f>IF(A58&gt;='Model Inputs'!$C$74,"",A58+1)</f>
        <v>53</v>
      </c>
      <c r="B59" s="133">
        <f t="shared" si="0"/>
        <v>7391.994953393898</v>
      </c>
      <c r="C59" s="74">
        <f>IF(A59="","",-PMT('Model Inputs'!$C$75,'Model Inputs'!$C$74,'Model Inputs'!$C$72))</f>
        <v>941.019918477744</v>
      </c>
      <c r="D59" s="74">
        <f t="shared" si="1"/>
        <v>910.90401602951329</v>
      </c>
      <c r="E59" s="76">
        <f>IF(A59="","",'Model Inputs'!$C$75*B59)</f>
        <v>30.115902448230681</v>
      </c>
    </row>
    <row r="60" spans="1:5" ht="18" customHeight="1" x14ac:dyDescent="0.2">
      <c r="A60" s="37">
        <f>IF(A59&gt;='Model Inputs'!$C$74,"",A59+1)</f>
        <v>54</v>
      </c>
      <c r="B60" s="133">
        <f t="shared" si="0"/>
        <v>6481.0909373643844</v>
      </c>
      <c r="C60" s="74">
        <f>IF(A60="","",-PMT('Model Inputs'!$C$75,'Model Inputs'!$C$74,'Model Inputs'!$C$72))</f>
        <v>941.019918477744</v>
      </c>
      <c r="D60" s="74">
        <f t="shared" si="1"/>
        <v>914.61515174583997</v>
      </c>
      <c r="E60" s="76">
        <f>IF(A60="","",'Model Inputs'!$C$75*B60)</f>
        <v>26.40476673190404</v>
      </c>
    </row>
    <row r="61" spans="1:5" ht="18" customHeight="1" x14ac:dyDescent="0.2">
      <c r="A61" s="37">
        <f>IF(A60&gt;='Model Inputs'!$C$74,"",A60+1)</f>
        <v>55</v>
      </c>
      <c r="B61" s="133">
        <f t="shared" si="0"/>
        <v>5566.4757856185443</v>
      </c>
      <c r="C61" s="74">
        <f>IF(A61="","",-PMT('Model Inputs'!$C$75,'Model Inputs'!$C$74,'Model Inputs'!$C$72))</f>
        <v>941.019918477744</v>
      </c>
      <c r="D61" s="74">
        <f t="shared" si="1"/>
        <v>918.3414070884528</v>
      </c>
      <c r="E61" s="76">
        <f>IF(A61="","",'Model Inputs'!$C$75*B61)</f>
        <v>22.678511389291163</v>
      </c>
    </row>
    <row r="62" spans="1:5" ht="18" customHeight="1" x14ac:dyDescent="0.2">
      <c r="A62" s="37">
        <f>IF(A61&gt;='Model Inputs'!$C$74,"",A61+1)</f>
        <v>56</v>
      </c>
      <c r="B62" s="133">
        <f t="shared" si="0"/>
        <v>4648.1343785300915</v>
      </c>
      <c r="C62" s="74">
        <f>IF(A62="","",-PMT('Model Inputs'!$C$75,'Model Inputs'!$C$74,'Model Inputs'!$C$72))</f>
        <v>941.019918477744</v>
      </c>
      <c r="D62" s="74">
        <f t="shared" si="1"/>
        <v>922.08284365658096</v>
      </c>
      <c r="E62" s="76">
        <f>IF(A62="","",'Model Inputs'!$C$75*B62)</f>
        <v>18.937074821163005</v>
      </c>
    </row>
    <row r="63" spans="1:5" ht="18" customHeight="1" x14ac:dyDescent="0.2">
      <c r="A63" s="37">
        <f>IF(A62&gt;='Model Inputs'!$C$74,"",A62+1)</f>
        <v>57</v>
      </c>
      <c r="B63" s="133">
        <f t="shared" si="0"/>
        <v>3726.0515348735107</v>
      </c>
      <c r="C63" s="74">
        <f>IF(A63="","",-PMT('Model Inputs'!$C$75,'Model Inputs'!$C$74,'Model Inputs'!$C$72))</f>
        <v>941.019918477744</v>
      </c>
      <c r="D63" s="74">
        <f t="shared" si="1"/>
        <v>925.83952330041643</v>
      </c>
      <c r="E63" s="76">
        <f>IF(A63="","",'Model Inputs'!$C$75*B63)</f>
        <v>15.180395177327622</v>
      </c>
    </row>
    <row r="64" spans="1:5" ht="18" customHeight="1" x14ac:dyDescent="0.2">
      <c r="A64" s="37">
        <f>IF(A63&gt;='Model Inputs'!$C$74,"",A63+1)</f>
        <v>58</v>
      </c>
      <c r="B64" s="133">
        <f t="shared" si="0"/>
        <v>2800.2120115730941</v>
      </c>
      <c r="C64" s="74">
        <f>IF(A64="","",-PMT('Model Inputs'!$C$75,'Model Inputs'!$C$74,'Model Inputs'!$C$72))</f>
        <v>941.019918477744</v>
      </c>
      <c r="D64" s="74">
        <f t="shared" si="1"/>
        <v>929.61150812213623</v>
      </c>
      <c r="E64" s="76">
        <f>IF(A64="","",'Model Inputs'!$C$75*B64)</f>
        <v>11.408410355607741</v>
      </c>
    </row>
    <row r="65" spans="1:5" ht="18" customHeight="1" x14ac:dyDescent="0.2">
      <c r="A65" s="37">
        <f>IF(A64&gt;='Model Inputs'!$C$74,"",A64+1)</f>
        <v>59</v>
      </c>
      <c r="B65" s="133">
        <f t="shared" si="0"/>
        <v>1870.6005034509578</v>
      </c>
      <c r="C65" s="74">
        <f>IF(A65="","",-PMT('Model Inputs'!$C$75,'Model Inputs'!$C$74,'Model Inputs'!$C$72))</f>
        <v>941.019918477744</v>
      </c>
      <c r="D65" s="74">
        <f t="shared" si="1"/>
        <v>933.39886047692983</v>
      </c>
      <c r="E65" s="76">
        <f>IF(A65="","",'Model Inputs'!$C$75*B65)</f>
        <v>7.6210580008141315</v>
      </c>
    </row>
    <row r="66" spans="1:5" ht="18" customHeight="1" x14ac:dyDescent="0.2">
      <c r="A66" s="37">
        <f>IF(A65&gt;='Model Inputs'!$C$74,"",A65+1)</f>
        <v>60</v>
      </c>
      <c r="B66" s="133">
        <f t="shared" si="0"/>
        <v>937.201642974028</v>
      </c>
      <c r="C66" s="74">
        <f>IF(A66="","",-PMT('Model Inputs'!$C$75,'Model Inputs'!$C$74,'Model Inputs'!$C$72))</f>
        <v>941.019918477744</v>
      </c>
      <c r="D66" s="74">
        <f t="shared" si="1"/>
        <v>937.20164297402926</v>
      </c>
      <c r="E66" s="76">
        <f>IF(A66="","",'Model Inputs'!$C$75*B66)</f>
        <v>3.8182755037148004</v>
      </c>
    </row>
    <row r="67" spans="1:5" ht="18" customHeight="1" x14ac:dyDescent="0.2">
      <c r="A67" s="37" t="str">
        <f>IF(A66&gt;='Model Inputs'!$C$74,"",A66+1)</f>
        <v/>
      </c>
      <c r="B67" s="67" t="str">
        <f t="shared" si="0"/>
        <v/>
      </c>
      <c r="C67" s="74" t="str">
        <f>IF(A67="","",-PMT('Model Inputs'!$C$75,'Model Inputs'!$C$74,'Model Inputs'!$C$72))</f>
        <v/>
      </c>
      <c r="D67" s="74" t="str">
        <f t="shared" si="1"/>
        <v/>
      </c>
      <c r="E67" s="76" t="str">
        <f>IF(A67="","",'Model Inputs'!$C$75*B67)</f>
        <v/>
      </c>
    </row>
    <row r="68" spans="1:5" ht="18" customHeight="1" x14ac:dyDescent="0.2">
      <c r="A68" s="37" t="str">
        <f>IF(A67&gt;='Model Inputs'!$C$74,"",A67+1)</f>
        <v/>
      </c>
      <c r="B68" s="67" t="str">
        <f t="shared" si="0"/>
        <v/>
      </c>
      <c r="C68" s="74" t="str">
        <f>IF(A68="","",-PMT('Model Inputs'!$C$75,'Model Inputs'!$C$74,'Model Inputs'!$C$72))</f>
        <v/>
      </c>
      <c r="D68" s="74" t="str">
        <f t="shared" si="1"/>
        <v/>
      </c>
      <c r="E68" s="76" t="str">
        <f>IF(A68="","",'Model Inputs'!$C$75*B68)</f>
        <v/>
      </c>
    </row>
    <row r="69" spans="1:5" ht="18" customHeight="1" x14ac:dyDescent="0.2">
      <c r="A69" s="37" t="str">
        <f>IF(A68&gt;='Model Inputs'!$C$74,"",A68+1)</f>
        <v/>
      </c>
      <c r="B69" s="67" t="str">
        <f t="shared" si="0"/>
        <v/>
      </c>
      <c r="C69" s="74" t="str">
        <f>IF(A69="","",-PMT('Model Inputs'!$C$75,'Model Inputs'!$C$74,'Model Inputs'!$C$72))</f>
        <v/>
      </c>
      <c r="D69" s="74" t="str">
        <f t="shared" si="1"/>
        <v/>
      </c>
      <c r="E69" s="76" t="str">
        <f>IF(A69="","",'Model Inputs'!$C$75*B69)</f>
        <v/>
      </c>
    </row>
    <row r="70" spans="1:5" ht="18" customHeight="1" x14ac:dyDescent="0.2">
      <c r="A70" s="37" t="str">
        <f>IF(A69&gt;='Model Inputs'!$C$74,"",A69+1)</f>
        <v/>
      </c>
      <c r="B70" s="67" t="str">
        <f t="shared" si="0"/>
        <v/>
      </c>
      <c r="C70" s="74" t="str">
        <f>IF(A70="","",-PMT('Model Inputs'!$C$75,'Model Inputs'!$C$74,'Model Inputs'!$C$72))</f>
        <v/>
      </c>
      <c r="D70" s="74" t="str">
        <f t="shared" si="1"/>
        <v/>
      </c>
      <c r="E70" s="76" t="str">
        <f>IF(A70="","",'Model Inputs'!$C$75*B70)</f>
        <v/>
      </c>
    </row>
    <row r="71" spans="1:5" ht="18" customHeight="1" x14ac:dyDescent="0.2">
      <c r="A71" s="37" t="str">
        <f>IF(A70&gt;='Model Inputs'!$C$74,"",A70+1)</f>
        <v/>
      </c>
      <c r="B71" s="67" t="str">
        <f t="shared" si="0"/>
        <v/>
      </c>
      <c r="C71" s="74" t="str">
        <f>IF(A71="","",-PMT('Model Inputs'!$C$75,'Model Inputs'!$C$74,'Model Inputs'!$C$72))</f>
        <v/>
      </c>
      <c r="D71" s="74" t="str">
        <f t="shared" si="1"/>
        <v/>
      </c>
      <c r="E71" s="76" t="str">
        <f>IF(A71="","",'Model Inputs'!$C$75*B71)</f>
        <v/>
      </c>
    </row>
    <row r="72" spans="1:5" ht="18" customHeight="1" x14ac:dyDescent="0.2">
      <c r="A72" s="37" t="str">
        <f>IF(A71&gt;='Model Inputs'!$C$74,"",A71+1)</f>
        <v/>
      </c>
      <c r="B72" s="67" t="str">
        <f t="shared" ref="B72:B135" si="2">IF(A72="","",B71-D71)</f>
        <v/>
      </c>
      <c r="C72" s="74" t="str">
        <f>IF(A72="","",-PMT('Model Inputs'!$C$75,'Model Inputs'!$C$74,'Model Inputs'!$C$72))</f>
        <v/>
      </c>
      <c r="D72" s="74" t="str">
        <f t="shared" ref="D72:D135" si="3">IF(A72="","",C72-E72)</f>
        <v/>
      </c>
      <c r="E72" s="76" t="str">
        <f>IF(A72="","",'Model Inputs'!$C$75*B72)</f>
        <v/>
      </c>
    </row>
    <row r="73" spans="1:5" ht="18" customHeight="1" x14ac:dyDescent="0.2">
      <c r="A73" s="37" t="str">
        <f>IF(A72&gt;='Model Inputs'!$C$74,"",A72+1)</f>
        <v/>
      </c>
      <c r="B73" s="67" t="str">
        <f t="shared" si="2"/>
        <v/>
      </c>
      <c r="C73" s="74" t="str">
        <f>IF(A73="","",-PMT('Model Inputs'!$C$75,'Model Inputs'!$C$74,'Model Inputs'!$C$72))</f>
        <v/>
      </c>
      <c r="D73" s="74" t="str">
        <f t="shared" si="3"/>
        <v/>
      </c>
      <c r="E73" s="76" t="str">
        <f>IF(A73="","",'Model Inputs'!$C$75*B73)</f>
        <v/>
      </c>
    </row>
    <row r="74" spans="1:5" ht="18" customHeight="1" x14ac:dyDescent="0.2">
      <c r="A74" s="37" t="str">
        <f>IF(A73&gt;='Model Inputs'!$C$74,"",A73+1)</f>
        <v/>
      </c>
      <c r="B74" s="67" t="str">
        <f t="shared" si="2"/>
        <v/>
      </c>
      <c r="C74" s="74" t="str">
        <f>IF(A74="","",-PMT('Model Inputs'!$C$75,'Model Inputs'!$C$74,'Model Inputs'!$C$72))</f>
        <v/>
      </c>
      <c r="D74" s="74" t="str">
        <f t="shared" si="3"/>
        <v/>
      </c>
      <c r="E74" s="76" t="str">
        <f>IF(A74="","",'Model Inputs'!$C$75*B74)</f>
        <v/>
      </c>
    </row>
    <row r="75" spans="1:5" ht="18" customHeight="1" x14ac:dyDescent="0.2">
      <c r="A75" s="37" t="str">
        <f>IF(A74&gt;='Model Inputs'!$C$74,"",A74+1)</f>
        <v/>
      </c>
      <c r="B75" s="67" t="str">
        <f t="shared" si="2"/>
        <v/>
      </c>
      <c r="C75" s="74" t="str">
        <f>IF(A75="","",-PMT('Model Inputs'!$C$75,'Model Inputs'!$C$74,'Model Inputs'!$C$72))</f>
        <v/>
      </c>
      <c r="D75" s="74" t="str">
        <f t="shared" si="3"/>
        <v/>
      </c>
      <c r="E75" s="76" t="str">
        <f>IF(A75="","",'Model Inputs'!$C$75*B75)</f>
        <v/>
      </c>
    </row>
    <row r="76" spans="1:5" ht="18" customHeight="1" x14ac:dyDescent="0.2">
      <c r="A76" s="37" t="str">
        <f>IF(A75&gt;='Model Inputs'!$C$74,"",A75+1)</f>
        <v/>
      </c>
      <c r="B76" s="67" t="str">
        <f t="shared" si="2"/>
        <v/>
      </c>
      <c r="C76" s="74" t="str">
        <f>IF(A76="","",-PMT('Model Inputs'!$C$75,'Model Inputs'!$C$74,'Model Inputs'!$C$72))</f>
        <v/>
      </c>
      <c r="D76" s="74" t="str">
        <f t="shared" si="3"/>
        <v/>
      </c>
      <c r="E76" s="76" t="str">
        <f>IF(A76="","",'Model Inputs'!$C$75*B76)</f>
        <v/>
      </c>
    </row>
    <row r="77" spans="1:5" ht="18" customHeight="1" x14ac:dyDescent="0.2">
      <c r="A77" s="37" t="str">
        <f>IF(A76&gt;='Model Inputs'!$C$74,"",A76+1)</f>
        <v/>
      </c>
      <c r="B77" s="67" t="str">
        <f t="shared" si="2"/>
        <v/>
      </c>
      <c r="C77" s="74" t="str">
        <f>IF(A77="","",-PMT('Model Inputs'!$C$75,'Model Inputs'!$C$74,'Model Inputs'!$C$72))</f>
        <v/>
      </c>
      <c r="D77" s="74" t="str">
        <f t="shared" si="3"/>
        <v/>
      </c>
      <c r="E77" s="76" t="str">
        <f>IF(A77="","",'Model Inputs'!$C$75*B77)</f>
        <v/>
      </c>
    </row>
    <row r="78" spans="1:5" ht="18" customHeight="1" x14ac:dyDescent="0.2">
      <c r="A78" s="37" t="str">
        <f>IF(A77&gt;='Model Inputs'!$C$74,"",A77+1)</f>
        <v/>
      </c>
      <c r="B78" s="67" t="str">
        <f t="shared" si="2"/>
        <v/>
      </c>
      <c r="C78" s="74" t="str">
        <f>IF(A78="","",-PMT('Model Inputs'!$C$75,'Model Inputs'!$C$74,'Model Inputs'!$C$72))</f>
        <v/>
      </c>
      <c r="D78" s="74" t="str">
        <f t="shared" si="3"/>
        <v/>
      </c>
      <c r="E78" s="76" t="str">
        <f>IF(A78="","",'Model Inputs'!$C$75*B78)</f>
        <v/>
      </c>
    </row>
    <row r="79" spans="1:5" ht="18" customHeight="1" x14ac:dyDescent="0.2">
      <c r="A79" s="37" t="str">
        <f>IF(A78&gt;='Model Inputs'!$C$74,"",A78+1)</f>
        <v/>
      </c>
      <c r="B79" s="67" t="str">
        <f t="shared" si="2"/>
        <v/>
      </c>
      <c r="C79" s="74" t="str">
        <f>IF(A79="","",-PMT('Model Inputs'!$C$75,'Model Inputs'!$C$74,'Model Inputs'!$C$72))</f>
        <v/>
      </c>
      <c r="D79" s="74" t="str">
        <f t="shared" si="3"/>
        <v/>
      </c>
      <c r="E79" s="76" t="str">
        <f>IF(A79="","",'Model Inputs'!$C$75*B79)</f>
        <v/>
      </c>
    </row>
    <row r="80" spans="1:5" ht="18" customHeight="1" x14ac:dyDescent="0.2">
      <c r="A80" s="37" t="str">
        <f>IF(A79&gt;='Model Inputs'!$C$74,"",A79+1)</f>
        <v/>
      </c>
      <c r="B80" s="67" t="str">
        <f t="shared" si="2"/>
        <v/>
      </c>
      <c r="C80" s="74" t="str">
        <f>IF(A80="","",-PMT('Model Inputs'!$C$75,'Model Inputs'!$C$74,'Model Inputs'!$C$72))</f>
        <v/>
      </c>
      <c r="D80" s="74" t="str">
        <f t="shared" si="3"/>
        <v/>
      </c>
      <c r="E80" s="76" t="str">
        <f>IF(A80="","",'Model Inputs'!$C$75*B80)</f>
        <v/>
      </c>
    </row>
    <row r="81" spans="1:5" ht="18" customHeight="1" x14ac:dyDescent="0.2">
      <c r="A81" s="37" t="str">
        <f>IF(A80&gt;='Model Inputs'!$C$74,"",A80+1)</f>
        <v/>
      </c>
      <c r="B81" s="67" t="str">
        <f t="shared" si="2"/>
        <v/>
      </c>
      <c r="C81" s="74" t="str">
        <f>IF(A81="","",-PMT('Model Inputs'!$C$75,'Model Inputs'!$C$74,'Model Inputs'!$C$72))</f>
        <v/>
      </c>
      <c r="D81" s="74" t="str">
        <f t="shared" si="3"/>
        <v/>
      </c>
      <c r="E81" s="76" t="str">
        <f>IF(A81="","",'Model Inputs'!$C$75*B81)</f>
        <v/>
      </c>
    </row>
    <row r="82" spans="1:5" ht="18" customHeight="1" x14ac:dyDescent="0.2">
      <c r="A82" s="37" t="str">
        <f>IF(A81&gt;='Model Inputs'!$C$74,"",A81+1)</f>
        <v/>
      </c>
      <c r="B82" s="67" t="str">
        <f t="shared" si="2"/>
        <v/>
      </c>
      <c r="C82" s="74" t="str">
        <f>IF(A82="","",-PMT('Model Inputs'!$C$75,'Model Inputs'!$C$74,'Model Inputs'!$C$72))</f>
        <v/>
      </c>
      <c r="D82" s="74" t="str">
        <f t="shared" si="3"/>
        <v/>
      </c>
      <c r="E82" s="76" t="str">
        <f>IF(A82="","",'Model Inputs'!$C$75*B82)</f>
        <v/>
      </c>
    </row>
    <row r="83" spans="1:5" ht="18" customHeight="1" x14ac:dyDescent="0.2">
      <c r="A83" s="37" t="str">
        <f>IF(A82&gt;='Model Inputs'!$C$74,"",A82+1)</f>
        <v/>
      </c>
      <c r="B83" s="67" t="str">
        <f t="shared" si="2"/>
        <v/>
      </c>
      <c r="C83" s="74" t="str">
        <f>IF(A83="","",-PMT('Model Inputs'!$C$75,'Model Inputs'!$C$74,'Model Inputs'!$C$72))</f>
        <v/>
      </c>
      <c r="D83" s="74" t="str">
        <f t="shared" si="3"/>
        <v/>
      </c>
      <c r="E83" s="76" t="str">
        <f>IF(A83="","",'Model Inputs'!$C$75*B83)</f>
        <v/>
      </c>
    </row>
    <row r="84" spans="1:5" ht="18" customHeight="1" x14ac:dyDescent="0.2">
      <c r="A84" s="37" t="str">
        <f>IF(A83&gt;='Model Inputs'!$C$74,"",A83+1)</f>
        <v/>
      </c>
      <c r="B84" s="67" t="str">
        <f t="shared" si="2"/>
        <v/>
      </c>
      <c r="C84" s="74" t="str">
        <f>IF(A84="","",-PMT('Model Inputs'!$C$75,'Model Inputs'!$C$74,'Model Inputs'!$C$72))</f>
        <v/>
      </c>
      <c r="D84" s="74" t="str">
        <f t="shared" si="3"/>
        <v/>
      </c>
      <c r="E84" s="76" t="str">
        <f>IF(A84="","",'Model Inputs'!$C$75*B84)</f>
        <v/>
      </c>
    </row>
    <row r="85" spans="1:5" ht="18" customHeight="1" x14ac:dyDescent="0.2">
      <c r="A85" s="37" t="str">
        <f>IF(A84&gt;='Model Inputs'!$C$74,"",A84+1)</f>
        <v/>
      </c>
      <c r="B85" s="67" t="str">
        <f t="shared" si="2"/>
        <v/>
      </c>
      <c r="C85" s="74" t="str">
        <f>IF(A85="","",-PMT('Model Inputs'!$C$75,'Model Inputs'!$C$74,'Model Inputs'!$C$72))</f>
        <v/>
      </c>
      <c r="D85" s="74" t="str">
        <f t="shared" si="3"/>
        <v/>
      </c>
      <c r="E85" s="76" t="str">
        <f>IF(A85="","",'Model Inputs'!$C$75*B85)</f>
        <v/>
      </c>
    </row>
    <row r="86" spans="1:5" ht="18" customHeight="1" x14ac:dyDescent="0.2">
      <c r="A86" s="37" t="str">
        <f>IF(A85&gt;='Model Inputs'!$C$74,"",A85+1)</f>
        <v/>
      </c>
      <c r="B86" s="67" t="str">
        <f t="shared" si="2"/>
        <v/>
      </c>
      <c r="C86" s="74" t="str">
        <f>IF(A86="","",-PMT('Model Inputs'!$C$75,'Model Inputs'!$C$74,'Model Inputs'!$C$72))</f>
        <v/>
      </c>
      <c r="D86" s="74" t="str">
        <f t="shared" si="3"/>
        <v/>
      </c>
      <c r="E86" s="76" t="str">
        <f>IF(A86="","",'Model Inputs'!$C$75*B86)</f>
        <v/>
      </c>
    </row>
    <row r="87" spans="1:5" ht="18" customHeight="1" x14ac:dyDescent="0.2">
      <c r="A87" s="37" t="str">
        <f>IF(A86&gt;='Model Inputs'!$C$74,"",A86+1)</f>
        <v/>
      </c>
      <c r="B87" s="67" t="str">
        <f t="shared" si="2"/>
        <v/>
      </c>
      <c r="C87" s="74" t="str">
        <f>IF(A87="","",-PMT('Model Inputs'!$C$75,'Model Inputs'!$C$74,'Model Inputs'!$C$72))</f>
        <v/>
      </c>
      <c r="D87" s="74" t="str">
        <f t="shared" si="3"/>
        <v/>
      </c>
      <c r="E87" s="76" t="str">
        <f>IF(A87="","",'Model Inputs'!$C$75*B87)</f>
        <v/>
      </c>
    </row>
    <row r="88" spans="1:5" ht="18" customHeight="1" x14ac:dyDescent="0.2">
      <c r="A88" s="37" t="str">
        <f>IF(A87&gt;='Model Inputs'!$C$74,"",A87+1)</f>
        <v/>
      </c>
      <c r="B88" s="67" t="str">
        <f t="shared" si="2"/>
        <v/>
      </c>
      <c r="C88" s="74" t="str">
        <f>IF(A88="","",-PMT('Model Inputs'!$C$75,'Model Inputs'!$C$74,'Model Inputs'!$C$72))</f>
        <v/>
      </c>
      <c r="D88" s="74" t="str">
        <f t="shared" si="3"/>
        <v/>
      </c>
      <c r="E88" s="76" t="str">
        <f>IF(A88="","",'Model Inputs'!$C$75*B88)</f>
        <v/>
      </c>
    </row>
    <row r="89" spans="1:5" ht="18" customHeight="1" x14ac:dyDescent="0.2">
      <c r="A89" s="37" t="str">
        <f>IF(A88&gt;='Model Inputs'!$C$74,"",A88+1)</f>
        <v/>
      </c>
      <c r="B89" s="67" t="str">
        <f t="shared" si="2"/>
        <v/>
      </c>
      <c r="C89" s="74" t="str">
        <f>IF(A89="","",-PMT('Model Inputs'!$C$75,'Model Inputs'!$C$74,'Model Inputs'!$C$72))</f>
        <v/>
      </c>
      <c r="D89" s="74" t="str">
        <f t="shared" si="3"/>
        <v/>
      </c>
      <c r="E89" s="76" t="str">
        <f>IF(A89="","",'Model Inputs'!$C$75*B89)</f>
        <v/>
      </c>
    </row>
    <row r="90" spans="1:5" ht="18" customHeight="1" x14ac:dyDescent="0.2">
      <c r="A90" s="37" t="str">
        <f>IF(A89&gt;='Model Inputs'!$C$74,"",A89+1)</f>
        <v/>
      </c>
      <c r="B90" s="67" t="str">
        <f t="shared" si="2"/>
        <v/>
      </c>
      <c r="C90" s="74" t="str">
        <f>IF(A90="","",-PMT('Model Inputs'!$C$75,'Model Inputs'!$C$74,'Model Inputs'!$C$72))</f>
        <v/>
      </c>
      <c r="D90" s="74" t="str">
        <f t="shared" si="3"/>
        <v/>
      </c>
      <c r="E90" s="76" t="str">
        <f>IF(A90="","",'Model Inputs'!$C$75*B90)</f>
        <v/>
      </c>
    </row>
    <row r="91" spans="1:5" ht="18" customHeight="1" x14ac:dyDescent="0.2">
      <c r="A91" s="37" t="str">
        <f>IF(A90&gt;='Model Inputs'!$C$74,"",A90+1)</f>
        <v/>
      </c>
      <c r="B91" s="67" t="str">
        <f t="shared" si="2"/>
        <v/>
      </c>
      <c r="C91" s="74" t="str">
        <f>IF(A91="","",-PMT('Model Inputs'!$C$75,'Model Inputs'!$C$74,'Model Inputs'!$C$72))</f>
        <v/>
      </c>
      <c r="D91" s="74" t="str">
        <f t="shared" si="3"/>
        <v/>
      </c>
      <c r="E91" s="76" t="str">
        <f>IF(A91="","",'Model Inputs'!$C$75*B91)</f>
        <v/>
      </c>
    </row>
    <row r="92" spans="1:5" ht="18" customHeight="1" x14ac:dyDescent="0.2">
      <c r="A92" s="37" t="str">
        <f>IF(A91&gt;='Model Inputs'!$C$74,"",A91+1)</f>
        <v/>
      </c>
      <c r="B92" s="67" t="str">
        <f t="shared" si="2"/>
        <v/>
      </c>
      <c r="C92" s="74" t="str">
        <f>IF(A92="","",-PMT('Model Inputs'!$C$75,'Model Inputs'!$C$74,'Model Inputs'!$C$72))</f>
        <v/>
      </c>
      <c r="D92" s="74" t="str">
        <f t="shared" si="3"/>
        <v/>
      </c>
      <c r="E92" s="76" t="str">
        <f>IF(A92="","",'Model Inputs'!$C$75*B92)</f>
        <v/>
      </c>
    </row>
    <row r="93" spans="1:5" ht="18" customHeight="1" x14ac:dyDescent="0.2">
      <c r="A93" s="37" t="str">
        <f>IF(A92&gt;='Model Inputs'!$C$74,"",A92+1)</f>
        <v/>
      </c>
      <c r="B93" s="67" t="str">
        <f t="shared" si="2"/>
        <v/>
      </c>
      <c r="C93" s="74" t="str">
        <f>IF(A93="","",-PMT('Model Inputs'!$C$75,'Model Inputs'!$C$74,'Model Inputs'!$C$72))</f>
        <v/>
      </c>
      <c r="D93" s="74" t="str">
        <f t="shared" si="3"/>
        <v/>
      </c>
      <c r="E93" s="76" t="str">
        <f>IF(A93="","",'Model Inputs'!$C$75*B93)</f>
        <v/>
      </c>
    </row>
    <row r="94" spans="1:5" ht="18" customHeight="1" x14ac:dyDescent="0.2">
      <c r="A94" s="37" t="str">
        <f>IF(A93&gt;='Model Inputs'!$C$74,"",A93+1)</f>
        <v/>
      </c>
      <c r="B94" s="67" t="str">
        <f t="shared" si="2"/>
        <v/>
      </c>
      <c r="C94" s="74" t="str">
        <f>IF(A94="","",-PMT('Model Inputs'!$C$75,'Model Inputs'!$C$74,'Model Inputs'!$C$72))</f>
        <v/>
      </c>
      <c r="D94" s="74" t="str">
        <f t="shared" si="3"/>
        <v/>
      </c>
      <c r="E94" s="76" t="str">
        <f>IF(A94="","",'Model Inputs'!$C$75*B94)</f>
        <v/>
      </c>
    </row>
    <row r="95" spans="1:5" ht="18" customHeight="1" x14ac:dyDescent="0.2">
      <c r="A95" s="37" t="str">
        <f>IF(A94&gt;='Model Inputs'!$C$74,"",A94+1)</f>
        <v/>
      </c>
      <c r="B95" s="67" t="str">
        <f t="shared" si="2"/>
        <v/>
      </c>
      <c r="C95" s="74" t="str">
        <f>IF(A95="","",-PMT('Model Inputs'!$C$75,'Model Inputs'!$C$74,'Model Inputs'!$C$72))</f>
        <v/>
      </c>
      <c r="D95" s="74" t="str">
        <f t="shared" si="3"/>
        <v/>
      </c>
      <c r="E95" s="76" t="str">
        <f>IF(A95="","",'Model Inputs'!$C$75*B95)</f>
        <v/>
      </c>
    </row>
    <row r="96" spans="1:5" ht="18" customHeight="1" x14ac:dyDescent="0.2">
      <c r="A96" s="37" t="str">
        <f>IF(A95&gt;='Model Inputs'!$C$74,"",A95+1)</f>
        <v/>
      </c>
      <c r="B96" s="67" t="str">
        <f t="shared" si="2"/>
        <v/>
      </c>
      <c r="C96" s="74" t="str">
        <f>IF(A96="","",-PMT('Model Inputs'!$C$75,'Model Inputs'!$C$74,'Model Inputs'!$C$72))</f>
        <v/>
      </c>
      <c r="D96" s="74" t="str">
        <f t="shared" si="3"/>
        <v/>
      </c>
      <c r="E96" s="76" t="str">
        <f>IF(A96="","",'Model Inputs'!$C$75*B96)</f>
        <v/>
      </c>
    </row>
    <row r="97" spans="1:5" ht="18" customHeight="1" x14ac:dyDescent="0.2">
      <c r="A97" s="37" t="str">
        <f>IF(A96&gt;='Model Inputs'!$C$74,"",A96+1)</f>
        <v/>
      </c>
      <c r="B97" s="67" t="str">
        <f t="shared" si="2"/>
        <v/>
      </c>
      <c r="C97" s="74" t="str">
        <f>IF(A97="","",-PMT('Model Inputs'!$C$75,'Model Inputs'!$C$74,'Model Inputs'!$C$72))</f>
        <v/>
      </c>
      <c r="D97" s="74" t="str">
        <f t="shared" si="3"/>
        <v/>
      </c>
      <c r="E97" s="76" t="str">
        <f>IF(A97="","",'Model Inputs'!$C$75*B97)</f>
        <v/>
      </c>
    </row>
    <row r="98" spans="1:5" ht="18" customHeight="1" x14ac:dyDescent="0.2">
      <c r="A98" s="37" t="str">
        <f>IF(A97&gt;='Model Inputs'!$C$74,"",A97+1)</f>
        <v/>
      </c>
      <c r="B98" s="67" t="str">
        <f t="shared" si="2"/>
        <v/>
      </c>
      <c r="C98" s="74" t="str">
        <f>IF(A98="","",-PMT('Model Inputs'!$C$75,'Model Inputs'!$C$74,'Model Inputs'!$C$72))</f>
        <v/>
      </c>
      <c r="D98" s="74" t="str">
        <f t="shared" si="3"/>
        <v/>
      </c>
      <c r="E98" s="76" t="str">
        <f>IF(A98="","",'Model Inputs'!$C$75*B98)</f>
        <v/>
      </c>
    </row>
    <row r="99" spans="1:5" ht="18" customHeight="1" x14ac:dyDescent="0.2">
      <c r="A99" s="37" t="str">
        <f>IF(A98&gt;='Model Inputs'!$C$74,"",A98+1)</f>
        <v/>
      </c>
      <c r="B99" s="67" t="str">
        <f t="shared" si="2"/>
        <v/>
      </c>
      <c r="C99" s="74" t="str">
        <f>IF(A99="","",-PMT('Model Inputs'!$C$75,'Model Inputs'!$C$74,'Model Inputs'!$C$72))</f>
        <v/>
      </c>
      <c r="D99" s="74" t="str">
        <f t="shared" si="3"/>
        <v/>
      </c>
      <c r="E99" s="76" t="str">
        <f>IF(A99="","",'Model Inputs'!$C$75*B99)</f>
        <v/>
      </c>
    </row>
    <row r="100" spans="1:5" ht="18" customHeight="1" x14ac:dyDescent="0.2">
      <c r="A100" s="37" t="str">
        <f>IF(A99&gt;='Model Inputs'!$C$74,"",A99+1)</f>
        <v/>
      </c>
      <c r="B100" s="67" t="str">
        <f t="shared" si="2"/>
        <v/>
      </c>
      <c r="C100" s="74" t="str">
        <f>IF(A100="","",-PMT('Model Inputs'!$C$75,'Model Inputs'!$C$74,'Model Inputs'!$C$72))</f>
        <v/>
      </c>
      <c r="D100" s="74" t="str">
        <f t="shared" si="3"/>
        <v/>
      </c>
      <c r="E100" s="76" t="str">
        <f>IF(A100="","",'Model Inputs'!$C$75*B100)</f>
        <v/>
      </c>
    </row>
    <row r="101" spans="1:5" ht="18" customHeight="1" x14ac:dyDescent="0.2">
      <c r="A101" s="37" t="str">
        <f>IF(A100&gt;='Model Inputs'!$C$74,"",A100+1)</f>
        <v/>
      </c>
      <c r="B101" s="67" t="str">
        <f t="shared" si="2"/>
        <v/>
      </c>
      <c r="C101" s="74" t="str">
        <f>IF(A101="","",-PMT('Model Inputs'!$C$75,'Model Inputs'!$C$74,'Model Inputs'!$C$72))</f>
        <v/>
      </c>
      <c r="D101" s="74" t="str">
        <f t="shared" si="3"/>
        <v/>
      </c>
      <c r="E101" s="76" t="str">
        <f>IF(A101="","",'Model Inputs'!$C$75*B101)</f>
        <v/>
      </c>
    </row>
    <row r="102" spans="1:5" ht="18" customHeight="1" x14ac:dyDescent="0.2">
      <c r="A102" s="37" t="str">
        <f>IF(A101&gt;='Model Inputs'!$C$74,"",A101+1)</f>
        <v/>
      </c>
      <c r="B102" s="67" t="str">
        <f t="shared" si="2"/>
        <v/>
      </c>
      <c r="C102" s="74" t="str">
        <f>IF(A102="","",-PMT('Model Inputs'!$C$75,'Model Inputs'!$C$74,'Model Inputs'!$C$72))</f>
        <v/>
      </c>
      <c r="D102" s="74" t="str">
        <f t="shared" si="3"/>
        <v/>
      </c>
      <c r="E102" s="76" t="str">
        <f>IF(A102="","",'Model Inputs'!$C$75*B102)</f>
        <v/>
      </c>
    </row>
    <row r="103" spans="1:5" ht="18" customHeight="1" x14ac:dyDescent="0.2">
      <c r="A103" s="37" t="str">
        <f>IF(A102&gt;='Model Inputs'!$C$74,"",A102+1)</f>
        <v/>
      </c>
      <c r="B103" s="67" t="str">
        <f t="shared" si="2"/>
        <v/>
      </c>
      <c r="C103" s="74" t="str">
        <f>IF(A103="","",-PMT('Model Inputs'!$C$75,'Model Inputs'!$C$74,'Model Inputs'!$C$72))</f>
        <v/>
      </c>
      <c r="D103" s="74" t="str">
        <f t="shared" si="3"/>
        <v/>
      </c>
      <c r="E103" s="76" t="str">
        <f>IF(A103="","",'Model Inputs'!$C$75*B103)</f>
        <v/>
      </c>
    </row>
    <row r="104" spans="1:5" ht="18" customHeight="1" x14ac:dyDescent="0.2">
      <c r="A104" s="37" t="str">
        <f>IF(A103&gt;='Model Inputs'!$C$74,"",A103+1)</f>
        <v/>
      </c>
      <c r="B104" s="67" t="str">
        <f t="shared" si="2"/>
        <v/>
      </c>
      <c r="C104" s="74" t="str">
        <f>IF(A104="","",-PMT('Model Inputs'!$C$75,'Model Inputs'!$C$74,'Model Inputs'!$C$72))</f>
        <v/>
      </c>
      <c r="D104" s="74" t="str">
        <f t="shared" si="3"/>
        <v/>
      </c>
      <c r="E104" s="76" t="str">
        <f>IF(A104="","",'Model Inputs'!$C$75*B104)</f>
        <v/>
      </c>
    </row>
    <row r="105" spans="1:5" ht="18" customHeight="1" x14ac:dyDescent="0.2">
      <c r="A105" s="37" t="str">
        <f>IF(A104&gt;='Model Inputs'!$C$74,"",A104+1)</f>
        <v/>
      </c>
      <c r="B105" s="67" t="str">
        <f t="shared" si="2"/>
        <v/>
      </c>
      <c r="C105" s="74" t="str">
        <f>IF(A105="","",-PMT('Model Inputs'!$C$75,'Model Inputs'!$C$74,'Model Inputs'!$C$72))</f>
        <v/>
      </c>
      <c r="D105" s="74" t="str">
        <f t="shared" si="3"/>
        <v/>
      </c>
      <c r="E105" s="76" t="str">
        <f>IF(A105="","",'Model Inputs'!$C$75*B105)</f>
        <v/>
      </c>
    </row>
    <row r="106" spans="1:5" ht="18" customHeight="1" x14ac:dyDescent="0.2">
      <c r="A106" s="37" t="str">
        <f>IF(A105&gt;='Model Inputs'!$C$74,"",A105+1)</f>
        <v/>
      </c>
      <c r="B106" s="67" t="str">
        <f t="shared" si="2"/>
        <v/>
      </c>
      <c r="C106" s="74" t="str">
        <f>IF(A106="","",-PMT('Model Inputs'!$C$75,'Model Inputs'!$C$74,'Model Inputs'!$C$72))</f>
        <v/>
      </c>
      <c r="D106" s="74" t="str">
        <f t="shared" si="3"/>
        <v/>
      </c>
      <c r="E106" s="76" t="str">
        <f>IF(A106="","",'Model Inputs'!$C$75*B106)</f>
        <v/>
      </c>
    </row>
    <row r="107" spans="1:5" ht="18" customHeight="1" x14ac:dyDescent="0.2">
      <c r="A107" s="37" t="str">
        <f>IF(A106&gt;='Model Inputs'!$C$74,"",A106+1)</f>
        <v/>
      </c>
      <c r="B107" s="67" t="str">
        <f t="shared" si="2"/>
        <v/>
      </c>
      <c r="C107" s="74" t="str">
        <f>IF(A107="","",-PMT('Model Inputs'!$C$75,'Model Inputs'!$C$74,'Model Inputs'!$C$72))</f>
        <v/>
      </c>
      <c r="D107" s="74" t="str">
        <f t="shared" si="3"/>
        <v/>
      </c>
      <c r="E107" s="76" t="str">
        <f>IF(A107="","",'Model Inputs'!$C$75*B107)</f>
        <v/>
      </c>
    </row>
    <row r="108" spans="1:5" ht="18" customHeight="1" x14ac:dyDescent="0.2">
      <c r="A108" s="37" t="str">
        <f>IF(A107&gt;='Model Inputs'!$C$74,"",A107+1)</f>
        <v/>
      </c>
      <c r="B108" s="67" t="str">
        <f t="shared" si="2"/>
        <v/>
      </c>
      <c r="C108" s="74" t="str">
        <f>IF(A108="","",-PMT('Model Inputs'!$C$75,'Model Inputs'!$C$74,'Model Inputs'!$C$72))</f>
        <v/>
      </c>
      <c r="D108" s="74" t="str">
        <f t="shared" si="3"/>
        <v/>
      </c>
      <c r="E108" s="76" t="str">
        <f>IF(A108="","",'Model Inputs'!$C$75*B108)</f>
        <v/>
      </c>
    </row>
    <row r="109" spans="1:5" ht="18" customHeight="1" x14ac:dyDescent="0.2">
      <c r="A109" s="37" t="str">
        <f>IF(A108&gt;='Model Inputs'!$C$74,"",A108+1)</f>
        <v/>
      </c>
      <c r="B109" s="67" t="str">
        <f t="shared" si="2"/>
        <v/>
      </c>
      <c r="C109" s="74" t="str">
        <f>IF(A109="","",-PMT('Model Inputs'!$C$75,'Model Inputs'!$C$74,'Model Inputs'!$C$72))</f>
        <v/>
      </c>
      <c r="D109" s="74" t="str">
        <f t="shared" si="3"/>
        <v/>
      </c>
      <c r="E109" s="76" t="str">
        <f>IF(A109="","",'Model Inputs'!$C$75*B109)</f>
        <v/>
      </c>
    </row>
    <row r="110" spans="1:5" ht="18" customHeight="1" x14ac:dyDescent="0.2">
      <c r="A110" s="37" t="str">
        <f>IF(A109&gt;='Model Inputs'!$C$74,"",A109+1)</f>
        <v/>
      </c>
      <c r="B110" s="67" t="str">
        <f t="shared" si="2"/>
        <v/>
      </c>
      <c r="C110" s="74" t="str">
        <f>IF(A110="","",-PMT('Model Inputs'!$C$75,'Model Inputs'!$C$74,'Model Inputs'!$C$72))</f>
        <v/>
      </c>
      <c r="D110" s="74" t="str">
        <f t="shared" si="3"/>
        <v/>
      </c>
      <c r="E110" s="76" t="str">
        <f>IF(A110="","",'Model Inputs'!$C$75*B110)</f>
        <v/>
      </c>
    </row>
    <row r="111" spans="1:5" ht="18" customHeight="1" x14ac:dyDescent="0.2">
      <c r="A111" s="37" t="str">
        <f>IF(A110&gt;='Model Inputs'!$C$74,"",A110+1)</f>
        <v/>
      </c>
      <c r="B111" s="67" t="str">
        <f t="shared" si="2"/>
        <v/>
      </c>
      <c r="C111" s="74" t="str">
        <f>IF(A111="","",-PMT('Model Inputs'!$C$75,'Model Inputs'!$C$74,'Model Inputs'!$C$72))</f>
        <v/>
      </c>
      <c r="D111" s="74" t="str">
        <f t="shared" si="3"/>
        <v/>
      </c>
      <c r="E111" s="76" t="str">
        <f>IF(A111="","",'Model Inputs'!$C$75*B111)</f>
        <v/>
      </c>
    </row>
    <row r="112" spans="1:5" ht="18" customHeight="1" x14ac:dyDescent="0.2">
      <c r="A112" s="37" t="str">
        <f>IF(A111&gt;='Model Inputs'!$C$74,"",A111+1)</f>
        <v/>
      </c>
      <c r="B112" s="67" t="str">
        <f t="shared" si="2"/>
        <v/>
      </c>
      <c r="C112" s="74" t="str">
        <f>IF(A112="","",-PMT('Model Inputs'!$C$75,'Model Inputs'!$C$74,'Model Inputs'!$C$72))</f>
        <v/>
      </c>
      <c r="D112" s="74" t="str">
        <f t="shared" si="3"/>
        <v/>
      </c>
      <c r="E112" s="76" t="str">
        <f>IF(A112="","",'Model Inputs'!$C$75*B112)</f>
        <v/>
      </c>
    </row>
    <row r="113" spans="1:5" ht="18" customHeight="1" x14ac:dyDescent="0.2">
      <c r="A113" s="37" t="str">
        <f>IF(A112&gt;='Model Inputs'!$C$74,"",A112+1)</f>
        <v/>
      </c>
      <c r="B113" s="67" t="str">
        <f t="shared" si="2"/>
        <v/>
      </c>
      <c r="C113" s="74" t="str">
        <f>IF(A113="","",-PMT('Model Inputs'!$C$75,'Model Inputs'!$C$74,'Model Inputs'!$C$72))</f>
        <v/>
      </c>
      <c r="D113" s="74" t="str">
        <f t="shared" si="3"/>
        <v/>
      </c>
      <c r="E113" s="76" t="str">
        <f>IF(A113="","",'Model Inputs'!$C$75*B113)</f>
        <v/>
      </c>
    </row>
    <row r="114" spans="1:5" ht="18" customHeight="1" x14ac:dyDescent="0.2">
      <c r="A114" s="37" t="str">
        <f>IF(A113&gt;='Model Inputs'!$C$74,"",A113+1)</f>
        <v/>
      </c>
      <c r="B114" s="67" t="str">
        <f t="shared" si="2"/>
        <v/>
      </c>
      <c r="C114" s="74" t="str">
        <f>IF(A114="","",-PMT('Model Inputs'!$C$75,'Model Inputs'!$C$74,'Model Inputs'!$C$72))</f>
        <v/>
      </c>
      <c r="D114" s="74" t="str">
        <f t="shared" si="3"/>
        <v/>
      </c>
      <c r="E114" s="76" t="str">
        <f>IF(A114="","",'Model Inputs'!$C$75*B114)</f>
        <v/>
      </c>
    </row>
    <row r="115" spans="1:5" ht="18" customHeight="1" x14ac:dyDescent="0.2">
      <c r="A115" s="37" t="str">
        <f>IF(A114&gt;='Model Inputs'!$C$74,"",A114+1)</f>
        <v/>
      </c>
      <c r="B115" s="67" t="str">
        <f t="shared" si="2"/>
        <v/>
      </c>
      <c r="C115" s="74" t="str">
        <f>IF(A115="","",-PMT('Model Inputs'!$C$75,'Model Inputs'!$C$74,'Model Inputs'!$C$72))</f>
        <v/>
      </c>
      <c r="D115" s="74" t="str">
        <f t="shared" si="3"/>
        <v/>
      </c>
      <c r="E115" s="76" t="str">
        <f>IF(A115="","",'Model Inputs'!$C$75*B115)</f>
        <v/>
      </c>
    </row>
    <row r="116" spans="1:5" ht="18" customHeight="1" x14ac:dyDescent="0.2">
      <c r="A116" s="37" t="str">
        <f>IF(A115&gt;='Model Inputs'!$C$74,"",A115+1)</f>
        <v/>
      </c>
      <c r="B116" s="67" t="str">
        <f t="shared" si="2"/>
        <v/>
      </c>
      <c r="C116" s="74" t="str">
        <f>IF(A116="","",-PMT('Model Inputs'!$C$75,'Model Inputs'!$C$74,'Model Inputs'!$C$72))</f>
        <v/>
      </c>
      <c r="D116" s="74" t="str">
        <f t="shared" si="3"/>
        <v/>
      </c>
      <c r="E116" s="76" t="str">
        <f>IF(A116="","",'Model Inputs'!$C$75*B116)</f>
        <v/>
      </c>
    </row>
    <row r="117" spans="1:5" ht="18" customHeight="1" x14ac:dyDescent="0.2">
      <c r="A117" s="37" t="str">
        <f>IF(A116&gt;='Model Inputs'!$C$74,"",A116+1)</f>
        <v/>
      </c>
      <c r="B117" s="67" t="str">
        <f t="shared" si="2"/>
        <v/>
      </c>
      <c r="C117" s="74" t="str">
        <f>IF(A117="","",-PMT('Model Inputs'!$C$75,'Model Inputs'!$C$74,'Model Inputs'!$C$72))</f>
        <v/>
      </c>
      <c r="D117" s="74" t="str">
        <f t="shared" si="3"/>
        <v/>
      </c>
      <c r="E117" s="76" t="str">
        <f>IF(A117="","",'Model Inputs'!$C$75*B117)</f>
        <v/>
      </c>
    </row>
    <row r="118" spans="1:5" ht="18" customHeight="1" x14ac:dyDescent="0.2">
      <c r="A118" s="37" t="str">
        <f>IF(A117&gt;='Model Inputs'!$C$74,"",A117+1)</f>
        <v/>
      </c>
      <c r="B118" s="67" t="str">
        <f t="shared" si="2"/>
        <v/>
      </c>
      <c r="C118" s="74" t="str">
        <f>IF(A118="","",-PMT('Model Inputs'!$C$75,'Model Inputs'!$C$74,'Model Inputs'!$C$72))</f>
        <v/>
      </c>
      <c r="D118" s="74" t="str">
        <f t="shared" si="3"/>
        <v/>
      </c>
      <c r="E118" s="76" t="str">
        <f>IF(A118="","",'Model Inputs'!$C$75*B118)</f>
        <v/>
      </c>
    </row>
    <row r="119" spans="1:5" ht="18" customHeight="1" x14ac:dyDescent="0.2">
      <c r="A119" s="37" t="str">
        <f>IF(A118&gt;='Model Inputs'!$C$74,"",A118+1)</f>
        <v/>
      </c>
      <c r="B119" s="67" t="str">
        <f t="shared" si="2"/>
        <v/>
      </c>
      <c r="C119" s="74" t="str">
        <f>IF(A119="","",-PMT('Model Inputs'!$C$75,'Model Inputs'!$C$74,'Model Inputs'!$C$72))</f>
        <v/>
      </c>
      <c r="D119" s="74" t="str">
        <f t="shared" si="3"/>
        <v/>
      </c>
      <c r="E119" s="76" t="str">
        <f>IF(A119="","",'Model Inputs'!$C$75*B119)</f>
        <v/>
      </c>
    </row>
    <row r="120" spans="1:5" ht="18" customHeight="1" x14ac:dyDescent="0.2">
      <c r="A120" s="37" t="str">
        <f>IF(A119&gt;='Model Inputs'!$C$74,"",A119+1)</f>
        <v/>
      </c>
      <c r="B120" s="67" t="str">
        <f t="shared" si="2"/>
        <v/>
      </c>
      <c r="C120" s="74" t="str">
        <f>IF(A120="","",-PMT('Model Inputs'!$C$75,'Model Inputs'!$C$74,'Model Inputs'!$C$72))</f>
        <v/>
      </c>
      <c r="D120" s="74" t="str">
        <f t="shared" si="3"/>
        <v/>
      </c>
      <c r="E120" s="76" t="str">
        <f>IF(A120="","",'Model Inputs'!$C$75*B120)</f>
        <v/>
      </c>
    </row>
    <row r="121" spans="1:5" ht="18" customHeight="1" x14ac:dyDescent="0.2">
      <c r="A121" s="37" t="str">
        <f>IF(A120&gt;='Model Inputs'!$C$74,"",A120+1)</f>
        <v/>
      </c>
      <c r="B121" s="67" t="str">
        <f t="shared" si="2"/>
        <v/>
      </c>
      <c r="C121" s="74" t="str">
        <f>IF(A121="","",-PMT('Model Inputs'!$C$75,'Model Inputs'!$C$74,'Model Inputs'!$C$72))</f>
        <v/>
      </c>
      <c r="D121" s="74" t="str">
        <f t="shared" si="3"/>
        <v/>
      </c>
      <c r="E121" s="76" t="str">
        <f>IF(A121="","",'Model Inputs'!$C$75*B121)</f>
        <v/>
      </c>
    </row>
    <row r="122" spans="1:5" ht="18" customHeight="1" x14ac:dyDescent="0.2">
      <c r="A122" s="37" t="str">
        <f>IF(A121&gt;='Model Inputs'!$C$74,"",A121+1)</f>
        <v/>
      </c>
      <c r="B122" s="67" t="str">
        <f t="shared" si="2"/>
        <v/>
      </c>
      <c r="C122" s="74" t="str">
        <f>IF(A122="","",-PMT('Model Inputs'!$C$75,'Model Inputs'!$C$74,'Model Inputs'!$C$72))</f>
        <v/>
      </c>
      <c r="D122" s="74" t="str">
        <f t="shared" si="3"/>
        <v/>
      </c>
      <c r="E122" s="76" t="str">
        <f>IF(A122="","",'Model Inputs'!$C$75*B122)</f>
        <v/>
      </c>
    </row>
    <row r="123" spans="1:5" ht="18" customHeight="1" x14ac:dyDescent="0.2">
      <c r="A123" s="37" t="str">
        <f>IF(A122&gt;='Model Inputs'!$C$74,"",A122+1)</f>
        <v/>
      </c>
      <c r="B123" s="67" t="str">
        <f t="shared" si="2"/>
        <v/>
      </c>
      <c r="C123" s="74" t="str">
        <f>IF(A123="","",-PMT('Model Inputs'!$C$75,'Model Inputs'!$C$74,'Model Inputs'!$C$72))</f>
        <v/>
      </c>
      <c r="D123" s="74" t="str">
        <f t="shared" si="3"/>
        <v/>
      </c>
      <c r="E123" s="76" t="str">
        <f>IF(A123="","",'Model Inputs'!$C$75*B123)</f>
        <v/>
      </c>
    </row>
    <row r="124" spans="1:5" ht="18" customHeight="1" x14ac:dyDescent="0.2">
      <c r="A124" s="37" t="str">
        <f>IF(A123&gt;='Model Inputs'!$C$74,"",A123+1)</f>
        <v/>
      </c>
      <c r="B124" s="67" t="str">
        <f t="shared" si="2"/>
        <v/>
      </c>
      <c r="C124" s="74" t="str">
        <f>IF(A124="","",-PMT('Model Inputs'!$C$75,'Model Inputs'!$C$74,'Model Inputs'!$C$72))</f>
        <v/>
      </c>
      <c r="D124" s="74" t="str">
        <f t="shared" si="3"/>
        <v/>
      </c>
      <c r="E124" s="76" t="str">
        <f>IF(A124="","",'Model Inputs'!$C$75*B124)</f>
        <v/>
      </c>
    </row>
    <row r="125" spans="1:5" ht="18" customHeight="1" x14ac:dyDescent="0.2">
      <c r="A125" s="37" t="str">
        <f>IF(A124&gt;='Model Inputs'!$C$74,"",A124+1)</f>
        <v/>
      </c>
      <c r="B125" s="67" t="str">
        <f t="shared" si="2"/>
        <v/>
      </c>
      <c r="C125" s="74" t="str">
        <f>IF(A125="","",-PMT('Model Inputs'!$C$75,'Model Inputs'!$C$74,'Model Inputs'!$C$72))</f>
        <v/>
      </c>
      <c r="D125" s="74" t="str">
        <f t="shared" si="3"/>
        <v/>
      </c>
      <c r="E125" s="76" t="str">
        <f>IF(A125="","",'Model Inputs'!$C$75*B125)</f>
        <v/>
      </c>
    </row>
    <row r="126" spans="1:5" ht="18" customHeight="1" x14ac:dyDescent="0.2">
      <c r="A126" s="37" t="str">
        <f>IF(A125&gt;='Model Inputs'!$C$74,"",A125+1)</f>
        <v/>
      </c>
      <c r="B126" s="67" t="str">
        <f t="shared" si="2"/>
        <v/>
      </c>
      <c r="C126" s="74" t="str">
        <f>IF(A126="","",-PMT('Model Inputs'!$C$75,'Model Inputs'!$C$74,'Model Inputs'!$C$72))</f>
        <v/>
      </c>
      <c r="D126" s="74" t="str">
        <f t="shared" si="3"/>
        <v/>
      </c>
      <c r="E126" s="76" t="str">
        <f>IF(A126="","",'Model Inputs'!$C$75*B126)</f>
        <v/>
      </c>
    </row>
    <row r="127" spans="1:5" ht="18" customHeight="1" x14ac:dyDescent="0.2">
      <c r="A127" s="37" t="str">
        <f>IF(A126&gt;='Model Inputs'!$C$74,"",A126+1)</f>
        <v/>
      </c>
      <c r="B127" s="67" t="str">
        <f t="shared" si="2"/>
        <v/>
      </c>
      <c r="C127" s="74" t="str">
        <f>IF(A127="","",-PMT('Model Inputs'!$C$75,'Model Inputs'!$C$74,'Model Inputs'!$C$72))</f>
        <v/>
      </c>
      <c r="D127" s="74" t="str">
        <f t="shared" si="3"/>
        <v/>
      </c>
      <c r="E127" s="76" t="str">
        <f>IF(A127="","",'Model Inputs'!$C$75*B127)</f>
        <v/>
      </c>
    </row>
    <row r="128" spans="1:5" ht="18" customHeight="1" x14ac:dyDescent="0.2">
      <c r="A128" s="37" t="str">
        <f>IF(A127&gt;='Model Inputs'!$C$74,"",A127+1)</f>
        <v/>
      </c>
      <c r="B128" s="67" t="str">
        <f t="shared" si="2"/>
        <v/>
      </c>
      <c r="C128" s="74" t="str">
        <f>IF(A128="","",-PMT('Model Inputs'!$C$75,'Model Inputs'!$C$74,'Model Inputs'!$C$72))</f>
        <v/>
      </c>
      <c r="D128" s="74" t="str">
        <f t="shared" si="3"/>
        <v/>
      </c>
      <c r="E128" s="76" t="str">
        <f>IF(A128="","",'Model Inputs'!$C$75*B128)</f>
        <v/>
      </c>
    </row>
    <row r="129" spans="1:5" ht="18" customHeight="1" x14ac:dyDescent="0.2">
      <c r="A129" s="37" t="str">
        <f>IF(A128&gt;='Model Inputs'!$C$74,"",A128+1)</f>
        <v/>
      </c>
      <c r="B129" s="67" t="str">
        <f t="shared" si="2"/>
        <v/>
      </c>
      <c r="C129" s="74" t="str">
        <f>IF(A129="","",-PMT('Model Inputs'!$C$75,'Model Inputs'!$C$74,'Model Inputs'!$C$72))</f>
        <v/>
      </c>
      <c r="D129" s="74" t="str">
        <f t="shared" si="3"/>
        <v/>
      </c>
      <c r="E129" s="76" t="str">
        <f>IF(A129="","",'Model Inputs'!$C$75*B129)</f>
        <v/>
      </c>
    </row>
    <row r="130" spans="1:5" ht="18" customHeight="1" x14ac:dyDescent="0.2">
      <c r="A130" s="37" t="str">
        <f>IF(A129&gt;='Model Inputs'!$C$74,"",A129+1)</f>
        <v/>
      </c>
      <c r="B130" s="67" t="str">
        <f t="shared" si="2"/>
        <v/>
      </c>
      <c r="C130" s="74" t="str">
        <f>IF(A130="","",-PMT('Model Inputs'!$C$75,'Model Inputs'!$C$74,'Model Inputs'!$C$72))</f>
        <v/>
      </c>
      <c r="D130" s="74" t="str">
        <f t="shared" si="3"/>
        <v/>
      </c>
      <c r="E130" s="76" t="str">
        <f>IF(A130="","",'Model Inputs'!$C$75*B130)</f>
        <v/>
      </c>
    </row>
    <row r="131" spans="1:5" ht="18" customHeight="1" x14ac:dyDescent="0.2">
      <c r="A131" s="37" t="str">
        <f>IF(A130&gt;='Model Inputs'!$C$74,"",A130+1)</f>
        <v/>
      </c>
      <c r="B131" s="67" t="str">
        <f t="shared" si="2"/>
        <v/>
      </c>
      <c r="C131" s="74" t="str">
        <f>IF(A131="","",-PMT('Model Inputs'!$C$75,'Model Inputs'!$C$74,'Model Inputs'!$C$72))</f>
        <v/>
      </c>
      <c r="D131" s="74" t="str">
        <f t="shared" si="3"/>
        <v/>
      </c>
      <c r="E131" s="76" t="str">
        <f>IF(A131="","",'Model Inputs'!$C$75*B131)</f>
        <v/>
      </c>
    </row>
    <row r="132" spans="1:5" ht="18" customHeight="1" x14ac:dyDescent="0.2">
      <c r="A132" s="37" t="str">
        <f>IF(A131&gt;='Model Inputs'!$C$74,"",A131+1)</f>
        <v/>
      </c>
      <c r="B132" s="67" t="str">
        <f t="shared" si="2"/>
        <v/>
      </c>
      <c r="C132" s="74" t="str">
        <f>IF(A132="","",-PMT('Model Inputs'!$C$75,'Model Inputs'!$C$74,'Model Inputs'!$C$72))</f>
        <v/>
      </c>
      <c r="D132" s="74" t="str">
        <f t="shared" si="3"/>
        <v/>
      </c>
      <c r="E132" s="76" t="str">
        <f>IF(A132="","",'Model Inputs'!$C$75*B132)</f>
        <v/>
      </c>
    </row>
    <row r="133" spans="1:5" ht="18" customHeight="1" x14ac:dyDescent="0.2">
      <c r="A133" s="37" t="str">
        <f>IF(A132&gt;='Model Inputs'!$C$74,"",A132+1)</f>
        <v/>
      </c>
      <c r="B133" s="67" t="str">
        <f t="shared" si="2"/>
        <v/>
      </c>
      <c r="C133" s="74" t="str">
        <f>IF(A133="","",-PMT('Model Inputs'!$C$75,'Model Inputs'!$C$74,'Model Inputs'!$C$72))</f>
        <v/>
      </c>
      <c r="D133" s="74" t="str">
        <f t="shared" si="3"/>
        <v/>
      </c>
      <c r="E133" s="76" t="str">
        <f>IF(A133="","",'Model Inputs'!$C$75*B133)</f>
        <v/>
      </c>
    </row>
    <row r="134" spans="1:5" ht="18" customHeight="1" x14ac:dyDescent="0.2">
      <c r="A134" s="37" t="str">
        <f>IF(A133&gt;='Model Inputs'!$C$74,"",A133+1)</f>
        <v/>
      </c>
      <c r="B134" s="67" t="str">
        <f t="shared" si="2"/>
        <v/>
      </c>
      <c r="C134" s="74" t="str">
        <f>IF(A134="","",-PMT('Model Inputs'!$C$75,'Model Inputs'!$C$74,'Model Inputs'!$C$72))</f>
        <v/>
      </c>
      <c r="D134" s="74" t="str">
        <f t="shared" si="3"/>
        <v/>
      </c>
      <c r="E134" s="76" t="str">
        <f>IF(A134="","",'Model Inputs'!$C$75*B134)</f>
        <v/>
      </c>
    </row>
    <row r="135" spans="1:5" ht="18" customHeight="1" x14ac:dyDescent="0.2">
      <c r="A135" s="37" t="str">
        <f>IF(A134&gt;='Model Inputs'!$C$74,"",A134+1)</f>
        <v/>
      </c>
      <c r="B135" s="67" t="str">
        <f t="shared" si="2"/>
        <v/>
      </c>
      <c r="C135" s="74" t="str">
        <f>IF(A135="","",-PMT('Model Inputs'!$C$75,'Model Inputs'!$C$74,'Model Inputs'!$C$72))</f>
        <v/>
      </c>
      <c r="D135" s="74" t="str">
        <f t="shared" si="3"/>
        <v/>
      </c>
      <c r="E135" s="76" t="str">
        <f>IF(A135="","",'Model Inputs'!$C$75*B135)</f>
        <v/>
      </c>
    </row>
    <row r="136" spans="1:5" ht="18" customHeight="1" x14ac:dyDescent="0.2">
      <c r="A136" s="37" t="str">
        <f>IF(A135&gt;='Model Inputs'!$C$74,"",A135+1)</f>
        <v/>
      </c>
      <c r="B136" s="67" t="str">
        <f t="shared" ref="B136:B199" si="4">IF(A136="","",B135-D135)</f>
        <v/>
      </c>
      <c r="C136" s="74" t="str">
        <f>IF(A136="","",-PMT('Model Inputs'!$C$75,'Model Inputs'!$C$74,'Model Inputs'!$C$72))</f>
        <v/>
      </c>
      <c r="D136" s="74" t="str">
        <f t="shared" ref="D136:D199" si="5">IF(A136="","",C136-E136)</f>
        <v/>
      </c>
      <c r="E136" s="76" t="str">
        <f>IF(A136="","",'Model Inputs'!$C$75*B136)</f>
        <v/>
      </c>
    </row>
    <row r="137" spans="1:5" ht="18" customHeight="1" x14ac:dyDescent="0.2">
      <c r="A137" s="37" t="str">
        <f>IF(A136&gt;='Model Inputs'!$C$74,"",A136+1)</f>
        <v/>
      </c>
      <c r="B137" s="67" t="str">
        <f t="shared" si="4"/>
        <v/>
      </c>
      <c r="C137" s="74" t="str">
        <f>IF(A137="","",-PMT('Model Inputs'!$C$75,'Model Inputs'!$C$74,'Model Inputs'!$C$72))</f>
        <v/>
      </c>
      <c r="D137" s="74" t="str">
        <f t="shared" si="5"/>
        <v/>
      </c>
      <c r="E137" s="76" t="str">
        <f>IF(A137="","",'Model Inputs'!$C$75*B137)</f>
        <v/>
      </c>
    </row>
    <row r="138" spans="1:5" ht="18" customHeight="1" x14ac:dyDescent="0.2">
      <c r="A138" s="37" t="str">
        <f>IF(A137&gt;='Model Inputs'!$C$74,"",A137+1)</f>
        <v/>
      </c>
      <c r="B138" s="67" t="str">
        <f t="shared" si="4"/>
        <v/>
      </c>
      <c r="C138" s="74" t="str">
        <f>IF(A138="","",-PMT('Model Inputs'!$C$75,'Model Inputs'!$C$74,'Model Inputs'!$C$72))</f>
        <v/>
      </c>
      <c r="D138" s="74" t="str">
        <f t="shared" si="5"/>
        <v/>
      </c>
      <c r="E138" s="76" t="str">
        <f>IF(A138="","",'Model Inputs'!$C$75*B138)</f>
        <v/>
      </c>
    </row>
    <row r="139" spans="1:5" ht="18" customHeight="1" x14ac:dyDescent="0.2">
      <c r="A139" s="37" t="str">
        <f>IF(A138&gt;='Model Inputs'!$C$74,"",A138+1)</f>
        <v/>
      </c>
      <c r="B139" s="67" t="str">
        <f t="shared" si="4"/>
        <v/>
      </c>
      <c r="C139" s="74" t="str">
        <f>IF(A139="","",-PMT('Model Inputs'!$C$75,'Model Inputs'!$C$74,'Model Inputs'!$C$72))</f>
        <v/>
      </c>
      <c r="D139" s="74" t="str">
        <f t="shared" si="5"/>
        <v/>
      </c>
      <c r="E139" s="76" t="str">
        <f>IF(A139="","",'Model Inputs'!$C$75*B139)</f>
        <v/>
      </c>
    </row>
    <row r="140" spans="1:5" ht="18" customHeight="1" x14ac:dyDescent="0.2">
      <c r="A140" s="37" t="str">
        <f>IF(A139&gt;='Model Inputs'!$C$74,"",A139+1)</f>
        <v/>
      </c>
      <c r="B140" s="67" t="str">
        <f t="shared" si="4"/>
        <v/>
      </c>
      <c r="C140" s="74" t="str">
        <f>IF(A140="","",-PMT('Model Inputs'!$C$75,'Model Inputs'!$C$74,'Model Inputs'!$C$72))</f>
        <v/>
      </c>
      <c r="D140" s="74" t="str">
        <f t="shared" si="5"/>
        <v/>
      </c>
      <c r="E140" s="76" t="str">
        <f>IF(A140="","",'Model Inputs'!$C$75*B140)</f>
        <v/>
      </c>
    </row>
    <row r="141" spans="1:5" ht="18" customHeight="1" x14ac:dyDescent="0.2">
      <c r="A141" s="37" t="str">
        <f>IF(A140&gt;='Model Inputs'!$C$74,"",A140+1)</f>
        <v/>
      </c>
      <c r="B141" s="67" t="str">
        <f t="shared" si="4"/>
        <v/>
      </c>
      <c r="C141" s="74" t="str">
        <f>IF(A141="","",-PMT('Model Inputs'!$C$75,'Model Inputs'!$C$74,'Model Inputs'!$C$72))</f>
        <v/>
      </c>
      <c r="D141" s="74" t="str">
        <f t="shared" si="5"/>
        <v/>
      </c>
      <c r="E141" s="76" t="str">
        <f>IF(A141="","",'Model Inputs'!$C$75*B141)</f>
        <v/>
      </c>
    </row>
    <row r="142" spans="1:5" ht="18" customHeight="1" x14ac:dyDescent="0.2">
      <c r="A142" s="37" t="str">
        <f>IF(A141&gt;='Model Inputs'!$C$74,"",A141+1)</f>
        <v/>
      </c>
      <c r="B142" s="67" t="str">
        <f t="shared" si="4"/>
        <v/>
      </c>
      <c r="C142" s="74" t="str">
        <f>IF(A142="","",-PMT('Model Inputs'!$C$75,'Model Inputs'!$C$74,'Model Inputs'!$C$72))</f>
        <v/>
      </c>
      <c r="D142" s="74" t="str">
        <f t="shared" si="5"/>
        <v/>
      </c>
      <c r="E142" s="76" t="str">
        <f>IF(A142="","",'Model Inputs'!$C$75*B142)</f>
        <v/>
      </c>
    </row>
    <row r="143" spans="1:5" ht="18" customHeight="1" x14ac:dyDescent="0.2">
      <c r="A143" s="37" t="str">
        <f>IF(A142&gt;='Model Inputs'!$C$74,"",A142+1)</f>
        <v/>
      </c>
      <c r="B143" s="67" t="str">
        <f t="shared" si="4"/>
        <v/>
      </c>
      <c r="C143" s="74" t="str">
        <f>IF(A143="","",-PMT('Model Inputs'!$C$75,'Model Inputs'!$C$74,'Model Inputs'!$C$72))</f>
        <v/>
      </c>
      <c r="D143" s="74" t="str">
        <f t="shared" si="5"/>
        <v/>
      </c>
      <c r="E143" s="76" t="str">
        <f>IF(A143="","",'Model Inputs'!$C$75*B143)</f>
        <v/>
      </c>
    </row>
    <row r="144" spans="1:5" ht="18" customHeight="1" x14ac:dyDescent="0.2">
      <c r="A144" s="37" t="str">
        <f>IF(A143&gt;='Model Inputs'!$C$74,"",A143+1)</f>
        <v/>
      </c>
      <c r="B144" s="67" t="str">
        <f t="shared" si="4"/>
        <v/>
      </c>
      <c r="C144" s="74" t="str">
        <f>IF(A144="","",-PMT('Model Inputs'!$C$75,'Model Inputs'!$C$74,'Model Inputs'!$C$72))</f>
        <v/>
      </c>
      <c r="D144" s="74" t="str">
        <f t="shared" si="5"/>
        <v/>
      </c>
      <c r="E144" s="76" t="str">
        <f>IF(A144="","",'Model Inputs'!$C$75*B144)</f>
        <v/>
      </c>
    </row>
    <row r="145" spans="1:5" ht="18" customHeight="1" x14ac:dyDescent="0.2">
      <c r="A145" s="37" t="str">
        <f>IF(A144&gt;='Model Inputs'!$C$74,"",A144+1)</f>
        <v/>
      </c>
      <c r="B145" s="67" t="str">
        <f t="shared" si="4"/>
        <v/>
      </c>
      <c r="C145" s="74" t="str">
        <f>IF(A145="","",-PMT('Model Inputs'!$C$75,'Model Inputs'!$C$74,'Model Inputs'!$C$72))</f>
        <v/>
      </c>
      <c r="D145" s="74" t="str">
        <f t="shared" si="5"/>
        <v/>
      </c>
      <c r="E145" s="76" t="str">
        <f>IF(A145="","",'Model Inputs'!$C$75*B145)</f>
        <v/>
      </c>
    </row>
    <row r="146" spans="1:5" ht="18" customHeight="1" x14ac:dyDescent="0.2">
      <c r="A146" s="37" t="str">
        <f>IF(A145&gt;='Model Inputs'!$C$74,"",A145+1)</f>
        <v/>
      </c>
      <c r="B146" s="67" t="str">
        <f t="shared" si="4"/>
        <v/>
      </c>
      <c r="C146" s="74" t="str">
        <f>IF(A146="","",-PMT('Model Inputs'!$C$75,'Model Inputs'!$C$74,'Model Inputs'!$C$72))</f>
        <v/>
      </c>
      <c r="D146" s="74" t="str">
        <f t="shared" si="5"/>
        <v/>
      </c>
      <c r="E146" s="76" t="str">
        <f>IF(A146="","",'Model Inputs'!$C$75*B146)</f>
        <v/>
      </c>
    </row>
    <row r="147" spans="1:5" ht="18" customHeight="1" x14ac:dyDescent="0.2">
      <c r="A147" s="37" t="str">
        <f>IF(A146&gt;='Model Inputs'!$C$74,"",A146+1)</f>
        <v/>
      </c>
      <c r="B147" s="67" t="str">
        <f t="shared" si="4"/>
        <v/>
      </c>
      <c r="C147" s="74" t="str">
        <f>IF(A147="","",-PMT('Model Inputs'!$C$75,'Model Inputs'!$C$74,'Model Inputs'!$C$72))</f>
        <v/>
      </c>
      <c r="D147" s="74" t="str">
        <f t="shared" si="5"/>
        <v/>
      </c>
      <c r="E147" s="76" t="str">
        <f>IF(A147="","",'Model Inputs'!$C$75*B147)</f>
        <v/>
      </c>
    </row>
    <row r="148" spans="1:5" ht="18" customHeight="1" x14ac:dyDescent="0.2">
      <c r="A148" s="37" t="str">
        <f>IF(A147&gt;='Model Inputs'!$C$74,"",A147+1)</f>
        <v/>
      </c>
      <c r="B148" s="67" t="str">
        <f t="shared" si="4"/>
        <v/>
      </c>
      <c r="C148" s="74" t="str">
        <f>IF(A148="","",-PMT('Model Inputs'!$C$75,'Model Inputs'!$C$74,'Model Inputs'!$C$72))</f>
        <v/>
      </c>
      <c r="D148" s="74" t="str">
        <f t="shared" si="5"/>
        <v/>
      </c>
      <c r="E148" s="76" t="str">
        <f>IF(A148="","",'Model Inputs'!$C$75*B148)</f>
        <v/>
      </c>
    </row>
    <row r="149" spans="1:5" ht="18" customHeight="1" x14ac:dyDescent="0.2">
      <c r="A149" s="37" t="str">
        <f>IF(A148&gt;='Model Inputs'!$C$74,"",A148+1)</f>
        <v/>
      </c>
      <c r="B149" s="67" t="str">
        <f t="shared" si="4"/>
        <v/>
      </c>
      <c r="C149" s="74" t="str">
        <f>IF(A149="","",-PMT('Model Inputs'!$C$75,'Model Inputs'!$C$74,'Model Inputs'!$C$72))</f>
        <v/>
      </c>
      <c r="D149" s="74" t="str">
        <f t="shared" si="5"/>
        <v/>
      </c>
      <c r="E149" s="76" t="str">
        <f>IF(A149="","",'Model Inputs'!$C$75*B149)</f>
        <v/>
      </c>
    </row>
    <row r="150" spans="1:5" ht="18" customHeight="1" x14ac:dyDescent="0.2">
      <c r="A150" s="37" t="str">
        <f>IF(A149&gt;='Model Inputs'!$C$74,"",A149+1)</f>
        <v/>
      </c>
      <c r="B150" s="67" t="str">
        <f t="shared" si="4"/>
        <v/>
      </c>
      <c r="C150" s="74" t="str">
        <f>IF(A150="","",-PMT('Model Inputs'!$C$75,'Model Inputs'!$C$74,'Model Inputs'!$C$72))</f>
        <v/>
      </c>
      <c r="D150" s="74" t="str">
        <f t="shared" si="5"/>
        <v/>
      </c>
      <c r="E150" s="76" t="str">
        <f>IF(A150="","",'Model Inputs'!$C$75*B150)</f>
        <v/>
      </c>
    </row>
    <row r="151" spans="1:5" ht="18" customHeight="1" x14ac:dyDescent="0.2">
      <c r="A151" s="37" t="str">
        <f>IF(A150&gt;='Model Inputs'!$C$74,"",A150+1)</f>
        <v/>
      </c>
      <c r="B151" s="67" t="str">
        <f t="shared" si="4"/>
        <v/>
      </c>
      <c r="C151" s="74" t="str">
        <f>IF(A151="","",-PMT('Model Inputs'!$C$75,'Model Inputs'!$C$74,'Model Inputs'!$C$72))</f>
        <v/>
      </c>
      <c r="D151" s="74" t="str">
        <f t="shared" si="5"/>
        <v/>
      </c>
      <c r="E151" s="76" t="str">
        <f>IF(A151="","",'Model Inputs'!$C$75*B151)</f>
        <v/>
      </c>
    </row>
    <row r="152" spans="1:5" ht="18" customHeight="1" x14ac:dyDescent="0.2">
      <c r="A152" s="37" t="str">
        <f>IF(A151&gt;='Model Inputs'!$C$74,"",A151+1)</f>
        <v/>
      </c>
      <c r="B152" s="67" t="str">
        <f t="shared" si="4"/>
        <v/>
      </c>
      <c r="C152" s="74" t="str">
        <f>IF(A152="","",-PMT('Model Inputs'!$C$75,'Model Inputs'!$C$74,'Model Inputs'!$C$72))</f>
        <v/>
      </c>
      <c r="D152" s="74" t="str">
        <f t="shared" si="5"/>
        <v/>
      </c>
      <c r="E152" s="76" t="str">
        <f>IF(A152="","",'Model Inputs'!$C$75*B152)</f>
        <v/>
      </c>
    </row>
    <row r="153" spans="1:5" ht="18" customHeight="1" x14ac:dyDescent="0.2">
      <c r="A153" s="37" t="str">
        <f>IF(A152&gt;='Model Inputs'!$C$74,"",A152+1)</f>
        <v/>
      </c>
      <c r="B153" s="67" t="str">
        <f t="shared" si="4"/>
        <v/>
      </c>
      <c r="C153" s="74" t="str">
        <f>IF(A153="","",-PMT('Model Inputs'!$C$75,'Model Inputs'!$C$74,'Model Inputs'!$C$72))</f>
        <v/>
      </c>
      <c r="D153" s="74" t="str">
        <f t="shared" si="5"/>
        <v/>
      </c>
      <c r="E153" s="76" t="str">
        <f>IF(A153="","",'Model Inputs'!$C$75*B153)</f>
        <v/>
      </c>
    </row>
    <row r="154" spans="1:5" ht="18" customHeight="1" x14ac:dyDescent="0.2">
      <c r="A154" s="37" t="str">
        <f>IF(A153&gt;='Model Inputs'!$C$74,"",A153+1)</f>
        <v/>
      </c>
      <c r="B154" s="67" t="str">
        <f t="shared" si="4"/>
        <v/>
      </c>
      <c r="C154" s="74" t="str">
        <f>IF(A154="","",-PMT('Model Inputs'!$C$75,'Model Inputs'!$C$74,'Model Inputs'!$C$72))</f>
        <v/>
      </c>
      <c r="D154" s="74" t="str">
        <f t="shared" si="5"/>
        <v/>
      </c>
      <c r="E154" s="76" t="str">
        <f>IF(A154="","",'Model Inputs'!$C$75*B154)</f>
        <v/>
      </c>
    </row>
    <row r="155" spans="1:5" ht="18" customHeight="1" x14ac:dyDescent="0.2">
      <c r="A155" s="37" t="str">
        <f>IF(A154&gt;='Model Inputs'!$C$74,"",A154+1)</f>
        <v/>
      </c>
      <c r="B155" s="67" t="str">
        <f t="shared" si="4"/>
        <v/>
      </c>
      <c r="C155" s="74" t="str">
        <f>IF(A155="","",-PMT('Model Inputs'!$C$75,'Model Inputs'!$C$74,'Model Inputs'!$C$72))</f>
        <v/>
      </c>
      <c r="D155" s="74" t="str">
        <f t="shared" si="5"/>
        <v/>
      </c>
      <c r="E155" s="76" t="str">
        <f>IF(A155="","",'Model Inputs'!$C$75*B155)</f>
        <v/>
      </c>
    </row>
    <row r="156" spans="1:5" ht="18" customHeight="1" x14ac:dyDescent="0.2">
      <c r="A156" s="37" t="str">
        <f>IF(A155&gt;='Model Inputs'!$C$74,"",A155+1)</f>
        <v/>
      </c>
      <c r="B156" s="67" t="str">
        <f t="shared" si="4"/>
        <v/>
      </c>
      <c r="C156" s="74" t="str">
        <f>IF(A156="","",-PMT('Model Inputs'!$C$75,'Model Inputs'!$C$74,'Model Inputs'!$C$72))</f>
        <v/>
      </c>
      <c r="D156" s="74" t="str">
        <f t="shared" si="5"/>
        <v/>
      </c>
      <c r="E156" s="76" t="str">
        <f>IF(A156="","",'Model Inputs'!$C$75*B156)</f>
        <v/>
      </c>
    </row>
    <row r="157" spans="1:5" ht="18" customHeight="1" x14ac:dyDescent="0.2">
      <c r="A157" s="37" t="str">
        <f>IF(A156&gt;='Model Inputs'!$C$74,"",A156+1)</f>
        <v/>
      </c>
      <c r="B157" s="67" t="str">
        <f t="shared" si="4"/>
        <v/>
      </c>
      <c r="C157" s="74" t="str">
        <f>IF(A157="","",-PMT('Model Inputs'!$C$75,'Model Inputs'!$C$74,'Model Inputs'!$C$72))</f>
        <v/>
      </c>
      <c r="D157" s="74" t="str">
        <f t="shared" si="5"/>
        <v/>
      </c>
      <c r="E157" s="76" t="str">
        <f>IF(A157="","",'Model Inputs'!$C$75*B157)</f>
        <v/>
      </c>
    </row>
    <row r="158" spans="1:5" ht="18" customHeight="1" x14ac:dyDescent="0.2">
      <c r="A158" s="37" t="str">
        <f>IF(A157&gt;='Model Inputs'!$C$74,"",A157+1)</f>
        <v/>
      </c>
      <c r="B158" s="67" t="str">
        <f t="shared" si="4"/>
        <v/>
      </c>
      <c r="C158" s="74" t="str">
        <f>IF(A158="","",-PMT('Model Inputs'!$C$75,'Model Inputs'!$C$74,'Model Inputs'!$C$72))</f>
        <v/>
      </c>
      <c r="D158" s="74" t="str">
        <f t="shared" si="5"/>
        <v/>
      </c>
      <c r="E158" s="76" t="str">
        <f>IF(A158="","",'Model Inputs'!$C$75*B158)</f>
        <v/>
      </c>
    </row>
    <row r="159" spans="1:5" ht="18" customHeight="1" x14ac:dyDescent="0.2">
      <c r="A159" s="37" t="str">
        <f>IF(A158&gt;='Model Inputs'!$C$74,"",A158+1)</f>
        <v/>
      </c>
      <c r="B159" s="67" t="str">
        <f t="shared" si="4"/>
        <v/>
      </c>
      <c r="C159" s="74" t="str">
        <f>IF(A159="","",-PMT('Model Inputs'!$C$75,'Model Inputs'!$C$74,'Model Inputs'!$C$72))</f>
        <v/>
      </c>
      <c r="D159" s="74" t="str">
        <f t="shared" si="5"/>
        <v/>
      </c>
      <c r="E159" s="76" t="str">
        <f>IF(A159="","",'Model Inputs'!$C$75*B159)</f>
        <v/>
      </c>
    </row>
    <row r="160" spans="1:5" ht="18" customHeight="1" x14ac:dyDescent="0.2">
      <c r="A160" s="37" t="str">
        <f>IF(A159&gt;='Model Inputs'!$C$74,"",A159+1)</f>
        <v/>
      </c>
      <c r="B160" s="67" t="str">
        <f t="shared" si="4"/>
        <v/>
      </c>
      <c r="C160" s="74" t="str">
        <f>IF(A160="","",-PMT('Model Inputs'!$C$75,'Model Inputs'!$C$74,'Model Inputs'!$C$72))</f>
        <v/>
      </c>
      <c r="D160" s="74" t="str">
        <f t="shared" si="5"/>
        <v/>
      </c>
      <c r="E160" s="76" t="str">
        <f>IF(A160="","",'Model Inputs'!$C$75*B160)</f>
        <v/>
      </c>
    </row>
    <row r="161" spans="1:5" ht="18" customHeight="1" x14ac:dyDescent="0.2">
      <c r="A161" s="37" t="str">
        <f>IF(A160&gt;='Model Inputs'!$C$74,"",A160+1)</f>
        <v/>
      </c>
      <c r="B161" s="67" t="str">
        <f t="shared" si="4"/>
        <v/>
      </c>
      <c r="C161" s="74" t="str">
        <f>IF(A161="","",-PMT('Model Inputs'!$C$75,'Model Inputs'!$C$74,'Model Inputs'!$C$72))</f>
        <v/>
      </c>
      <c r="D161" s="74" t="str">
        <f t="shared" si="5"/>
        <v/>
      </c>
      <c r="E161" s="76" t="str">
        <f>IF(A161="","",'Model Inputs'!$C$75*B161)</f>
        <v/>
      </c>
    </row>
    <row r="162" spans="1:5" ht="18" customHeight="1" x14ac:dyDescent="0.2">
      <c r="A162" s="37" t="str">
        <f>IF(A161&gt;='Model Inputs'!$C$74,"",A161+1)</f>
        <v/>
      </c>
      <c r="B162" s="67" t="str">
        <f t="shared" si="4"/>
        <v/>
      </c>
      <c r="C162" s="74" t="str">
        <f>IF(A162="","",-PMT('Model Inputs'!$C$75,'Model Inputs'!$C$74,'Model Inputs'!$C$72))</f>
        <v/>
      </c>
      <c r="D162" s="74" t="str">
        <f t="shared" si="5"/>
        <v/>
      </c>
      <c r="E162" s="76" t="str">
        <f>IF(A162="","",'Model Inputs'!$C$75*B162)</f>
        <v/>
      </c>
    </row>
    <row r="163" spans="1:5" ht="18" customHeight="1" x14ac:dyDescent="0.2">
      <c r="A163" s="37" t="str">
        <f>IF(A162&gt;='Model Inputs'!$C$74,"",A162+1)</f>
        <v/>
      </c>
      <c r="B163" s="67" t="str">
        <f t="shared" si="4"/>
        <v/>
      </c>
      <c r="C163" s="74" t="str">
        <f>IF(A163="","",-PMT('Model Inputs'!$C$75,'Model Inputs'!$C$74,'Model Inputs'!$C$72))</f>
        <v/>
      </c>
      <c r="D163" s="74" t="str">
        <f t="shared" si="5"/>
        <v/>
      </c>
      <c r="E163" s="76" t="str">
        <f>IF(A163="","",'Model Inputs'!$C$75*B163)</f>
        <v/>
      </c>
    </row>
    <row r="164" spans="1:5" ht="18" customHeight="1" x14ac:dyDescent="0.2">
      <c r="A164" s="37" t="str">
        <f>IF(A163&gt;='Model Inputs'!$C$74,"",A163+1)</f>
        <v/>
      </c>
      <c r="B164" s="67" t="str">
        <f t="shared" si="4"/>
        <v/>
      </c>
      <c r="C164" s="74" t="str">
        <f>IF(A164="","",-PMT('Model Inputs'!$C$75,'Model Inputs'!$C$74,'Model Inputs'!$C$72))</f>
        <v/>
      </c>
      <c r="D164" s="74" t="str">
        <f t="shared" si="5"/>
        <v/>
      </c>
      <c r="E164" s="76" t="str">
        <f>IF(A164="","",'Model Inputs'!$C$75*B164)</f>
        <v/>
      </c>
    </row>
    <row r="165" spans="1:5" ht="18" customHeight="1" x14ac:dyDescent="0.2">
      <c r="A165" s="37" t="str">
        <f>IF(A164&gt;='Model Inputs'!$C$74,"",A164+1)</f>
        <v/>
      </c>
      <c r="B165" s="67" t="str">
        <f t="shared" si="4"/>
        <v/>
      </c>
      <c r="C165" s="74" t="str">
        <f>IF(A165="","",-PMT('Model Inputs'!$C$75,'Model Inputs'!$C$74,'Model Inputs'!$C$72))</f>
        <v/>
      </c>
      <c r="D165" s="74" t="str">
        <f t="shared" si="5"/>
        <v/>
      </c>
      <c r="E165" s="76" t="str">
        <f>IF(A165="","",'Model Inputs'!$C$75*B165)</f>
        <v/>
      </c>
    </row>
    <row r="166" spans="1:5" ht="18" customHeight="1" x14ac:dyDescent="0.2">
      <c r="A166" s="37" t="str">
        <f>IF(A165&gt;='Model Inputs'!$C$74,"",A165+1)</f>
        <v/>
      </c>
      <c r="B166" s="67" t="str">
        <f t="shared" si="4"/>
        <v/>
      </c>
      <c r="C166" s="74" t="str">
        <f>IF(A166="","",-PMT('Model Inputs'!$C$75,'Model Inputs'!$C$74,'Model Inputs'!$C$72))</f>
        <v/>
      </c>
      <c r="D166" s="74" t="str">
        <f t="shared" si="5"/>
        <v/>
      </c>
      <c r="E166" s="76" t="str">
        <f>IF(A166="","",'Model Inputs'!$C$75*B166)</f>
        <v/>
      </c>
    </row>
    <row r="167" spans="1:5" ht="18" customHeight="1" x14ac:dyDescent="0.2">
      <c r="A167" s="37" t="str">
        <f>IF(A166&gt;='Model Inputs'!$C$74,"",A166+1)</f>
        <v/>
      </c>
      <c r="B167" s="67" t="str">
        <f t="shared" si="4"/>
        <v/>
      </c>
      <c r="C167" s="74" t="str">
        <f>IF(A167="","",-PMT('Model Inputs'!$C$75,'Model Inputs'!$C$74,'Model Inputs'!$C$72))</f>
        <v/>
      </c>
      <c r="D167" s="74" t="str">
        <f t="shared" si="5"/>
        <v/>
      </c>
      <c r="E167" s="76" t="str">
        <f>IF(A167="","",'Model Inputs'!$C$75*B167)</f>
        <v/>
      </c>
    </row>
    <row r="168" spans="1:5" ht="18" customHeight="1" x14ac:dyDescent="0.2">
      <c r="A168" s="37" t="str">
        <f>IF(A167&gt;='Model Inputs'!$C$74,"",A167+1)</f>
        <v/>
      </c>
      <c r="B168" s="67" t="str">
        <f t="shared" si="4"/>
        <v/>
      </c>
      <c r="C168" s="74" t="str">
        <f>IF(A168="","",-PMT('Model Inputs'!$C$75,'Model Inputs'!$C$74,'Model Inputs'!$C$72))</f>
        <v/>
      </c>
      <c r="D168" s="74" t="str">
        <f t="shared" si="5"/>
        <v/>
      </c>
      <c r="E168" s="76" t="str">
        <f>IF(A168="","",'Model Inputs'!$C$75*B168)</f>
        <v/>
      </c>
    </row>
    <row r="169" spans="1:5" ht="18" customHeight="1" x14ac:dyDescent="0.2">
      <c r="A169" s="37" t="str">
        <f>IF(A168&gt;='Model Inputs'!$C$74,"",A168+1)</f>
        <v/>
      </c>
      <c r="B169" s="67" t="str">
        <f t="shared" si="4"/>
        <v/>
      </c>
      <c r="C169" s="74" t="str">
        <f>IF(A169="","",-PMT('Model Inputs'!$C$75,'Model Inputs'!$C$74,'Model Inputs'!$C$72))</f>
        <v/>
      </c>
      <c r="D169" s="74" t="str">
        <f t="shared" si="5"/>
        <v/>
      </c>
      <c r="E169" s="76" t="str">
        <f>IF(A169="","",'Model Inputs'!$C$75*B169)</f>
        <v/>
      </c>
    </row>
    <row r="170" spans="1:5" ht="18" customHeight="1" x14ac:dyDescent="0.2">
      <c r="A170" s="37" t="str">
        <f>IF(A169&gt;='Model Inputs'!$C$74,"",A169+1)</f>
        <v/>
      </c>
      <c r="B170" s="67" t="str">
        <f t="shared" si="4"/>
        <v/>
      </c>
      <c r="C170" s="74" t="str">
        <f>IF(A170="","",-PMT('Model Inputs'!$C$75,'Model Inputs'!$C$74,'Model Inputs'!$C$72))</f>
        <v/>
      </c>
      <c r="D170" s="74" t="str">
        <f t="shared" si="5"/>
        <v/>
      </c>
      <c r="E170" s="76" t="str">
        <f>IF(A170="","",'Model Inputs'!$C$75*B170)</f>
        <v/>
      </c>
    </row>
    <row r="171" spans="1:5" ht="18" customHeight="1" x14ac:dyDescent="0.2">
      <c r="A171" s="37" t="str">
        <f>IF(A170&gt;='Model Inputs'!$C$74,"",A170+1)</f>
        <v/>
      </c>
      <c r="B171" s="67" t="str">
        <f t="shared" si="4"/>
        <v/>
      </c>
      <c r="C171" s="74" t="str">
        <f>IF(A171="","",-PMT('Model Inputs'!$C$75,'Model Inputs'!$C$74,'Model Inputs'!$C$72))</f>
        <v/>
      </c>
      <c r="D171" s="74" t="str">
        <f t="shared" si="5"/>
        <v/>
      </c>
      <c r="E171" s="76" t="str">
        <f>IF(A171="","",'Model Inputs'!$C$75*B171)</f>
        <v/>
      </c>
    </row>
    <row r="172" spans="1:5" ht="18" customHeight="1" x14ac:dyDescent="0.2">
      <c r="A172" s="37" t="str">
        <f>IF(A171&gt;='Model Inputs'!$C$74,"",A171+1)</f>
        <v/>
      </c>
      <c r="B172" s="67" t="str">
        <f t="shared" si="4"/>
        <v/>
      </c>
      <c r="C172" s="74" t="str">
        <f>IF(A172="","",-PMT('Model Inputs'!$C$75,'Model Inputs'!$C$74,'Model Inputs'!$C$72))</f>
        <v/>
      </c>
      <c r="D172" s="74" t="str">
        <f t="shared" si="5"/>
        <v/>
      </c>
      <c r="E172" s="76" t="str">
        <f>IF(A172="","",'Model Inputs'!$C$75*B172)</f>
        <v/>
      </c>
    </row>
    <row r="173" spans="1:5" ht="18" customHeight="1" x14ac:dyDescent="0.2">
      <c r="A173" s="37" t="str">
        <f>IF(A172&gt;='Model Inputs'!$C$74,"",A172+1)</f>
        <v/>
      </c>
      <c r="B173" s="67" t="str">
        <f t="shared" si="4"/>
        <v/>
      </c>
      <c r="C173" s="74" t="str">
        <f>IF(A173="","",-PMT('Model Inputs'!$C$75,'Model Inputs'!$C$74,'Model Inputs'!$C$72))</f>
        <v/>
      </c>
      <c r="D173" s="74" t="str">
        <f t="shared" si="5"/>
        <v/>
      </c>
      <c r="E173" s="76" t="str">
        <f>IF(A173="","",'Model Inputs'!$C$75*B173)</f>
        <v/>
      </c>
    </row>
    <row r="174" spans="1:5" ht="18" customHeight="1" x14ac:dyDescent="0.2">
      <c r="A174" s="37" t="str">
        <f>IF(A173&gt;='Model Inputs'!$C$74,"",A173+1)</f>
        <v/>
      </c>
      <c r="B174" s="67" t="str">
        <f t="shared" si="4"/>
        <v/>
      </c>
      <c r="C174" s="74" t="str">
        <f>IF(A174="","",-PMT('Model Inputs'!$C$75,'Model Inputs'!$C$74,'Model Inputs'!$C$72))</f>
        <v/>
      </c>
      <c r="D174" s="74" t="str">
        <f t="shared" si="5"/>
        <v/>
      </c>
      <c r="E174" s="76" t="str">
        <f>IF(A174="","",'Model Inputs'!$C$75*B174)</f>
        <v/>
      </c>
    </row>
    <row r="175" spans="1:5" ht="18" customHeight="1" x14ac:dyDescent="0.2">
      <c r="A175" s="37" t="str">
        <f>IF(A174&gt;='Model Inputs'!$C$74,"",A174+1)</f>
        <v/>
      </c>
      <c r="B175" s="67" t="str">
        <f t="shared" si="4"/>
        <v/>
      </c>
      <c r="C175" s="74" t="str">
        <f>IF(A175="","",-PMT('Model Inputs'!$C$75,'Model Inputs'!$C$74,'Model Inputs'!$C$72))</f>
        <v/>
      </c>
      <c r="D175" s="74" t="str">
        <f t="shared" si="5"/>
        <v/>
      </c>
      <c r="E175" s="76" t="str">
        <f>IF(A175="","",'Model Inputs'!$C$75*B175)</f>
        <v/>
      </c>
    </row>
    <row r="176" spans="1:5" ht="18" customHeight="1" x14ac:dyDescent="0.2">
      <c r="A176" s="37" t="str">
        <f>IF(A175&gt;='Model Inputs'!$C$74,"",A175+1)</f>
        <v/>
      </c>
      <c r="B176" s="67" t="str">
        <f t="shared" si="4"/>
        <v/>
      </c>
      <c r="C176" s="74" t="str">
        <f>IF(A176="","",-PMT('Model Inputs'!$C$75,'Model Inputs'!$C$74,'Model Inputs'!$C$72))</f>
        <v/>
      </c>
      <c r="D176" s="74" t="str">
        <f t="shared" si="5"/>
        <v/>
      </c>
      <c r="E176" s="76" t="str">
        <f>IF(A176="","",'Model Inputs'!$C$75*B176)</f>
        <v/>
      </c>
    </row>
    <row r="177" spans="1:5" ht="18" customHeight="1" x14ac:dyDescent="0.2">
      <c r="A177" s="37" t="str">
        <f>IF(A176&gt;='Model Inputs'!$C$74,"",A176+1)</f>
        <v/>
      </c>
      <c r="B177" s="67" t="str">
        <f t="shared" si="4"/>
        <v/>
      </c>
      <c r="C177" s="74" t="str">
        <f>IF(A177="","",-PMT('Model Inputs'!$C$75,'Model Inputs'!$C$74,'Model Inputs'!$C$72))</f>
        <v/>
      </c>
      <c r="D177" s="74" t="str">
        <f t="shared" si="5"/>
        <v/>
      </c>
      <c r="E177" s="76" t="str">
        <f>IF(A177="","",'Model Inputs'!$C$75*B177)</f>
        <v/>
      </c>
    </row>
    <row r="178" spans="1:5" ht="18" customHeight="1" x14ac:dyDescent="0.2">
      <c r="A178" s="37" t="str">
        <f>IF(A177&gt;='Model Inputs'!$C$74,"",A177+1)</f>
        <v/>
      </c>
      <c r="B178" s="67" t="str">
        <f t="shared" si="4"/>
        <v/>
      </c>
      <c r="C178" s="74" t="str">
        <f>IF(A178="","",-PMT('Model Inputs'!$C$75,'Model Inputs'!$C$74,'Model Inputs'!$C$72))</f>
        <v/>
      </c>
      <c r="D178" s="74" t="str">
        <f t="shared" si="5"/>
        <v/>
      </c>
      <c r="E178" s="76" t="str">
        <f>IF(A178="","",'Model Inputs'!$C$75*B178)</f>
        <v/>
      </c>
    </row>
    <row r="179" spans="1:5" ht="18" customHeight="1" x14ac:dyDescent="0.2">
      <c r="A179" s="37" t="str">
        <f>IF(A178&gt;='Model Inputs'!$C$74,"",A178+1)</f>
        <v/>
      </c>
      <c r="B179" s="67" t="str">
        <f t="shared" si="4"/>
        <v/>
      </c>
      <c r="C179" s="74" t="str">
        <f>IF(A179="","",-PMT('Model Inputs'!$C$75,'Model Inputs'!$C$74,'Model Inputs'!$C$72))</f>
        <v/>
      </c>
      <c r="D179" s="74" t="str">
        <f t="shared" si="5"/>
        <v/>
      </c>
      <c r="E179" s="76" t="str">
        <f>IF(A179="","",'Model Inputs'!$C$75*B179)</f>
        <v/>
      </c>
    </row>
    <row r="180" spans="1:5" ht="18" customHeight="1" x14ac:dyDescent="0.2">
      <c r="A180" s="37" t="str">
        <f>IF(A179&gt;='Model Inputs'!$C$74,"",A179+1)</f>
        <v/>
      </c>
      <c r="B180" s="67" t="str">
        <f t="shared" si="4"/>
        <v/>
      </c>
      <c r="C180" s="74" t="str">
        <f>IF(A180="","",-PMT('Model Inputs'!$C$75,'Model Inputs'!$C$74,'Model Inputs'!$C$72))</f>
        <v/>
      </c>
      <c r="D180" s="74" t="str">
        <f t="shared" si="5"/>
        <v/>
      </c>
      <c r="E180" s="76" t="str">
        <f>IF(A180="","",'Model Inputs'!$C$75*B180)</f>
        <v/>
      </c>
    </row>
    <row r="181" spans="1:5" ht="18" customHeight="1" x14ac:dyDescent="0.2">
      <c r="A181" s="37" t="str">
        <f>IF(A180&gt;='Model Inputs'!$C$74,"",A180+1)</f>
        <v/>
      </c>
      <c r="B181" s="67" t="str">
        <f t="shared" si="4"/>
        <v/>
      </c>
      <c r="C181" s="74" t="str">
        <f>IF(A181="","",-PMT('Model Inputs'!$C$75,'Model Inputs'!$C$74,'Model Inputs'!$C$72))</f>
        <v/>
      </c>
      <c r="D181" s="74" t="str">
        <f t="shared" si="5"/>
        <v/>
      </c>
      <c r="E181" s="76" t="str">
        <f>IF(A181="","",'Model Inputs'!$C$75*B181)</f>
        <v/>
      </c>
    </row>
    <row r="182" spans="1:5" ht="18" customHeight="1" x14ac:dyDescent="0.2">
      <c r="A182" s="37" t="str">
        <f>IF(A181&gt;='Model Inputs'!$C$74,"",A181+1)</f>
        <v/>
      </c>
      <c r="B182" s="67" t="str">
        <f t="shared" si="4"/>
        <v/>
      </c>
      <c r="C182" s="74" t="str">
        <f>IF(A182="","",-PMT('Model Inputs'!$C$75,'Model Inputs'!$C$74,'Model Inputs'!$C$72))</f>
        <v/>
      </c>
      <c r="D182" s="74" t="str">
        <f t="shared" si="5"/>
        <v/>
      </c>
      <c r="E182" s="76" t="str">
        <f>IF(A182="","",'Model Inputs'!$C$75*B182)</f>
        <v/>
      </c>
    </row>
    <row r="183" spans="1:5" ht="18" customHeight="1" x14ac:dyDescent="0.2">
      <c r="A183" s="37" t="str">
        <f>IF(A182&gt;='Model Inputs'!$C$74,"",A182+1)</f>
        <v/>
      </c>
      <c r="B183" s="67" t="str">
        <f t="shared" si="4"/>
        <v/>
      </c>
      <c r="C183" s="74" t="str">
        <f>IF(A183="","",-PMT('Model Inputs'!$C$75,'Model Inputs'!$C$74,'Model Inputs'!$C$72))</f>
        <v/>
      </c>
      <c r="D183" s="74" t="str">
        <f t="shared" si="5"/>
        <v/>
      </c>
      <c r="E183" s="76" t="str">
        <f>IF(A183="","",'Model Inputs'!$C$75*B183)</f>
        <v/>
      </c>
    </row>
    <row r="184" spans="1:5" ht="18" customHeight="1" x14ac:dyDescent="0.2">
      <c r="A184" s="37" t="str">
        <f>IF(A183&gt;='Model Inputs'!$C$74,"",A183+1)</f>
        <v/>
      </c>
      <c r="B184" s="67" t="str">
        <f t="shared" si="4"/>
        <v/>
      </c>
      <c r="C184" s="74" t="str">
        <f>IF(A184="","",-PMT('Model Inputs'!$C$75,'Model Inputs'!$C$74,'Model Inputs'!$C$72))</f>
        <v/>
      </c>
      <c r="D184" s="74" t="str">
        <f t="shared" si="5"/>
        <v/>
      </c>
      <c r="E184" s="76" t="str">
        <f>IF(A184="","",'Model Inputs'!$C$75*B184)</f>
        <v/>
      </c>
    </row>
    <row r="185" spans="1:5" ht="18" customHeight="1" x14ac:dyDescent="0.2">
      <c r="A185" s="37" t="str">
        <f>IF(A184&gt;='Model Inputs'!$C$74,"",A184+1)</f>
        <v/>
      </c>
      <c r="B185" s="67" t="str">
        <f t="shared" si="4"/>
        <v/>
      </c>
      <c r="C185" s="74" t="str">
        <f>IF(A185="","",-PMT('Model Inputs'!$C$75,'Model Inputs'!$C$74,'Model Inputs'!$C$72))</f>
        <v/>
      </c>
      <c r="D185" s="74" t="str">
        <f t="shared" si="5"/>
        <v/>
      </c>
      <c r="E185" s="76" t="str">
        <f>IF(A185="","",'Model Inputs'!$C$75*B185)</f>
        <v/>
      </c>
    </row>
    <row r="186" spans="1:5" ht="18" customHeight="1" x14ac:dyDescent="0.2">
      <c r="A186" s="37" t="str">
        <f>IF(A185&gt;='Model Inputs'!$C$74,"",A185+1)</f>
        <v/>
      </c>
      <c r="B186" s="67" t="str">
        <f t="shared" si="4"/>
        <v/>
      </c>
      <c r="C186" s="74" t="str">
        <f>IF(A186="","",-PMT('Model Inputs'!$C$75,'Model Inputs'!$C$74,'Model Inputs'!$C$72))</f>
        <v/>
      </c>
      <c r="D186" s="74" t="str">
        <f t="shared" si="5"/>
        <v/>
      </c>
      <c r="E186" s="76" t="str">
        <f>IF(A186="","",'Model Inputs'!$C$75*B186)</f>
        <v/>
      </c>
    </row>
    <row r="187" spans="1:5" ht="18" customHeight="1" x14ac:dyDescent="0.2">
      <c r="A187" s="37" t="str">
        <f>IF(A186&gt;='Model Inputs'!$C$74,"",A186+1)</f>
        <v/>
      </c>
      <c r="B187" s="67" t="str">
        <f t="shared" si="4"/>
        <v/>
      </c>
      <c r="C187" s="74" t="str">
        <f>IF(A187="","",-PMT('Model Inputs'!$C$75,'Model Inputs'!$C$74,'Model Inputs'!$C$72))</f>
        <v/>
      </c>
      <c r="D187" s="74" t="str">
        <f t="shared" si="5"/>
        <v/>
      </c>
      <c r="E187" s="76" t="str">
        <f>IF(A187="","",'Model Inputs'!$C$75*B187)</f>
        <v/>
      </c>
    </row>
    <row r="188" spans="1:5" ht="18" customHeight="1" x14ac:dyDescent="0.2">
      <c r="A188" s="37" t="str">
        <f>IF(A187&gt;='Model Inputs'!$C$74,"",A187+1)</f>
        <v/>
      </c>
      <c r="B188" s="67" t="str">
        <f t="shared" si="4"/>
        <v/>
      </c>
      <c r="C188" s="74" t="str">
        <f>IF(A188="","",-PMT('Model Inputs'!$C$75,'Model Inputs'!$C$74,'Model Inputs'!$C$72))</f>
        <v/>
      </c>
      <c r="D188" s="74" t="str">
        <f t="shared" si="5"/>
        <v/>
      </c>
      <c r="E188" s="76" t="str">
        <f>IF(A188="","",'Model Inputs'!$C$75*B188)</f>
        <v/>
      </c>
    </row>
    <row r="189" spans="1:5" ht="18" customHeight="1" x14ac:dyDescent="0.2">
      <c r="A189" s="37" t="str">
        <f>IF(A188&gt;='Model Inputs'!$C$74,"",A188+1)</f>
        <v/>
      </c>
      <c r="B189" s="67" t="str">
        <f t="shared" si="4"/>
        <v/>
      </c>
      <c r="C189" s="74" t="str">
        <f>IF(A189="","",-PMT('Model Inputs'!$C$75,'Model Inputs'!$C$74,'Model Inputs'!$C$72))</f>
        <v/>
      </c>
      <c r="D189" s="74" t="str">
        <f t="shared" si="5"/>
        <v/>
      </c>
      <c r="E189" s="76" t="str">
        <f>IF(A189="","",'Model Inputs'!$C$75*B189)</f>
        <v/>
      </c>
    </row>
    <row r="190" spans="1:5" ht="18" customHeight="1" x14ac:dyDescent="0.2">
      <c r="A190" s="37" t="str">
        <f>IF(A189&gt;='Model Inputs'!$C$74,"",A189+1)</f>
        <v/>
      </c>
      <c r="B190" s="67" t="str">
        <f t="shared" si="4"/>
        <v/>
      </c>
      <c r="C190" s="74" t="str">
        <f>IF(A190="","",-PMT('Model Inputs'!$C$75,'Model Inputs'!$C$74,'Model Inputs'!$C$72))</f>
        <v/>
      </c>
      <c r="D190" s="74" t="str">
        <f t="shared" si="5"/>
        <v/>
      </c>
      <c r="E190" s="76" t="str">
        <f>IF(A190="","",'Model Inputs'!$C$75*B190)</f>
        <v/>
      </c>
    </row>
    <row r="191" spans="1:5" ht="18" customHeight="1" x14ac:dyDescent="0.2">
      <c r="A191" s="37" t="str">
        <f>IF(A190&gt;='Model Inputs'!$C$74,"",A190+1)</f>
        <v/>
      </c>
      <c r="B191" s="67" t="str">
        <f t="shared" si="4"/>
        <v/>
      </c>
      <c r="C191" s="74" t="str">
        <f>IF(A191="","",-PMT('Model Inputs'!$C$75,'Model Inputs'!$C$74,'Model Inputs'!$C$72))</f>
        <v/>
      </c>
      <c r="D191" s="74" t="str">
        <f t="shared" si="5"/>
        <v/>
      </c>
      <c r="E191" s="76" t="str">
        <f>IF(A191="","",'Model Inputs'!$C$75*B191)</f>
        <v/>
      </c>
    </row>
    <row r="192" spans="1:5" ht="18" customHeight="1" x14ac:dyDescent="0.2">
      <c r="A192" s="37" t="str">
        <f>IF(A191&gt;='Model Inputs'!$C$74,"",A191+1)</f>
        <v/>
      </c>
      <c r="B192" s="67" t="str">
        <f t="shared" si="4"/>
        <v/>
      </c>
      <c r="C192" s="74" t="str">
        <f>IF(A192="","",-PMT('Model Inputs'!$C$75,'Model Inputs'!$C$74,'Model Inputs'!$C$72))</f>
        <v/>
      </c>
      <c r="D192" s="74" t="str">
        <f t="shared" si="5"/>
        <v/>
      </c>
      <c r="E192" s="76" t="str">
        <f>IF(A192="","",'Model Inputs'!$C$75*B192)</f>
        <v/>
      </c>
    </row>
    <row r="193" spans="1:5" ht="18" customHeight="1" x14ac:dyDescent="0.2">
      <c r="A193" s="37" t="str">
        <f>IF(A192&gt;='Model Inputs'!$C$74,"",A192+1)</f>
        <v/>
      </c>
      <c r="B193" s="67" t="str">
        <f t="shared" si="4"/>
        <v/>
      </c>
      <c r="C193" s="74" t="str">
        <f>IF(A193="","",-PMT('Model Inputs'!$C$75,'Model Inputs'!$C$74,'Model Inputs'!$C$72))</f>
        <v/>
      </c>
      <c r="D193" s="74" t="str">
        <f t="shared" si="5"/>
        <v/>
      </c>
      <c r="E193" s="76" t="str">
        <f>IF(A193="","",'Model Inputs'!$C$75*B193)</f>
        <v/>
      </c>
    </row>
    <row r="194" spans="1:5" ht="18" customHeight="1" x14ac:dyDescent="0.2">
      <c r="A194" s="37" t="str">
        <f>IF(A193&gt;='Model Inputs'!$C$74,"",A193+1)</f>
        <v/>
      </c>
      <c r="B194" s="67" t="str">
        <f t="shared" si="4"/>
        <v/>
      </c>
      <c r="C194" s="74" t="str">
        <f>IF(A194="","",-PMT('Model Inputs'!$C$75,'Model Inputs'!$C$74,'Model Inputs'!$C$72))</f>
        <v/>
      </c>
      <c r="D194" s="74" t="str">
        <f t="shared" si="5"/>
        <v/>
      </c>
      <c r="E194" s="76" t="str">
        <f>IF(A194="","",'Model Inputs'!$C$75*B194)</f>
        <v/>
      </c>
    </row>
    <row r="195" spans="1:5" ht="18" customHeight="1" x14ac:dyDescent="0.2">
      <c r="A195" s="37" t="str">
        <f>IF(A194&gt;='Model Inputs'!$C$74,"",A194+1)</f>
        <v/>
      </c>
      <c r="B195" s="67" t="str">
        <f t="shared" si="4"/>
        <v/>
      </c>
      <c r="C195" s="74" t="str">
        <f>IF(A195="","",-PMT('Model Inputs'!$C$75,'Model Inputs'!$C$74,'Model Inputs'!$C$72))</f>
        <v/>
      </c>
      <c r="D195" s="74" t="str">
        <f t="shared" si="5"/>
        <v/>
      </c>
      <c r="E195" s="76" t="str">
        <f>IF(A195="","",'Model Inputs'!$C$75*B195)</f>
        <v/>
      </c>
    </row>
    <row r="196" spans="1:5" ht="18" customHeight="1" x14ac:dyDescent="0.2">
      <c r="A196" s="37" t="str">
        <f>IF(A195&gt;='Model Inputs'!$C$74,"",A195+1)</f>
        <v/>
      </c>
      <c r="B196" s="67" t="str">
        <f t="shared" si="4"/>
        <v/>
      </c>
      <c r="C196" s="74" t="str">
        <f>IF(A196="","",-PMT('Model Inputs'!$C$75,'Model Inputs'!$C$74,'Model Inputs'!$C$72))</f>
        <v/>
      </c>
      <c r="D196" s="74" t="str">
        <f t="shared" si="5"/>
        <v/>
      </c>
      <c r="E196" s="76" t="str">
        <f>IF(A196="","",'Model Inputs'!$C$75*B196)</f>
        <v/>
      </c>
    </row>
    <row r="197" spans="1:5" ht="18" customHeight="1" x14ac:dyDescent="0.2">
      <c r="A197" s="37" t="str">
        <f>IF(A196&gt;='Model Inputs'!$C$74,"",A196+1)</f>
        <v/>
      </c>
      <c r="B197" s="67" t="str">
        <f t="shared" si="4"/>
        <v/>
      </c>
      <c r="C197" s="74" t="str">
        <f>IF(A197="","",-PMT('Model Inputs'!$C$75,'Model Inputs'!$C$74,'Model Inputs'!$C$72))</f>
        <v/>
      </c>
      <c r="D197" s="74" t="str">
        <f t="shared" si="5"/>
        <v/>
      </c>
      <c r="E197" s="76" t="str">
        <f>IF(A197="","",'Model Inputs'!$C$75*B197)</f>
        <v/>
      </c>
    </row>
    <row r="198" spans="1:5" ht="18" customHeight="1" x14ac:dyDescent="0.2">
      <c r="A198" s="37" t="str">
        <f>IF(A197&gt;='Model Inputs'!$C$74,"",A197+1)</f>
        <v/>
      </c>
      <c r="B198" s="67" t="str">
        <f t="shared" si="4"/>
        <v/>
      </c>
      <c r="C198" s="74" t="str">
        <f>IF(A198="","",-PMT('Model Inputs'!$C$75,'Model Inputs'!$C$74,'Model Inputs'!$C$72))</f>
        <v/>
      </c>
      <c r="D198" s="74" t="str">
        <f t="shared" si="5"/>
        <v/>
      </c>
      <c r="E198" s="76" t="str">
        <f>IF(A198="","",'Model Inputs'!$C$75*B198)</f>
        <v/>
      </c>
    </row>
    <row r="199" spans="1:5" ht="18" customHeight="1" x14ac:dyDescent="0.2">
      <c r="A199" s="37" t="str">
        <f>IF(A198&gt;='Model Inputs'!$C$74,"",A198+1)</f>
        <v/>
      </c>
      <c r="B199" s="67" t="str">
        <f t="shared" si="4"/>
        <v/>
      </c>
      <c r="C199" s="74" t="str">
        <f>IF(A199="","",-PMT('Model Inputs'!$C$75,'Model Inputs'!$C$74,'Model Inputs'!$C$72))</f>
        <v/>
      </c>
      <c r="D199" s="74" t="str">
        <f t="shared" si="5"/>
        <v/>
      </c>
      <c r="E199" s="76" t="str">
        <f>IF(A199="","",'Model Inputs'!$C$75*B199)</f>
        <v/>
      </c>
    </row>
    <row r="200" spans="1:5" ht="18" customHeight="1" x14ac:dyDescent="0.2">
      <c r="A200" s="37" t="str">
        <f>IF(A199&gt;='Model Inputs'!$C$74,"",A199+1)</f>
        <v/>
      </c>
      <c r="B200" s="67" t="str">
        <f t="shared" ref="B200:B263" si="6">IF(A200="","",B199-D199)</f>
        <v/>
      </c>
      <c r="C200" s="74" t="str">
        <f>IF(A200="","",-PMT('Model Inputs'!$C$75,'Model Inputs'!$C$74,'Model Inputs'!$C$72))</f>
        <v/>
      </c>
      <c r="D200" s="74" t="str">
        <f t="shared" ref="D200:D263" si="7">IF(A200="","",C200-E200)</f>
        <v/>
      </c>
      <c r="E200" s="76" t="str">
        <f>IF(A200="","",'Model Inputs'!$C$75*B200)</f>
        <v/>
      </c>
    </row>
    <row r="201" spans="1:5" ht="18" customHeight="1" x14ac:dyDescent="0.2">
      <c r="A201" s="37" t="str">
        <f>IF(A200&gt;='Model Inputs'!$C$74,"",A200+1)</f>
        <v/>
      </c>
      <c r="B201" s="67" t="str">
        <f t="shared" si="6"/>
        <v/>
      </c>
      <c r="C201" s="74" t="str">
        <f>IF(A201="","",-PMT('Model Inputs'!$C$75,'Model Inputs'!$C$74,'Model Inputs'!$C$72))</f>
        <v/>
      </c>
      <c r="D201" s="74" t="str">
        <f t="shared" si="7"/>
        <v/>
      </c>
      <c r="E201" s="76" t="str">
        <f>IF(A201="","",'Model Inputs'!$C$75*B201)</f>
        <v/>
      </c>
    </row>
    <row r="202" spans="1:5" ht="18" customHeight="1" x14ac:dyDescent="0.2">
      <c r="A202" s="37" t="str">
        <f>IF(A201&gt;='Model Inputs'!$C$74,"",A201+1)</f>
        <v/>
      </c>
      <c r="B202" s="67" t="str">
        <f t="shared" si="6"/>
        <v/>
      </c>
      <c r="C202" s="74" t="str">
        <f>IF(A202="","",-PMT('Model Inputs'!$C$75,'Model Inputs'!$C$74,'Model Inputs'!$C$72))</f>
        <v/>
      </c>
      <c r="D202" s="74" t="str">
        <f t="shared" si="7"/>
        <v/>
      </c>
      <c r="E202" s="76" t="str">
        <f>IF(A202="","",'Model Inputs'!$C$75*B202)</f>
        <v/>
      </c>
    </row>
    <row r="203" spans="1:5" ht="18" customHeight="1" x14ac:dyDescent="0.2">
      <c r="A203" s="37" t="str">
        <f>IF(A202&gt;='Model Inputs'!$C$74,"",A202+1)</f>
        <v/>
      </c>
      <c r="B203" s="67" t="str">
        <f t="shared" si="6"/>
        <v/>
      </c>
      <c r="C203" s="74" t="str">
        <f>IF(A203="","",-PMT('Model Inputs'!$C$75,'Model Inputs'!$C$74,'Model Inputs'!$C$72))</f>
        <v/>
      </c>
      <c r="D203" s="74" t="str">
        <f t="shared" si="7"/>
        <v/>
      </c>
      <c r="E203" s="76" t="str">
        <f>IF(A203="","",'Model Inputs'!$C$75*B203)</f>
        <v/>
      </c>
    </row>
    <row r="204" spans="1:5" ht="18" customHeight="1" x14ac:dyDescent="0.2">
      <c r="A204" s="37" t="str">
        <f>IF(A203&gt;='Model Inputs'!$C$74,"",A203+1)</f>
        <v/>
      </c>
      <c r="B204" s="67" t="str">
        <f t="shared" si="6"/>
        <v/>
      </c>
      <c r="C204" s="74" t="str">
        <f>IF(A204="","",-PMT('Model Inputs'!$C$75,'Model Inputs'!$C$74,'Model Inputs'!$C$72))</f>
        <v/>
      </c>
      <c r="D204" s="74" t="str">
        <f t="shared" si="7"/>
        <v/>
      </c>
      <c r="E204" s="76" t="str">
        <f>IF(A204="","",'Model Inputs'!$C$75*B204)</f>
        <v/>
      </c>
    </row>
    <row r="205" spans="1:5" ht="18" customHeight="1" x14ac:dyDescent="0.2">
      <c r="A205" s="37" t="str">
        <f>IF(A204&gt;='Model Inputs'!$C$74,"",A204+1)</f>
        <v/>
      </c>
      <c r="B205" s="67" t="str">
        <f t="shared" si="6"/>
        <v/>
      </c>
      <c r="C205" s="74" t="str">
        <f>IF(A205="","",-PMT('Model Inputs'!$C$75,'Model Inputs'!$C$74,'Model Inputs'!$C$72))</f>
        <v/>
      </c>
      <c r="D205" s="74" t="str">
        <f t="shared" si="7"/>
        <v/>
      </c>
      <c r="E205" s="76" t="str">
        <f>IF(A205="","",'Model Inputs'!$C$75*B205)</f>
        <v/>
      </c>
    </row>
    <row r="206" spans="1:5" ht="18" customHeight="1" x14ac:dyDescent="0.2">
      <c r="A206" s="37" t="str">
        <f>IF(A205&gt;='Model Inputs'!$C$74,"",A205+1)</f>
        <v/>
      </c>
      <c r="B206" s="67" t="str">
        <f t="shared" si="6"/>
        <v/>
      </c>
      <c r="C206" s="74" t="str">
        <f>IF(A206="","",-PMT('Model Inputs'!$C$75,'Model Inputs'!$C$74,'Model Inputs'!$C$72))</f>
        <v/>
      </c>
      <c r="D206" s="74" t="str">
        <f t="shared" si="7"/>
        <v/>
      </c>
      <c r="E206" s="76" t="str">
        <f>IF(A206="","",'Model Inputs'!$C$75*B206)</f>
        <v/>
      </c>
    </row>
    <row r="207" spans="1:5" ht="18" customHeight="1" x14ac:dyDescent="0.2">
      <c r="A207" s="37" t="str">
        <f>IF(A206&gt;='Model Inputs'!$C$74,"",A206+1)</f>
        <v/>
      </c>
      <c r="B207" s="67" t="str">
        <f t="shared" si="6"/>
        <v/>
      </c>
      <c r="C207" s="74" t="str">
        <f>IF(A207="","",-PMT('Model Inputs'!$C$75,'Model Inputs'!$C$74,'Model Inputs'!$C$72))</f>
        <v/>
      </c>
      <c r="D207" s="74" t="str">
        <f t="shared" si="7"/>
        <v/>
      </c>
      <c r="E207" s="76" t="str">
        <f>IF(A207="","",'Model Inputs'!$C$75*B207)</f>
        <v/>
      </c>
    </row>
    <row r="208" spans="1:5" ht="18" customHeight="1" x14ac:dyDescent="0.2">
      <c r="A208" s="37" t="str">
        <f>IF(A207&gt;='Model Inputs'!$C$74,"",A207+1)</f>
        <v/>
      </c>
      <c r="B208" s="67" t="str">
        <f t="shared" si="6"/>
        <v/>
      </c>
      <c r="C208" s="74" t="str">
        <f>IF(A208="","",-PMT('Model Inputs'!$C$75,'Model Inputs'!$C$74,'Model Inputs'!$C$72))</f>
        <v/>
      </c>
      <c r="D208" s="74" t="str">
        <f t="shared" si="7"/>
        <v/>
      </c>
      <c r="E208" s="76" t="str">
        <f>IF(A208="","",'Model Inputs'!$C$75*B208)</f>
        <v/>
      </c>
    </row>
    <row r="209" spans="1:5" ht="18" customHeight="1" x14ac:dyDescent="0.2">
      <c r="A209" s="37" t="str">
        <f>IF(A208&gt;='Model Inputs'!$C$74,"",A208+1)</f>
        <v/>
      </c>
      <c r="B209" s="67" t="str">
        <f t="shared" si="6"/>
        <v/>
      </c>
      <c r="C209" s="74" t="str">
        <f>IF(A209="","",-PMT('Model Inputs'!$C$75,'Model Inputs'!$C$74,'Model Inputs'!$C$72))</f>
        <v/>
      </c>
      <c r="D209" s="74" t="str">
        <f t="shared" si="7"/>
        <v/>
      </c>
      <c r="E209" s="76" t="str">
        <f>IF(A209="","",'Model Inputs'!$C$75*B209)</f>
        <v/>
      </c>
    </row>
    <row r="210" spans="1:5" ht="18" customHeight="1" x14ac:dyDescent="0.2">
      <c r="A210" s="37" t="str">
        <f>IF(A209&gt;='Model Inputs'!$C$74,"",A209+1)</f>
        <v/>
      </c>
      <c r="B210" s="67" t="str">
        <f t="shared" si="6"/>
        <v/>
      </c>
      <c r="C210" s="74" t="str">
        <f>IF(A210="","",-PMT('Model Inputs'!$C$75,'Model Inputs'!$C$74,'Model Inputs'!$C$72))</f>
        <v/>
      </c>
      <c r="D210" s="74" t="str">
        <f t="shared" si="7"/>
        <v/>
      </c>
      <c r="E210" s="76" t="str">
        <f>IF(A210="","",'Model Inputs'!$C$75*B210)</f>
        <v/>
      </c>
    </row>
    <row r="211" spans="1:5" ht="18" customHeight="1" x14ac:dyDescent="0.2">
      <c r="A211" s="37" t="str">
        <f>IF(A210&gt;='Model Inputs'!$C$74,"",A210+1)</f>
        <v/>
      </c>
      <c r="B211" s="67" t="str">
        <f t="shared" si="6"/>
        <v/>
      </c>
      <c r="C211" s="74" t="str">
        <f>IF(A211="","",-PMT('Model Inputs'!$C$75,'Model Inputs'!$C$74,'Model Inputs'!$C$72))</f>
        <v/>
      </c>
      <c r="D211" s="74" t="str">
        <f t="shared" si="7"/>
        <v/>
      </c>
      <c r="E211" s="76" t="str">
        <f>IF(A211="","",'Model Inputs'!$C$75*B211)</f>
        <v/>
      </c>
    </row>
    <row r="212" spans="1:5" ht="18" customHeight="1" x14ac:dyDescent="0.2">
      <c r="A212" s="37" t="str">
        <f>IF(A211&gt;='Model Inputs'!$C$74,"",A211+1)</f>
        <v/>
      </c>
      <c r="B212" s="67" t="str">
        <f t="shared" si="6"/>
        <v/>
      </c>
      <c r="C212" s="74" t="str">
        <f>IF(A212="","",-PMT('Model Inputs'!$C$75,'Model Inputs'!$C$74,'Model Inputs'!$C$72))</f>
        <v/>
      </c>
      <c r="D212" s="74" t="str">
        <f t="shared" si="7"/>
        <v/>
      </c>
      <c r="E212" s="76" t="str">
        <f>IF(A212="","",'Model Inputs'!$C$75*B212)</f>
        <v/>
      </c>
    </row>
    <row r="213" spans="1:5" ht="18" customHeight="1" x14ac:dyDescent="0.2">
      <c r="A213" s="37" t="str">
        <f>IF(A212&gt;='Model Inputs'!$C$74,"",A212+1)</f>
        <v/>
      </c>
      <c r="B213" s="67" t="str">
        <f t="shared" si="6"/>
        <v/>
      </c>
      <c r="C213" s="74" t="str">
        <f>IF(A213="","",-PMT('Model Inputs'!$C$75,'Model Inputs'!$C$74,'Model Inputs'!$C$72))</f>
        <v/>
      </c>
      <c r="D213" s="74" t="str">
        <f t="shared" si="7"/>
        <v/>
      </c>
      <c r="E213" s="76" t="str">
        <f>IF(A213="","",'Model Inputs'!$C$75*B213)</f>
        <v/>
      </c>
    </row>
    <row r="214" spans="1:5" ht="18" customHeight="1" x14ac:dyDescent="0.2">
      <c r="A214" s="37" t="str">
        <f>IF(A213&gt;='Model Inputs'!$C$74,"",A213+1)</f>
        <v/>
      </c>
      <c r="B214" s="67" t="str">
        <f t="shared" si="6"/>
        <v/>
      </c>
      <c r="C214" s="74" t="str">
        <f>IF(A214="","",-PMT('Model Inputs'!$C$75,'Model Inputs'!$C$74,'Model Inputs'!$C$72))</f>
        <v/>
      </c>
      <c r="D214" s="74" t="str">
        <f t="shared" si="7"/>
        <v/>
      </c>
      <c r="E214" s="76" t="str">
        <f>IF(A214="","",'Model Inputs'!$C$75*B214)</f>
        <v/>
      </c>
    </row>
    <row r="215" spans="1:5" ht="18" customHeight="1" x14ac:dyDescent="0.2">
      <c r="A215" s="37" t="str">
        <f>IF(A214&gt;='Model Inputs'!$C$74,"",A214+1)</f>
        <v/>
      </c>
      <c r="B215" s="67" t="str">
        <f t="shared" si="6"/>
        <v/>
      </c>
      <c r="C215" s="74" t="str">
        <f>IF(A215="","",-PMT('Model Inputs'!$C$75,'Model Inputs'!$C$74,'Model Inputs'!$C$72))</f>
        <v/>
      </c>
      <c r="D215" s="74" t="str">
        <f t="shared" si="7"/>
        <v/>
      </c>
      <c r="E215" s="76" t="str">
        <f>IF(A215="","",'Model Inputs'!$C$75*B215)</f>
        <v/>
      </c>
    </row>
    <row r="216" spans="1:5" ht="18" customHeight="1" x14ac:dyDescent="0.2">
      <c r="A216" s="37" t="str">
        <f>IF(A215&gt;='Model Inputs'!$C$74,"",A215+1)</f>
        <v/>
      </c>
      <c r="B216" s="67" t="str">
        <f t="shared" si="6"/>
        <v/>
      </c>
      <c r="C216" s="74" t="str">
        <f>IF(A216="","",-PMT('Model Inputs'!$C$75,'Model Inputs'!$C$74,'Model Inputs'!$C$72))</f>
        <v/>
      </c>
      <c r="D216" s="74" t="str">
        <f t="shared" si="7"/>
        <v/>
      </c>
      <c r="E216" s="76" t="str">
        <f>IF(A216="","",'Model Inputs'!$C$75*B216)</f>
        <v/>
      </c>
    </row>
    <row r="217" spans="1:5" ht="18" customHeight="1" x14ac:dyDescent="0.2">
      <c r="A217" s="37" t="str">
        <f>IF(A216&gt;='Model Inputs'!$C$74,"",A216+1)</f>
        <v/>
      </c>
      <c r="B217" s="67" t="str">
        <f t="shared" si="6"/>
        <v/>
      </c>
      <c r="C217" s="74" t="str">
        <f>IF(A217="","",-PMT('Model Inputs'!$C$75,'Model Inputs'!$C$74,'Model Inputs'!$C$72))</f>
        <v/>
      </c>
      <c r="D217" s="74" t="str">
        <f t="shared" si="7"/>
        <v/>
      </c>
      <c r="E217" s="76" t="str">
        <f>IF(A217="","",'Model Inputs'!$C$75*B217)</f>
        <v/>
      </c>
    </row>
    <row r="218" spans="1:5" ht="18" customHeight="1" x14ac:dyDescent="0.2">
      <c r="A218" s="37" t="str">
        <f>IF(A217&gt;='Model Inputs'!$C$74,"",A217+1)</f>
        <v/>
      </c>
      <c r="B218" s="67" t="str">
        <f t="shared" si="6"/>
        <v/>
      </c>
      <c r="C218" s="74" t="str">
        <f>IF(A218="","",-PMT('Model Inputs'!$C$75,'Model Inputs'!$C$74,'Model Inputs'!$C$72))</f>
        <v/>
      </c>
      <c r="D218" s="74" t="str">
        <f t="shared" si="7"/>
        <v/>
      </c>
      <c r="E218" s="76" t="str">
        <f>IF(A218="","",'Model Inputs'!$C$75*B218)</f>
        <v/>
      </c>
    </row>
    <row r="219" spans="1:5" ht="18" customHeight="1" x14ac:dyDescent="0.2">
      <c r="A219" s="37" t="str">
        <f>IF(A218&gt;='Model Inputs'!$C$74,"",A218+1)</f>
        <v/>
      </c>
      <c r="B219" s="67" t="str">
        <f t="shared" si="6"/>
        <v/>
      </c>
      <c r="C219" s="74" t="str">
        <f>IF(A219="","",-PMT('Model Inputs'!$C$75,'Model Inputs'!$C$74,'Model Inputs'!$C$72))</f>
        <v/>
      </c>
      <c r="D219" s="74" t="str">
        <f t="shared" si="7"/>
        <v/>
      </c>
      <c r="E219" s="76" t="str">
        <f>IF(A219="","",'Model Inputs'!$C$75*B219)</f>
        <v/>
      </c>
    </row>
    <row r="220" spans="1:5" ht="18" customHeight="1" x14ac:dyDescent="0.2">
      <c r="A220" s="37" t="str">
        <f>IF(A219&gt;='Model Inputs'!$C$74,"",A219+1)</f>
        <v/>
      </c>
      <c r="B220" s="67" t="str">
        <f t="shared" si="6"/>
        <v/>
      </c>
      <c r="C220" s="74" t="str">
        <f>IF(A220="","",-PMT('Model Inputs'!$C$75,'Model Inputs'!$C$74,'Model Inputs'!$C$72))</f>
        <v/>
      </c>
      <c r="D220" s="74" t="str">
        <f t="shared" si="7"/>
        <v/>
      </c>
      <c r="E220" s="76" t="str">
        <f>IF(A220="","",'Model Inputs'!$C$75*B220)</f>
        <v/>
      </c>
    </row>
    <row r="221" spans="1:5" ht="18" customHeight="1" x14ac:dyDescent="0.2">
      <c r="A221" s="37" t="str">
        <f>IF(A220&gt;='Model Inputs'!$C$74,"",A220+1)</f>
        <v/>
      </c>
      <c r="B221" s="67" t="str">
        <f t="shared" si="6"/>
        <v/>
      </c>
      <c r="C221" s="74" t="str">
        <f>IF(A221="","",-PMT('Model Inputs'!$C$75,'Model Inputs'!$C$74,'Model Inputs'!$C$72))</f>
        <v/>
      </c>
      <c r="D221" s="74" t="str">
        <f t="shared" si="7"/>
        <v/>
      </c>
      <c r="E221" s="76" t="str">
        <f>IF(A221="","",'Model Inputs'!$C$75*B221)</f>
        <v/>
      </c>
    </row>
    <row r="222" spans="1:5" ht="18" customHeight="1" x14ac:dyDescent="0.2">
      <c r="A222" s="37" t="str">
        <f>IF(A221&gt;='Model Inputs'!$C$74,"",A221+1)</f>
        <v/>
      </c>
      <c r="B222" s="67" t="str">
        <f t="shared" si="6"/>
        <v/>
      </c>
      <c r="C222" s="74" t="str">
        <f>IF(A222="","",-PMT('Model Inputs'!$C$75,'Model Inputs'!$C$74,'Model Inputs'!$C$72))</f>
        <v/>
      </c>
      <c r="D222" s="74" t="str">
        <f t="shared" si="7"/>
        <v/>
      </c>
      <c r="E222" s="76" t="str">
        <f>IF(A222="","",'Model Inputs'!$C$75*B222)</f>
        <v/>
      </c>
    </row>
    <row r="223" spans="1:5" ht="18" customHeight="1" x14ac:dyDescent="0.2">
      <c r="A223" s="37" t="str">
        <f>IF(A222&gt;='Model Inputs'!$C$74,"",A222+1)</f>
        <v/>
      </c>
      <c r="B223" s="67" t="str">
        <f t="shared" si="6"/>
        <v/>
      </c>
      <c r="C223" s="74" t="str">
        <f>IF(A223="","",-PMT('Model Inputs'!$C$75,'Model Inputs'!$C$74,'Model Inputs'!$C$72))</f>
        <v/>
      </c>
      <c r="D223" s="74" t="str">
        <f t="shared" si="7"/>
        <v/>
      </c>
      <c r="E223" s="76" t="str">
        <f>IF(A223="","",'Model Inputs'!$C$75*B223)</f>
        <v/>
      </c>
    </row>
    <row r="224" spans="1:5" ht="18" customHeight="1" x14ac:dyDescent="0.2">
      <c r="A224" s="37" t="str">
        <f>IF(A223&gt;='Model Inputs'!$C$74,"",A223+1)</f>
        <v/>
      </c>
      <c r="B224" s="67" t="str">
        <f t="shared" si="6"/>
        <v/>
      </c>
      <c r="C224" s="74" t="str">
        <f>IF(A224="","",-PMT('Model Inputs'!$C$75,'Model Inputs'!$C$74,'Model Inputs'!$C$72))</f>
        <v/>
      </c>
      <c r="D224" s="74" t="str">
        <f t="shared" si="7"/>
        <v/>
      </c>
      <c r="E224" s="76" t="str">
        <f>IF(A224="","",'Model Inputs'!$C$75*B224)</f>
        <v/>
      </c>
    </row>
    <row r="225" spans="1:5" ht="18" customHeight="1" x14ac:dyDescent="0.2">
      <c r="A225" s="37" t="str">
        <f>IF(A224&gt;='Model Inputs'!$C$74,"",A224+1)</f>
        <v/>
      </c>
      <c r="B225" s="67" t="str">
        <f t="shared" si="6"/>
        <v/>
      </c>
      <c r="C225" s="74" t="str">
        <f>IF(A225="","",-PMT('Model Inputs'!$C$75,'Model Inputs'!$C$74,'Model Inputs'!$C$72))</f>
        <v/>
      </c>
      <c r="D225" s="74" t="str">
        <f t="shared" si="7"/>
        <v/>
      </c>
      <c r="E225" s="76" t="str">
        <f>IF(A225="","",'Model Inputs'!$C$75*B225)</f>
        <v/>
      </c>
    </row>
    <row r="226" spans="1:5" ht="18" customHeight="1" x14ac:dyDescent="0.2">
      <c r="A226" s="37" t="str">
        <f>IF(A225&gt;='Model Inputs'!$C$74,"",A225+1)</f>
        <v/>
      </c>
      <c r="B226" s="67" t="str">
        <f t="shared" si="6"/>
        <v/>
      </c>
      <c r="C226" s="74" t="str">
        <f>IF(A226="","",-PMT('Model Inputs'!$C$75,'Model Inputs'!$C$74,'Model Inputs'!$C$72))</f>
        <v/>
      </c>
      <c r="D226" s="74" t="str">
        <f t="shared" si="7"/>
        <v/>
      </c>
      <c r="E226" s="76" t="str">
        <f>IF(A226="","",'Model Inputs'!$C$75*B226)</f>
        <v/>
      </c>
    </row>
    <row r="227" spans="1:5" ht="18" customHeight="1" x14ac:dyDescent="0.2">
      <c r="A227" s="37" t="str">
        <f>IF(A226&gt;='Model Inputs'!$C$74,"",A226+1)</f>
        <v/>
      </c>
      <c r="B227" s="67" t="str">
        <f t="shared" si="6"/>
        <v/>
      </c>
      <c r="C227" s="74" t="str">
        <f>IF(A227="","",-PMT('Model Inputs'!$C$75,'Model Inputs'!$C$74,'Model Inputs'!$C$72))</f>
        <v/>
      </c>
      <c r="D227" s="74" t="str">
        <f t="shared" si="7"/>
        <v/>
      </c>
      <c r="E227" s="76" t="str">
        <f>IF(A227="","",'Model Inputs'!$C$75*B227)</f>
        <v/>
      </c>
    </row>
    <row r="228" spans="1:5" ht="18" customHeight="1" x14ac:dyDescent="0.2">
      <c r="A228" s="37" t="str">
        <f>IF(A227&gt;='Model Inputs'!$C$74,"",A227+1)</f>
        <v/>
      </c>
      <c r="B228" s="67" t="str">
        <f t="shared" si="6"/>
        <v/>
      </c>
      <c r="C228" s="74" t="str">
        <f>IF(A228="","",-PMT('Model Inputs'!$C$75,'Model Inputs'!$C$74,'Model Inputs'!$C$72))</f>
        <v/>
      </c>
      <c r="D228" s="74" t="str">
        <f t="shared" si="7"/>
        <v/>
      </c>
      <c r="E228" s="76" t="str">
        <f>IF(A228="","",'Model Inputs'!$C$75*B228)</f>
        <v/>
      </c>
    </row>
    <row r="229" spans="1:5" ht="18" customHeight="1" x14ac:dyDescent="0.2">
      <c r="A229" s="37" t="str">
        <f>IF(A228&gt;='Model Inputs'!$C$74,"",A228+1)</f>
        <v/>
      </c>
      <c r="B229" s="67" t="str">
        <f t="shared" si="6"/>
        <v/>
      </c>
      <c r="C229" s="74" t="str">
        <f>IF(A229="","",-PMT('Model Inputs'!$C$75,'Model Inputs'!$C$74,'Model Inputs'!$C$72))</f>
        <v/>
      </c>
      <c r="D229" s="74" t="str">
        <f t="shared" si="7"/>
        <v/>
      </c>
      <c r="E229" s="76" t="str">
        <f>IF(A229="","",'Model Inputs'!$C$75*B229)</f>
        <v/>
      </c>
    </row>
    <row r="230" spans="1:5" ht="18" customHeight="1" x14ac:dyDescent="0.2">
      <c r="A230" s="37" t="str">
        <f>IF(A229&gt;='Model Inputs'!$C$74,"",A229+1)</f>
        <v/>
      </c>
      <c r="B230" s="67" t="str">
        <f t="shared" si="6"/>
        <v/>
      </c>
      <c r="C230" s="74" t="str">
        <f>IF(A230="","",-PMT('Model Inputs'!$C$75,'Model Inputs'!$C$74,'Model Inputs'!$C$72))</f>
        <v/>
      </c>
      <c r="D230" s="74" t="str">
        <f t="shared" si="7"/>
        <v/>
      </c>
      <c r="E230" s="76" t="str">
        <f>IF(A230="","",'Model Inputs'!$C$75*B230)</f>
        <v/>
      </c>
    </row>
    <row r="231" spans="1:5" ht="18" customHeight="1" x14ac:dyDescent="0.2">
      <c r="A231" s="37" t="str">
        <f>IF(A230&gt;='Model Inputs'!$C$74,"",A230+1)</f>
        <v/>
      </c>
      <c r="B231" s="67" t="str">
        <f t="shared" si="6"/>
        <v/>
      </c>
      <c r="C231" s="74" t="str">
        <f>IF(A231="","",-PMT('Model Inputs'!$C$75,'Model Inputs'!$C$74,'Model Inputs'!$C$72))</f>
        <v/>
      </c>
      <c r="D231" s="74" t="str">
        <f t="shared" si="7"/>
        <v/>
      </c>
      <c r="E231" s="76" t="str">
        <f>IF(A231="","",'Model Inputs'!$C$75*B231)</f>
        <v/>
      </c>
    </row>
    <row r="232" spans="1:5" ht="18" customHeight="1" x14ac:dyDescent="0.2">
      <c r="A232" s="37" t="str">
        <f>IF(A231&gt;='Model Inputs'!$C$74,"",A231+1)</f>
        <v/>
      </c>
      <c r="B232" s="67" t="str">
        <f t="shared" si="6"/>
        <v/>
      </c>
      <c r="C232" s="74" t="str">
        <f>IF(A232="","",-PMT('Model Inputs'!$C$75,'Model Inputs'!$C$74,'Model Inputs'!$C$72))</f>
        <v/>
      </c>
      <c r="D232" s="74" t="str">
        <f t="shared" si="7"/>
        <v/>
      </c>
      <c r="E232" s="76" t="str">
        <f>IF(A232="","",'Model Inputs'!$C$75*B232)</f>
        <v/>
      </c>
    </row>
    <row r="233" spans="1:5" ht="18" customHeight="1" x14ac:dyDescent="0.2">
      <c r="A233" s="37" t="str">
        <f>IF(A232&gt;='Model Inputs'!$C$74,"",A232+1)</f>
        <v/>
      </c>
      <c r="B233" s="67" t="str">
        <f t="shared" si="6"/>
        <v/>
      </c>
      <c r="C233" s="74" t="str">
        <f>IF(A233="","",-PMT('Model Inputs'!$C$75,'Model Inputs'!$C$74,'Model Inputs'!$C$72))</f>
        <v/>
      </c>
      <c r="D233" s="74" t="str">
        <f t="shared" si="7"/>
        <v/>
      </c>
      <c r="E233" s="76" t="str">
        <f>IF(A233="","",'Model Inputs'!$C$75*B233)</f>
        <v/>
      </c>
    </row>
    <row r="234" spans="1:5" ht="18" customHeight="1" x14ac:dyDescent="0.2">
      <c r="A234" s="37" t="str">
        <f>IF(A233&gt;='Model Inputs'!$C$74,"",A233+1)</f>
        <v/>
      </c>
      <c r="B234" s="67" t="str">
        <f t="shared" si="6"/>
        <v/>
      </c>
      <c r="C234" s="74" t="str">
        <f>IF(A234="","",-PMT('Model Inputs'!$C$75,'Model Inputs'!$C$74,'Model Inputs'!$C$72))</f>
        <v/>
      </c>
      <c r="D234" s="74" t="str">
        <f t="shared" si="7"/>
        <v/>
      </c>
      <c r="E234" s="76" t="str">
        <f>IF(A234="","",'Model Inputs'!$C$75*B234)</f>
        <v/>
      </c>
    </row>
    <row r="235" spans="1:5" ht="18" customHeight="1" x14ac:dyDescent="0.2">
      <c r="A235" s="37" t="str">
        <f>IF(A234&gt;='Model Inputs'!$C$74,"",A234+1)</f>
        <v/>
      </c>
      <c r="B235" s="67" t="str">
        <f t="shared" si="6"/>
        <v/>
      </c>
      <c r="C235" s="74" t="str">
        <f>IF(A235="","",-PMT('Model Inputs'!$C$75,'Model Inputs'!$C$74,'Model Inputs'!$C$72))</f>
        <v/>
      </c>
      <c r="D235" s="74" t="str">
        <f t="shared" si="7"/>
        <v/>
      </c>
      <c r="E235" s="76" t="str">
        <f>IF(A235="","",'Model Inputs'!$C$75*B235)</f>
        <v/>
      </c>
    </row>
    <row r="236" spans="1:5" ht="18" customHeight="1" x14ac:dyDescent="0.2">
      <c r="A236" s="37" t="str">
        <f>IF(A235&gt;='Model Inputs'!$C$74,"",A235+1)</f>
        <v/>
      </c>
      <c r="B236" s="67" t="str">
        <f t="shared" si="6"/>
        <v/>
      </c>
      <c r="C236" s="74" t="str">
        <f>IF(A236="","",-PMT('Model Inputs'!$C$75,'Model Inputs'!$C$74,'Model Inputs'!$C$72))</f>
        <v/>
      </c>
      <c r="D236" s="74" t="str">
        <f t="shared" si="7"/>
        <v/>
      </c>
      <c r="E236" s="76" t="str">
        <f>IF(A236="","",'Model Inputs'!$C$75*B236)</f>
        <v/>
      </c>
    </row>
    <row r="237" spans="1:5" ht="18" customHeight="1" x14ac:dyDescent="0.2">
      <c r="A237" s="37" t="str">
        <f>IF(A236&gt;='Model Inputs'!$C$74,"",A236+1)</f>
        <v/>
      </c>
      <c r="B237" s="67" t="str">
        <f t="shared" si="6"/>
        <v/>
      </c>
      <c r="C237" s="74" t="str">
        <f>IF(A237="","",-PMT('Model Inputs'!$C$75,'Model Inputs'!$C$74,'Model Inputs'!$C$72))</f>
        <v/>
      </c>
      <c r="D237" s="74" t="str">
        <f t="shared" si="7"/>
        <v/>
      </c>
      <c r="E237" s="76" t="str">
        <f>IF(A237="","",'Model Inputs'!$C$75*B237)</f>
        <v/>
      </c>
    </row>
    <row r="238" spans="1:5" ht="18" customHeight="1" x14ac:dyDescent="0.2">
      <c r="A238" s="37" t="str">
        <f>IF(A237&gt;='Model Inputs'!$C$74,"",A237+1)</f>
        <v/>
      </c>
      <c r="B238" s="67" t="str">
        <f t="shared" si="6"/>
        <v/>
      </c>
      <c r="C238" s="74" t="str">
        <f>IF(A238="","",-PMT('Model Inputs'!$C$75,'Model Inputs'!$C$74,'Model Inputs'!$C$72))</f>
        <v/>
      </c>
      <c r="D238" s="74" t="str">
        <f t="shared" si="7"/>
        <v/>
      </c>
      <c r="E238" s="76" t="str">
        <f>IF(A238="","",'Model Inputs'!$C$75*B238)</f>
        <v/>
      </c>
    </row>
    <row r="239" spans="1:5" ht="18" customHeight="1" x14ac:dyDescent="0.2">
      <c r="A239" s="37" t="str">
        <f>IF(A238&gt;='Model Inputs'!$C$74,"",A238+1)</f>
        <v/>
      </c>
      <c r="B239" s="67" t="str">
        <f t="shared" si="6"/>
        <v/>
      </c>
      <c r="C239" s="74" t="str">
        <f>IF(A239="","",-PMT('Model Inputs'!$C$75,'Model Inputs'!$C$74,'Model Inputs'!$C$72))</f>
        <v/>
      </c>
      <c r="D239" s="74" t="str">
        <f t="shared" si="7"/>
        <v/>
      </c>
      <c r="E239" s="76" t="str">
        <f>IF(A239="","",'Model Inputs'!$C$75*B239)</f>
        <v/>
      </c>
    </row>
    <row r="240" spans="1:5" ht="18" customHeight="1" x14ac:dyDescent="0.2">
      <c r="A240" s="37" t="str">
        <f>IF(A239&gt;='Model Inputs'!$C$74,"",A239+1)</f>
        <v/>
      </c>
      <c r="B240" s="67" t="str">
        <f t="shared" si="6"/>
        <v/>
      </c>
      <c r="C240" s="74" t="str">
        <f>IF(A240="","",-PMT('Model Inputs'!$C$75,'Model Inputs'!$C$74,'Model Inputs'!$C$72))</f>
        <v/>
      </c>
      <c r="D240" s="74" t="str">
        <f t="shared" si="7"/>
        <v/>
      </c>
      <c r="E240" s="76" t="str">
        <f>IF(A240="","",'Model Inputs'!$C$75*B240)</f>
        <v/>
      </c>
    </row>
    <row r="241" spans="1:5" ht="18" customHeight="1" x14ac:dyDescent="0.2">
      <c r="A241" s="37" t="str">
        <f>IF(A240&gt;='Model Inputs'!$C$74,"",A240+1)</f>
        <v/>
      </c>
      <c r="B241" s="67" t="str">
        <f t="shared" si="6"/>
        <v/>
      </c>
      <c r="C241" s="74" t="str">
        <f>IF(A241="","",-PMT('Model Inputs'!$C$75,'Model Inputs'!$C$74,'Model Inputs'!$C$72))</f>
        <v/>
      </c>
      <c r="D241" s="74" t="str">
        <f t="shared" si="7"/>
        <v/>
      </c>
      <c r="E241" s="76" t="str">
        <f>IF(A241="","",'Model Inputs'!$C$75*B241)</f>
        <v/>
      </c>
    </row>
    <row r="242" spans="1:5" ht="18" customHeight="1" x14ac:dyDescent="0.2">
      <c r="A242" s="37" t="str">
        <f>IF(A241&gt;='Model Inputs'!$C$74,"",A241+1)</f>
        <v/>
      </c>
      <c r="B242" s="67" t="str">
        <f t="shared" si="6"/>
        <v/>
      </c>
      <c r="C242" s="74" t="str">
        <f>IF(A242="","",-PMT('Model Inputs'!$C$75,'Model Inputs'!$C$74,'Model Inputs'!$C$72))</f>
        <v/>
      </c>
      <c r="D242" s="74" t="str">
        <f t="shared" si="7"/>
        <v/>
      </c>
      <c r="E242" s="76" t="str">
        <f>IF(A242="","",'Model Inputs'!$C$75*B242)</f>
        <v/>
      </c>
    </row>
    <row r="243" spans="1:5" ht="18" customHeight="1" x14ac:dyDescent="0.2">
      <c r="A243" s="37" t="str">
        <f>IF(A242&gt;='Model Inputs'!$C$74,"",A242+1)</f>
        <v/>
      </c>
      <c r="B243" s="67" t="str">
        <f t="shared" si="6"/>
        <v/>
      </c>
      <c r="C243" s="74" t="str">
        <f>IF(A243="","",-PMT('Model Inputs'!$C$75,'Model Inputs'!$C$74,'Model Inputs'!$C$72))</f>
        <v/>
      </c>
      <c r="D243" s="74" t="str">
        <f t="shared" si="7"/>
        <v/>
      </c>
      <c r="E243" s="76" t="str">
        <f>IF(A243="","",'Model Inputs'!$C$75*B243)</f>
        <v/>
      </c>
    </row>
    <row r="244" spans="1:5" ht="18" customHeight="1" x14ac:dyDescent="0.2">
      <c r="A244" s="37" t="str">
        <f>IF(A243&gt;='Model Inputs'!$C$74,"",A243+1)</f>
        <v/>
      </c>
      <c r="B244" s="67" t="str">
        <f t="shared" si="6"/>
        <v/>
      </c>
      <c r="C244" s="74" t="str">
        <f>IF(A244="","",-PMT('Model Inputs'!$C$75,'Model Inputs'!$C$74,'Model Inputs'!$C$72))</f>
        <v/>
      </c>
      <c r="D244" s="74" t="str">
        <f t="shared" si="7"/>
        <v/>
      </c>
      <c r="E244" s="76" t="str">
        <f>IF(A244="","",'Model Inputs'!$C$75*B244)</f>
        <v/>
      </c>
    </row>
    <row r="245" spans="1:5" ht="18" customHeight="1" x14ac:dyDescent="0.2">
      <c r="A245" s="37" t="str">
        <f>IF(A244&gt;='Model Inputs'!$C$74,"",A244+1)</f>
        <v/>
      </c>
      <c r="B245" s="67" t="str">
        <f t="shared" si="6"/>
        <v/>
      </c>
      <c r="C245" s="74" t="str">
        <f>IF(A245="","",-PMT('Model Inputs'!$C$75,'Model Inputs'!$C$74,'Model Inputs'!$C$72))</f>
        <v/>
      </c>
      <c r="D245" s="74" t="str">
        <f t="shared" si="7"/>
        <v/>
      </c>
      <c r="E245" s="76" t="str">
        <f>IF(A245="","",'Model Inputs'!$C$75*B245)</f>
        <v/>
      </c>
    </row>
    <row r="246" spans="1:5" ht="18" customHeight="1" x14ac:dyDescent="0.2">
      <c r="A246" s="37" t="str">
        <f>IF(A245&gt;='Model Inputs'!$C$74,"",A245+1)</f>
        <v/>
      </c>
      <c r="B246" s="67" t="str">
        <f t="shared" si="6"/>
        <v/>
      </c>
      <c r="C246" s="74" t="str">
        <f>IF(A246="","",-PMT('Model Inputs'!$C$75,'Model Inputs'!$C$74,'Model Inputs'!$C$72))</f>
        <v/>
      </c>
      <c r="D246" s="74" t="str">
        <f t="shared" si="7"/>
        <v/>
      </c>
      <c r="E246" s="76" t="str">
        <f>IF(A246="","",'Model Inputs'!$C$75*B246)</f>
        <v/>
      </c>
    </row>
    <row r="247" spans="1:5" ht="18" customHeight="1" x14ac:dyDescent="0.2">
      <c r="A247" s="37" t="str">
        <f>IF(A246&gt;='Model Inputs'!$C$74,"",A246+1)</f>
        <v/>
      </c>
      <c r="B247" s="67" t="str">
        <f t="shared" si="6"/>
        <v/>
      </c>
      <c r="C247" s="74" t="str">
        <f>IF(A247="","",-PMT('Model Inputs'!$C$75,'Model Inputs'!$C$74,'Model Inputs'!$C$72))</f>
        <v/>
      </c>
      <c r="D247" s="74" t="str">
        <f t="shared" si="7"/>
        <v/>
      </c>
      <c r="E247" s="76" t="str">
        <f>IF(A247="","",'Model Inputs'!$C$75*B247)</f>
        <v/>
      </c>
    </row>
    <row r="248" spans="1:5" ht="18" customHeight="1" x14ac:dyDescent="0.2">
      <c r="A248" s="37" t="str">
        <f>IF(A247&gt;='Model Inputs'!$C$74,"",A247+1)</f>
        <v/>
      </c>
      <c r="B248" s="67" t="str">
        <f t="shared" si="6"/>
        <v/>
      </c>
      <c r="C248" s="74" t="str">
        <f>IF(A248="","",-PMT('Model Inputs'!$C$75,'Model Inputs'!$C$74,'Model Inputs'!$C$72))</f>
        <v/>
      </c>
      <c r="D248" s="74" t="str">
        <f t="shared" si="7"/>
        <v/>
      </c>
      <c r="E248" s="76" t="str">
        <f>IF(A248="","",'Model Inputs'!$C$75*B248)</f>
        <v/>
      </c>
    </row>
    <row r="249" spans="1:5" ht="18" customHeight="1" x14ac:dyDescent="0.2">
      <c r="A249" s="37" t="str">
        <f>IF(A248&gt;='Model Inputs'!$C$74,"",A248+1)</f>
        <v/>
      </c>
      <c r="B249" s="67" t="str">
        <f t="shared" si="6"/>
        <v/>
      </c>
      <c r="C249" s="74" t="str">
        <f>IF(A249="","",-PMT('Model Inputs'!$C$75,'Model Inputs'!$C$74,'Model Inputs'!$C$72))</f>
        <v/>
      </c>
      <c r="D249" s="74" t="str">
        <f t="shared" si="7"/>
        <v/>
      </c>
      <c r="E249" s="76" t="str">
        <f>IF(A249="","",'Model Inputs'!$C$75*B249)</f>
        <v/>
      </c>
    </row>
    <row r="250" spans="1:5" ht="18" customHeight="1" x14ac:dyDescent="0.2">
      <c r="A250" s="37" t="str">
        <f>IF(A249&gt;='Model Inputs'!$C$74,"",A249+1)</f>
        <v/>
      </c>
      <c r="B250" s="67" t="str">
        <f t="shared" si="6"/>
        <v/>
      </c>
      <c r="C250" s="74" t="str">
        <f>IF(A250="","",-PMT('Model Inputs'!$C$75,'Model Inputs'!$C$74,'Model Inputs'!$C$72))</f>
        <v/>
      </c>
      <c r="D250" s="74" t="str">
        <f t="shared" si="7"/>
        <v/>
      </c>
      <c r="E250" s="76" t="str">
        <f>IF(A250="","",'Model Inputs'!$C$75*B250)</f>
        <v/>
      </c>
    </row>
    <row r="251" spans="1:5" ht="18" customHeight="1" x14ac:dyDescent="0.2">
      <c r="A251" s="37" t="str">
        <f>IF(A250&gt;='Model Inputs'!$C$74,"",A250+1)</f>
        <v/>
      </c>
      <c r="B251" s="67" t="str">
        <f t="shared" si="6"/>
        <v/>
      </c>
      <c r="C251" s="74" t="str">
        <f>IF(A251="","",-PMT('Model Inputs'!$C$75,'Model Inputs'!$C$74,'Model Inputs'!$C$72))</f>
        <v/>
      </c>
      <c r="D251" s="74" t="str">
        <f t="shared" si="7"/>
        <v/>
      </c>
      <c r="E251" s="76" t="str">
        <f>IF(A251="","",'Model Inputs'!$C$75*B251)</f>
        <v/>
      </c>
    </row>
    <row r="252" spans="1:5" ht="18" customHeight="1" x14ac:dyDescent="0.2">
      <c r="A252" s="37" t="str">
        <f>IF(A251&gt;='Model Inputs'!$C$74,"",A251+1)</f>
        <v/>
      </c>
      <c r="B252" s="67" t="str">
        <f t="shared" si="6"/>
        <v/>
      </c>
      <c r="C252" s="74" t="str">
        <f>IF(A252="","",-PMT('Model Inputs'!$C$75,'Model Inputs'!$C$74,'Model Inputs'!$C$72))</f>
        <v/>
      </c>
      <c r="D252" s="74" t="str">
        <f t="shared" si="7"/>
        <v/>
      </c>
      <c r="E252" s="76" t="str">
        <f>IF(A252="","",'Model Inputs'!$C$75*B252)</f>
        <v/>
      </c>
    </row>
    <row r="253" spans="1:5" ht="18" customHeight="1" x14ac:dyDescent="0.2">
      <c r="A253" s="37" t="str">
        <f>IF(A252&gt;='Model Inputs'!$C$74,"",A252+1)</f>
        <v/>
      </c>
      <c r="B253" s="67" t="str">
        <f t="shared" si="6"/>
        <v/>
      </c>
      <c r="C253" s="74" t="str">
        <f>IF(A253="","",-PMT('Model Inputs'!$C$75,'Model Inputs'!$C$74,'Model Inputs'!$C$72))</f>
        <v/>
      </c>
      <c r="D253" s="74" t="str">
        <f t="shared" si="7"/>
        <v/>
      </c>
      <c r="E253" s="76" t="str">
        <f>IF(A253="","",'Model Inputs'!$C$75*B253)</f>
        <v/>
      </c>
    </row>
    <row r="254" spans="1:5" ht="18" customHeight="1" x14ac:dyDescent="0.2">
      <c r="A254" s="37" t="str">
        <f>IF(A253&gt;='Model Inputs'!$C$74,"",A253+1)</f>
        <v/>
      </c>
      <c r="B254" s="67" t="str">
        <f t="shared" si="6"/>
        <v/>
      </c>
      <c r="C254" s="74" t="str">
        <f>IF(A254="","",-PMT('Model Inputs'!$C$75,'Model Inputs'!$C$74,'Model Inputs'!$C$72))</f>
        <v/>
      </c>
      <c r="D254" s="74" t="str">
        <f t="shared" si="7"/>
        <v/>
      </c>
      <c r="E254" s="76" t="str">
        <f>IF(A254="","",'Model Inputs'!$C$75*B254)</f>
        <v/>
      </c>
    </row>
    <row r="255" spans="1:5" ht="18" customHeight="1" x14ac:dyDescent="0.2">
      <c r="A255" s="37" t="str">
        <f>IF(A254&gt;='Model Inputs'!$C$74,"",A254+1)</f>
        <v/>
      </c>
      <c r="B255" s="67" t="str">
        <f t="shared" si="6"/>
        <v/>
      </c>
      <c r="C255" s="74" t="str">
        <f>IF(A255="","",-PMT('Model Inputs'!$C$75,'Model Inputs'!$C$74,'Model Inputs'!$C$72))</f>
        <v/>
      </c>
      <c r="D255" s="74" t="str">
        <f t="shared" si="7"/>
        <v/>
      </c>
      <c r="E255" s="76" t="str">
        <f>IF(A255="","",'Model Inputs'!$C$75*B255)</f>
        <v/>
      </c>
    </row>
    <row r="256" spans="1:5" ht="18" customHeight="1" x14ac:dyDescent="0.2">
      <c r="A256" s="37" t="str">
        <f>IF(A255&gt;='Model Inputs'!$C$74,"",A255+1)</f>
        <v/>
      </c>
      <c r="B256" s="67" t="str">
        <f t="shared" si="6"/>
        <v/>
      </c>
      <c r="C256" s="74" t="str">
        <f>IF(A256="","",-PMT('Model Inputs'!$C$75,'Model Inputs'!$C$74,'Model Inputs'!$C$72))</f>
        <v/>
      </c>
      <c r="D256" s="74" t="str">
        <f t="shared" si="7"/>
        <v/>
      </c>
      <c r="E256" s="76" t="str">
        <f>IF(A256="","",'Model Inputs'!$C$75*B256)</f>
        <v/>
      </c>
    </row>
    <row r="257" spans="1:5" ht="18" customHeight="1" x14ac:dyDescent="0.2">
      <c r="A257" s="37" t="str">
        <f>IF(A256&gt;='Model Inputs'!$C$74,"",A256+1)</f>
        <v/>
      </c>
      <c r="B257" s="67" t="str">
        <f t="shared" si="6"/>
        <v/>
      </c>
      <c r="C257" s="74" t="str">
        <f>IF(A257="","",-PMT('Model Inputs'!$C$75,'Model Inputs'!$C$74,'Model Inputs'!$C$72))</f>
        <v/>
      </c>
      <c r="D257" s="74" t="str">
        <f t="shared" si="7"/>
        <v/>
      </c>
      <c r="E257" s="76" t="str">
        <f>IF(A257="","",'Model Inputs'!$C$75*B257)</f>
        <v/>
      </c>
    </row>
    <row r="258" spans="1:5" ht="18" customHeight="1" x14ac:dyDescent="0.2">
      <c r="A258" s="37" t="str">
        <f>IF(A257&gt;='Model Inputs'!$C$74,"",A257+1)</f>
        <v/>
      </c>
      <c r="B258" s="67" t="str">
        <f t="shared" si="6"/>
        <v/>
      </c>
      <c r="C258" s="74" t="str">
        <f>IF(A258="","",-PMT('Model Inputs'!$C$75,'Model Inputs'!$C$74,'Model Inputs'!$C$72))</f>
        <v/>
      </c>
      <c r="D258" s="74" t="str">
        <f t="shared" si="7"/>
        <v/>
      </c>
      <c r="E258" s="76" t="str">
        <f>IF(A258="","",'Model Inputs'!$C$75*B258)</f>
        <v/>
      </c>
    </row>
    <row r="259" spans="1:5" ht="18" customHeight="1" x14ac:dyDescent="0.2">
      <c r="A259" s="37" t="str">
        <f>IF(A258&gt;='Model Inputs'!$C$74,"",A258+1)</f>
        <v/>
      </c>
      <c r="B259" s="67" t="str">
        <f t="shared" si="6"/>
        <v/>
      </c>
      <c r="C259" s="74" t="str">
        <f>IF(A259="","",-PMT('Model Inputs'!$C$75,'Model Inputs'!$C$74,'Model Inputs'!$C$72))</f>
        <v/>
      </c>
      <c r="D259" s="74" t="str">
        <f t="shared" si="7"/>
        <v/>
      </c>
      <c r="E259" s="76" t="str">
        <f>IF(A259="","",'Model Inputs'!$C$75*B259)</f>
        <v/>
      </c>
    </row>
    <row r="260" spans="1:5" ht="18" customHeight="1" x14ac:dyDescent="0.2">
      <c r="A260" s="37" t="str">
        <f>IF(A259&gt;='Model Inputs'!$C$74,"",A259+1)</f>
        <v/>
      </c>
      <c r="B260" s="67" t="str">
        <f t="shared" si="6"/>
        <v/>
      </c>
      <c r="C260" s="74" t="str">
        <f>IF(A260="","",-PMT('Model Inputs'!$C$75,'Model Inputs'!$C$74,'Model Inputs'!$C$72))</f>
        <v/>
      </c>
      <c r="D260" s="74" t="str">
        <f t="shared" si="7"/>
        <v/>
      </c>
      <c r="E260" s="76" t="str">
        <f>IF(A260="","",'Model Inputs'!$C$75*B260)</f>
        <v/>
      </c>
    </row>
    <row r="261" spans="1:5" ht="18" customHeight="1" x14ac:dyDescent="0.2">
      <c r="A261" s="37" t="str">
        <f>IF(A260&gt;='Model Inputs'!$C$74,"",A260+1)</f>
        <v/>
      </c>
      <c r="B261" s="67" t="str">
        <f t="shared" si="6"/>
        <v/>
      </c>
      <c r="C261" s="74" t="str">
        <f>IF(A261="","",-PMT('Model Inputs'!$C$75,'Model Inputs'!$C$74,'Model Inputs'!$C$72))</f>
        <v/>
      </c>
      <c r="D261" s="74" t="str">
        <f t="shared" si="7"/>
        <v/>
      </c>
      <c r="E261" s="76" t="str">
        <f>IF(A261="","",'Model Inputs'!$C$75*B261)</f>
        <v/>
      </c>
    </row>
    <row r="262" spans="1:5" ht="18" customHeight="1" x14ac:dyDescent="0.2">
      <c r="A262" s="37" t="str">
        <f>IF(A261&gt;='Model Inputs'!$C$74,"",A261+1)</f>
        <v/>
      </c>
      <c r="B262" s="67" t="str">
        <f t="shared" si="6"/>
        <v/>
      </c>
      <c r="C262" s="74" t="str">
        <f>IF(A262="","",-PMT('Model Inputs'!$C$75,'Model Inputs'!$C$74,'Model Inputs'!$C$72))</f>
        <v/>
      </c>
      <c r="D262" s="74" t="str">
        <f t="shared" si="7"/>
        <v/>
      </c>
      <c r="E262" s="76" t="str">
        <f>IF(A262="","",'Model Inputs'!$C$75*B262)</f>
        <v/>
      </c>
    </row>
    <row r="263" spans="1:5" ht="18" customHeight="1" x14ac:dyDescent="0.2">
      <c r="A263" s="37" t="str">
        <f>IF(A262&gt;='Model Inputs'!$C$74,"",A262+1)</f>
        <v/>
      </c>
      <c r="B263" s="67" t="str">
        <f t="shared" si="6"/>
        <v/>
      </c>
      <c r="C263" s="74" t="str">
        <f>IF(A263="","",-PMT('Model Inputs'!$C$75,'Model Inputs'!$C$74,'Model Inputs'!$C$72))</f>
        <v/>
      </c>
      <c r="D263" s="74" t="str">
        <f t="shared" si="7"/>
        <v/>
      </c>
      <c r="E263" s="76" t="str">
        <f>IF(A263="","",'Model Inputs'!$C$75*B263)</f>
        <v/>
      </c>
    </row>
    <row r="264" spans="1:5" ht="18" customHeight="1" x14ac:dyDescent="0.2">
      <c r="A264" s="37" t="str">
        <f>IF(A263&gt;='Model Inputs'!$C$74,"",A263+1)</f>
        <v/>
      </c>
      <c r="B264" s="67" t="str">
        <f t="shared" ref="B264:B327" si="8">IF(A264="","",B263-D263)</f>
        <v/>
      </c>
      <c r="C264" s="74" t="str">
        <f>IF(A264="","",-PMT('Model Inputs'!$C$75,'Model Inputs'!$C$74,'Model Inputs'!$C$72))</f>
        <v/>
      </c>
      <c r="D264" s="74" t="str">
        <f t="shared" ref="D264:D327" si="9">IF(A264="","",C264-E264)</f>
        <v/>
      </c>
      <c r="E264" s="76" t="str">
        <f>IF(A264="","",'Model Inputs'!$C$75*B264)</f>
        <v/>
      </c>
    </row>
    <row r="265" spans="1:5" ht="18" customHeight="1" x14ac:dyDescent="0.2">
      <c r="A265" s="37" t="str">
        <f>IF(A264&gt;='Model Inputs'!$C$74,"",A264+1)</f>
        <v/>
      </c>
      <c r="B265" s="67" t="str">
        <f t="shared" si="8"/>
        <v/>
      </c>
      <c r="C265" s="74" t="str">
        <f>IF(A265="","",-PMT('Model Inputs'!$C$75,'Model Inputs'!$C$74,'Model Inputs'!$C$72))</f>
        <v/>
      </c>
      <c r="D265" s="74" t="str">
        <f t="shared" si="9"/>
        <v/>
      </c>
      <c r="E265" s="76" t="str">
        <f>IF(A265="","",'Model Inputs'!$C$75*B265)</f>
        <v/>
      </c>
    </row>
    <row r="266" spans="1:5" ht="18" customHeight="1" x14ac:dyDescent="0.2">
      <c r="A266" s="37" t="str">
        <f>IF(A265&gt;='Model Inputs'!$C$74,"",A265+1)</f>
        <v/>
      </c>
      <c r="B266" s="67" t="str">
        <f t="shared" si="8"/>
        <v/>
      </c>
      <c r="C266" s="74" t="str">
        <f>IF(A266="","",-PMT('Model Inputs'!$C$75,'Model Inputs'!$C$74,'Model Inputs'!$C$72))</f>
        <v/>
      </c>
      <c r="D266" s="74" t="str">
        <f t="shared" si="9"/>
        <v/>
      </c>
      <c r="E266" s="76" t="str">
        <f>IF(A266="","",'Model Inputs'!$C$75*B266)</f>
        <v/>
      </c>
    </row>
    <row r="267" spans="1:5" ht="18" customHeight="1" x14ac:dyDescent="0.2">
      <c r="A267" s="37" t="str">
        <f>IF(A266&gt;='Model Inputs'!$C$74,"",A266+1)</f>
        <v/>
      </c>
      <c r="B267" s="67" t="str">
        <f t="shared" si="8"/>
        <v/>
      </c>
      <c r="C267" s="74" t="str">
        <f>IF(A267="","",-PMT('Model Inputs'!$C$75,'Model Inputs'!$C$74,'Model Inputs'!$C$72))</f>
        <v/>
      </c>
      <c r="D267" s="74" t="str">
        <f t="shared" si="9"/>
        <v/>
      </c>
      <c r="E267" s="76" t="str">
        <f>IF(A267="","",'Model Inputs'!$C$75*B267)</f>
        <v/>
      </c>
    </row>
    <row r="268" spans="1:5" ht="18" customHeight="1" x14ac:dyDescent="0.2">
      <c r="A268" s="37" t="str">
        <f>IF(A267&gt;='Model Inputs'!$C$74,"",A267+1)</f>
        <v/>
      </c>
      <c r="B268" s="67" t="str">
        <f t="shared" si="8"/>
        <v/>
      </c>
      <c r="C268" s="74" t="str">
        <f>IF(A268="","",-PMT('Model Inputs'!$C$75,'Model Inputs'!$C$74,'Model Inputs'!$C$72))</f>
        <v/>
      </c>
      <c r="D268" s="74" t="str">
        <f t="shared" si="9"/>
        <v/>
      </c>
      <c r="E268" s="76" t="str">
        <f>IF(A268="","",'Model Inputs'!$C$75*B268)</f>
        <v/>
      </c>
    </row>
    <row r="269" spans="1:5" ht="18" customHeight="1" x14ac:dyDescent="0.2">
      <c r="A269" s="37" t="str">
        <f>IF(A268&gt;='Model Inputs'!$C$74,"",A268+1)</f>
        <v/>
      </c>
      <c r="B269" s="67" t="str">
        <f t="shared" si="8"/>
        <v/>
      </c>
      <c r="C269" s="74" t="str">
        <f>IF(A269="","",-PMT('Model Inputs'!$C$75,'Model Inputs'!$C$74,'Model Inputs'!$C$72))</f>
        <v/>
      </c>
      <c r="D269" s="74" t="str">
        <f t="shared" si="9"/>
        <v/>
      </c>
      <c r="E269" s="76" t="str">
        <f>IF(A269="","",'Model Inputs'!$C$75*B269)</f>
        <v/>
      </c>
    </row>
    <row r="270" spans="1:5" ht="18" customHeight="1" x14ac:dyDescent="0.2">
      <c r="A270" s="37" t="str">
        <f>IF(A269&gt;='Model Inputs'!$C$74,"",A269+1)</f>
        <v/>
      </c>
      <c r="B270" s="67" t="str">
        <f t="shared" si="8"/>
        <v/>
      </c>
      <c r="C270" s="74" t="str">
        <f>IF(A270="","",-PMT('Model Inputs'!$C$75,'Model Inputs'!$C$74,'Model Inputs'!$C$72))</f>
        <v/>
      </c>
      <c r="D270" s="74" t="str">
        <f t="shared" si="9"/>
        <v/>
      </c>
      <c r="E270" s="76" t="str">
        <f>IF(A270="","",'Model Inputs'!$C$75*B270)</f>
        <v/>
      </c>
    </row>
    <row r="271" spans="1:5" ht="18" customHeight="1" x14ac:dyDescent="0.2">
      <c r="A271" s="37" t="str">
        <f>IF(A270&gt;='Model Inputs'!$C$74,"",A270+1)</f>
        <v/>
      </c>
      <c r="B271" s="67" t="str">
        <f t="shared" si="8"/>
        <v/>
      </c>
      <c r="C271" s="74" t="str">
        <f>IF(A271="","",-PMT('Model Inputs'!$C$75,'Model Inputs'!$C$74,'Model Inputs'!$C$72))</f>
        <v/>
      </c>
      <c r="D271" s="74" t="str">
        <f t="shared" si="9"/>
        <v/>
      </c>
      <c r="E271" s="76" t="str">
        <f>IF(A271="","",'Model Inputs'!$C$75*B271)</f>
        <v/>
      </c>
    </row>
    <row r="272" spans="1:5" ht="18" customHeight="1" x14ac:dyDescent="0.2">
      <c r="A272" s="37" t="str">
        <f>IF(A271&gt;='Model Inputs'!$C$74,"",A271+1)</f>
        <v/>
      </c>
      <c r="B272" s="67" t="str">
        <f t="shared" si="8"/>
        <v/>
      </c>
      <c r="C272" s="74" t="str">
        <f>IF(A272="","",-PMT('Model Inputs'!$C$75,'Model Inputs'!$C$74,'Model Inputs'!$C$72))</f>
        <v/>
      </c>
      <c r="D272" s="74" t="str">
        <f t="shared" si="9"/>
        <v/>
      </c>
      <c r="E272" s="76" t="str">
        <f>IF(A272="","",'Model Inputs'!$C$75*B272)</f>
        <v/>
      </c>
    </row>
    <row r="273" spans="1:5" ht="18" customHeight="1" x14ac:dyDescent="0.2">
      <c r="A273" s="37" t="str">
        <f>IF(A272&gt;='Model Inputs'!$C$74,"",A272+1)</f>
        <v/>
      </c>
      <c r="B273" s="67" t="str">
        <f t="shared" si="8"/>
        <v/>
      </c>
      <c r="C273" s="74" t="str">
        <f>IF(A273="","",-PMT('Model Inputs'!$C$75,'Model Inputs'!$C$74,'Model Inputs'!$C$72))</f>
        <v/>
      </c>
      <c r="D273" s="74" t="str">
        <f t="shared" si="9"/>
        <v/>
      </c>
      <c r="E273" s="76" t="str">
        <f>IF(A273="","",'Model Inputs'!$C$75*B273)</f>
        <v/>
      </c>
    </row>
    <row r="274" spans="1:5" ht="18" customHeight="1" x14ac:dyDescent="0.2">
      <c r="A274" s="37" t="str">
        <f>IF(A273&gt;='Model Inputs'!$C$74,"",A273+1)</f>
        <v/>
      </c>
      <c r="B274" s="67" t="str">
        <f t="shared" si="8"/>
        <v/>
      </c>
      <c r="C274" s="74" t="str">
        <f>IF(A274="","",-PMT('Model Inputs'!$C$75,'Model Inputs'!$C$74,'Model Inputs'!$C$72))</f>
        <v/>
      </c>
      <c r="D274" s="74" t="str">
        <f t="shared" si="9"/>
        <v/>
      </c>
      <c r="E274" s="76" t="str">
        <f>IF(A274="","",'Model Inputs'!$C$75*B274)</f>
        <v/>
      </c>
    </row>
    <row r="275" spans="1:5" ht="18" customHeight="1" x14ac:dyDescent="0.2">
      <c r="A275" s="37" t="str">
        <f>IF(A274&gt;='Model Inputs'!$C$74,"",A274+1)</f>
        <v/>
      </c>
      <c r="B275" s="67" t="str">
        <f t="shared" si="8"/>
        <v/>
      </c>
      <c r="C275" s="74" t="str">
        <f>IF(A275="","",-PMT('Model Inputs'!$C$75,'Model Inputs'!$C$74,'Model Inputs'!$C$72))</f>
        <v/>
      </c>
      <c r="D275" s="74" t="str">
        <f t="shared" si="9"/>
        <v/>
      </c>
      <c r="E275" s="76" t="str">
        <f>IF(A275="","",'Model Inputs'!$C$75*B275)</f>
        <v/>
      </c>
    </row>
    <row r="276" spans="1:5" ht="18" customHeight="1" x14ac:dyDescent="0.2">
      <c r="A276" s="37" t="str">
        <f>IF(A275&gt;='Model Inputs'!$C$74,"",A275+1)</f>
        <v/>
      </c>
      <c r="B276" s="67" t="str">
        <f t="shared" si="8"/>
        <v/>
      </c>
      <c r="C276" s="74" t="str">
        <f>IF(A276="","",-PMT('Model Inputs'!$C$75,'Model Inputs'!$C$74,'Model Inputs'!$C$72))</f>
        <v/>
      </c>
      <c r="D276" s="74" t="str">
        <f t="shared" si="9"/>
        <v/>
      </c>
      <c r="E276" s="76" t="str">
        <f>IF(A276="","",'Model Inputs'!$C$75*B276)</f>
        <v/>
      </c>
    </row>
    <row r="277" spans="1:5" ht="18" customHeight="1" x14ac:dyDescent="0.2">
      <c r="A277" s="37" t="str">
        <f>IF(A276&gt;='Model Inputs'!$C$74,"",A276+1)</f>
        <v/>
      </c>
      <c r="B277" s="67" t="str">
        <f t="shared" si="8"/>
        <v/>
      </c>
      <c r="C277" s="74" t="str">
        <f>IF(A277="","",-PMT('Model Inputs'!$C$75,'Model Inputs'!$C$74,'Model Inputs'!$C$72))</f>
        <v/>
      </c>
      <c r="D277" s="74" t="str">
        <f t="shared" si="9"/>
        <v/>
      </c>
      <c r="E277" s="76" t="str">
        <f>IF(A277="","",'Model Inputs'!$C$75*B277)</f>
        <v/>
      </c>
    </row>
    <row r="278" spans="1:5" ht="18" customHeight="1" x14ac:dyDescent="0.2">
      <c r="A278" s="37" t="str">
        <f>IF(A277&gt;='Model Inputs'!$C$74,"",A277+1)</f>
        <v/>
      </c>
      <c r="B278" s="67" t="str">
        <f t="shared" si="8"/>
        <v/>
      </c>
      <c r="C278" s="74" t="str">
        <f>IF(A278="","",-PMT('Model Inputs'!$C$75,'Model Inputs'!$C$74,'Model Inputs'!$C$72))</f>
        <v/>
      </c>
      <c r="D278" s="74" t="str">
        <f t="shared" si="9"/>
        <v/>
      </c>
      <c r="E278" s="76" t="str">
        <f>IF(A278="","",'Model Inputs'!$C$75*B278)</f>
        <v/>
      </c>
    </row>
    <row r="279" spans="1:5" ht="18" customHeight="1" x14ac:dyDescent="0.2">
      <c r="A279" s="37" t="str">
        <f>IF(A278&gt;='Model Inputs'!$C$74,"",A278+1)</f>
        <v/>
      </c>
      <c r="B279" s="67" t="str">
        <f t="shared" si="8"/>
        <v/>
      </c>
      <c r="C279" s="74" t="str">
        <f>IF(A279="","",-PMT('Model Inputs'!$C$75,'Model Inputs'!$C$74,'Model Inputs'!$C$72))</f>
        <v/>
      </c>
      <c r="D279" s="74" t="str">
        <f t="shared" si="9"/>
        <v/>
      </c>
      <c r="E279" s="76" t="str">
        <f>IF(A279="","",'Model Inputs'!$C$75*B279)</f>
        <v/>
      </c>
    </row>
    <row r="280" spans="1:5" ht="18" customHeight="1" x14ac:dyDescent="0.2">
      <c r="A280" s="37" t="str">
        <f>IF(A279&gt;='Model Inputs'!$C$74,"",A279+1)</f>
        <v/>
      </c>
      <c r="B280" s="67" t="str">
        <f t="shared" si="8"/>
        <v/>
      </c>
      <c r="C280" s="74" t="str">
        <f>IF(A280="","",-PMT('Model Inputs'!$C$75,'Model Inputs'!$C$74,'Model Inputs'!$C$72))</f>
        <v/>
      </c>
      <c r="D280" s="74" t="str">
        <f t="shared" si="9"/>
        <v/>
      </c>
      <c r="E280" s="76" t="str">
        <f>IF(A280="","",'Model Inputs'!$C$75*B280)</f>
        <v/>
      </c>
    </row>
    <row r="281" spans="1:5" ht="18" customHeight="1" x14ac:dyDescent="0.2">
      <c r="A281" s="37" t="str">
        <f>IF(A280&gt;='Model Inputs'!$C$74,"",A280+1)</f>
        <v/>
      </c>
      <c r="B281" s="67" t="str">
        <f t="shared" si="8"/>
        <v/>
      </c>
      <c r="C281" s="74" t="str">
        <f>IF(A281="","",-PMT('Model Inputs'!$C$75,'Model Inputs'!$C$74,'Model Inputs'!$C$72))</f>
        <v/>
      </c>
      <c r="D281" s="74" t="str">
        <f t="shared" si="9"/>
        <v/>
      </c>
      <c r="E281" s="76" t="str">
        <f>IF(A281="","",'Model Inputs'!$C$75*B281)</f>
        <v/>
      </c>
    </row>
    <row r="282" spans="1:5" ht="18" customHeight="1" x14ac:dyDescent="0.2">
      <c r="A282" s="37" t="str">
        <f>IF(A281&gt;='Model Inputs'!$C$74,"",A281+1)</f>
        <v/>
      </c>
      <c r="B282" s="67" t="str">
        <f t="shared" si="8"/>
        <v/>
      </c>
      <c r="C282" s="74" t="str">
        <f>IF(A282="","",-PMT('Model Inputs'!$C$75,'Model Inputs'!$C$74,'Model Inputs'!$C$72))</f>
        <v/>
      </c>
      <c r="D282" s="74" t="str">
        <f t="shared" si="9"/>
        <v/>
      </c>
      <c r="E282" s="76" t="str">
        <f>IF(A282="","",'Model Inputs'!$C$75*B282)</f>
        <v/>
      </c>
    </row>
    <row r="283" spans="1:5" ht="18" customHeight="1" x14ac:dyDescent="0.2">
      <c r="A283" s="37" t="str">
        <f>IF(A282&gt;='Model Inputs'!$C$74,"",A282+1)</f>
        <v/>
      </c>
      <c r="B283" s="67" t="str">
        <f t="shared" si="8"/>
        <v/>
      </c>
      <c r="C283" s="74" t="str">
        <f>IF(A283="","",-PMT('Model Inputs'!$C$75,'Model Inputs'!$C$74,'Model Inputs'!$C$72))</f>
        <v/>
      </c>
      <c r="D283" s="74" t="str">
        <f t="shared" si="9"/>
        <v/>
      </c>
      <c r="E283" s="76" t="str">
        <f>IF(A283="","",'Model Inputs'!$C$75*B283)</f>
        <v/>
      </c>
    </row>
    <row r="284" spans="1:5" ht="18" customHeight="1" x14ac:dyDescent="0.2">
      <c r="A284" s="37" t="str">
        <f>IF(A283&gt;='Model Inputs'!$C$74,"",A283+1)</f>
        <v/>
      </c>
      <c r="B284" s="67" t="str">
        <f t="shared" si="8"/>
        <v/>
      </c>
      <c r="C284" s="74" t="str">
        <f>IF(A284="","",-PMT('Model Inputs'!$C$75,'Model Inputs'!$C$74,'Model Inputs'!$C$72))</f>
        <v/>
      </c>
      <c r="D284" s="74" t="str">
        <f t="shared" si="9"/>
        <v/>
      </c>
      <c r="E284" s="76" t="str">
        <f>IF(A284="","",'Model Inputs'!$C$75*B284)</f>
        <v/>
      </c>
    </row>
    <row r="285" spans="1:5" ht="18" customHeight="1" x14ac:dyDescent="0.2">
      <c r="A285" s="37" t="str">
        <f>IF(A284&gt;='Model Inputs'!$C$74,"",A284+1)</f>
        <v/>
      </c>
      <c r="B285" s="67" t="str">
        <f t="shared" si="8"/>
        <v/>
      </c>
      <c r="C285" s="74" t="str">
        <f>IF(A285="","",-PMT('Model Inputs'!$C$75,'Model Inputs'!$C$74,'Model Inputs'!$C$72))</f>
        <v/>
      </c>
      <c r="D285" s="74" t="str">
        <f t="shared" si="9"/>
        <v/>
      </c>
      <c r="E285" s="76" t="str">
        <f>IF(A285="","",'Model Inputs'!$C$75*B285)</f>
        <v/>
      </c>
    </row>
    <row r="286" spans="1:5" ht="18" customHeight="1" x14ac:dyDescent="0.2">
      <c r="A286" s="37" t="str">
        <f>IF(A285&gt;='Model Inputs'!$C$74,"",A285+1)</f>
        <v/>
      </c>
      <c r="B286" s="67" t="str">
        <f t="shared" si="8"/>
        <v/>
      </c>
      <c r="C286" s="74" t="str">
        <f>IF(A286="","",-PMT('Model Inputs'!$C$75,'Model Inputs'!$C$74,'Model Inputs'!$C$72))</f>
        <v/>
      </c>
      <c r="D286" s="74" t="str">
        <f t="shared" si="9"/>
        <v/>
      </c>
      <c r="E286" s="76" t="str">
        <f>IF(A286="","",'Model Inputs'!$C$75*B286)</f>
        <v/>
      </c>
    </row>
    <row r="287" spans="1:5" ht="18" customHeight="1" x14ac:dyDescent="0.2">
      <c r="A287" s="37" t="str">
        <f>IF(A286&gt;='Model Inputs'!$C$74,"",A286+1)</f>
        <v/>
      </c>
      <c r="B287" s="67" t="str">
        <f t="shared" si="8"/>
        <v/>
      </c>
      <c r="C287" s="74" t="str">
        <f>IF(A287="","",-PMT('Model Inputs'!$C$75,'Model Inputs'!$C$74,'Model Inputs'!$C$72))</f>
        <v/>
      </c>
      <c r="D287" s="74" t="str">
        <f t="shared" si="9"/>
        <v/>
      </c>
      <c r="E287" s="76" t="str">
        <f>IF(A287="","",'Model Inputs'!$C$75*B287)</f>
        <v/>
      </c>
    </row>
    <row r="288" spans="1:5" ht="18" customHeight="1" x14ac:dyDescent="0.2">
      <c r="A288" s="37" t="str">
        <f>IF(A287&gt;='Model Inputs'!$C$74,"",A287+1)</f>
        <v/>
      </c>
      <c r="B288" s="67" t="str">
        <f t="shared" si="8"/>
        <v/>
      </c>
      <c r="C288" s="74" t="str">
        <f>IF(A288="","",-PMT('Model Inputs'!$C$75,'Model Inputs'!$C$74,'Model Inputs'!$C$72))</f>
        <v/>
      </c>
      <c r="D288" s="74" t="str">
        <f t="shared" si="9"/>
        <v/>
      </c>
      <c r="E288" s="76" t="str">
        <f>IF(A288="","",'Model Inputs'!$C$75*B288)</f>
        <v/>
      </c>
    </row>
    <row r="289" spans="1:5" ht="18" customHeight="1" x14ac:dyDescent="0.2">
      <c r="A289" s="37" t="str">
        <f>IF(A288&gt;='Model Inputs'!$C$74,"",A288+1)</f>
        <v/>
      </c>
      <c r="B289" s="67" t="str">
        <f t="shared" si="8"/>
        <v/>
      </c>
      <c r="C289" s="74" t="str">
        <f>IF(A289="","",-PMT('Model Inputs'!$C$75,'Model Inputs'!$C$74,'Model Inputs'!$C$72))</f>
        <v/>
      </c>
      <c r="D289" s="74" t="str">
        <f t="shared" si="9"/>
        <v/>
      </c>
      <c r="E289" s="76" t="str">
        <f>IF(A289="","",'Model Inputs'!$C$75*B289)</f>
        <v/>
      </c>
    </row>
    <row r="290" spans="1:5" ht="18" customHeight="1" x14ac:dyDescent="0.2">
      <c r="A290" s="37" t="str">
        <f>IF(A289&gt;='Model Inputs'!$C$74,"",A289+1)</f>
        <v/>
      </c>
      <c r="B290" s="67" t="str">
        <f t="shared" si="8"/>
        <v/>
      </c>
      <c r="C290" s="74" t="str">
        <f>IF(A290="","",-PMT('Model Inputs'!$C$75,'Model Inputs'!$C$74,'Model Inputs'!$C$72))</f>
        <v/>
      </c>
      <c r="D290" s="74" t="str">
        <f t="shared" si="9"/>
        <v/>
      </c>
      <c r="E290" s="76" t="str">
        <f>IF(A290="","",'Model Inputs'!$C$75*B290)</f>
        <v/>
      </c>
    </row>
    <row r="291" spans="1:5" ht="18" customHeight="1" x14ac:dyDescent="0.2">
      <c r="A291" s="37" t="str">
        <f>IF(A290&gt;='Model Inputs'!$C$74,"",A290+1)</f>
        <v/>
      </c>
      <c r="B291" s="67" t="str">
        <f t="shared" si="8"/>
        <v/>
      </c>
      <c r="C291" s="74" t="str">
        <f>IF(A291="","",-PMT('Model Inputs'!$C$75,'Model Inputs'!$C$74,'Model Inputs'!$C$72))</f>
        <v/>
      </c>
      <c r="D291" s="74" t="str">
        <f t="shared" si="9"/>
        <v/>
      </c>
      <c r="E291" s="76" t="str">
        <f>IF(A291="","",'Model Inputs'!$C$75*B291)</f>
        <v/>
      </c>
    </row>
    <row r="292" spans="1:5" ht="18" customHeight="1" x14ac:dyDescent="0.2">
      <c r="A292" s="37" t="str">
        <f>IF(A291&gt;='Model Inputs'!$C$74,"",A291+1)</f>
        <v/>
      </c>
      <c r="B292" s="67" t="str">
        <f t="shared" si="8"/>
        <v/>
      </c>
      <c r="C292" s="74" t="str">
        <f>IF(A292="","",-PMT('Model Inputs'!$C$75,'Model Inputs'!$C$74,'Model Inputs'!$C$72))</f>
        <v/>
      </c>
      <c r="D292" s="74" t="str">
        <f t="shared" si="9"/>
        <v/>
      </c>
      <c r="E292" s="76" t="str">
        <f>IF(A292="","",'Model Inputs'!$C$75*B292)</f>
        <v/>
      </c>
    </row>
    <row r="293" spans="1:5" ht="18" customHeight="1" x14ac:dyDescent="0.2">
      <c r="A293" s="37" t="str">
        <f>IF(A292&gt;='Model Inputs'!$C$74,"",A292+1)</f>
        <v/>
      </c>
      <c r="B293" s="67" t="str">
        <f t="shared" si="8"/>
        <v/>
      </c>
      <c r="C293" s="74" t="str">
        <f>IF(A293="","",-PMT('Model Inputs'!$C$75,'Model Inputs'!$C$74,'Model Inputs'!$C$72))</f>
        <v/>
      </c>
      <c r="D293" s="74" t="str">
        <f t="shared" si="9"/>
        <v/>
      </c>
      <c r="E293" s="76" t="str">
        <f>IF(A293="","",'Model Inputs'!$C$75*B293)</f>
        <v/>
      </c>
    </row>
    <row r="294" spans="1:5" ht="18" customHeight="1" x14ac:dyDescent="0.2">
      <c r="A294" s="37" t="str">
        <f>IF(A293&gt;='Model Inputs'!$C$74,"",A293+1)</f>
        <v/>
      </c>
      <c r="B294" s="67" t="str">
        <f t="shared" si="8"/>
        <v/>
      </c>
      <c r="C294" s="74" t="str">
        <f>IF(A294="","",-PMT('Model Inputs'!$C$75,'Model Inputs'!$C$74,'Model Inputs'!$C$72))</f>
        <v/>
      </c>
      <c r="D294" s="74" t="str">
        <f t="shared" si="9"/>
        <v/>
      </c>
      <c r="E294" s="76" t="str">
        <f>IF(A294="","",'Model Inputs'!$C$75*B294)</f>
        <v/>
      </c>
    </row>
    <row r="295" spans="1:5" ht="18" customHeight="1" x14ac:dyDescent="0.2">
      <c r="A295" s="37" t="str">
        <f>IF(A294&gt;='Model Inputs'!$C$74,"",A294+1)</f>
        <v/>
      </c>
      <c r="B295" s="67" t="str">
        <f t="shared" si="8"/>
        <v/>
      </c>
      <c r="C295" s="74" t="str">
        <f>IF(A295="","",-PMT('Model Inputs'!$C$75,'Model Inputs'!$C$74,'Model Inputs'!$C$72))</f>
        <v/>
      </c>
      <c r="D295" s="74" t="str">
        <f t="shared" si="9"/>
        <v/>
      </c>
      <c r="E295" s="76" t="str">
        <f>IF(A295="","",'Model Inputs'!$C$75*B295)</f>
        <v/>
      </c>
    </row>
    <row r="296" spans="1:5" ht="18" customHeight="1" x14ac:dyDescent="0.2">
      <c r="A296" s="37" t="str">
        <f>IF(A295&gt;='Model Inputs'!$C$74,"",A295+1)</f>
        <v/>
      </c>
      <c r="B296" s="67" t="str">
        <f t="shared" si="8"/>
        <v/>
      </c>
      <c r="C296" s="74" t="str">
        <f>IF(A296="","",-PMT('Model Inputs'!$C$75,'Model Inputs'!$C$74,'Model Inputs'!$C$72))</f>
        <v/>
      </c>
      <c r="D296" s="74" t="str">
        <f t="shared" si="9"/>
        <v/>
      </c>
      <c r="E296" s="76" t="str">
        <f>IF(A296="","",'Model Inputs'!$C$75*B296)</f>
        <v/>
      </c>
    </row>
    <row r="297" spans="1:5" ht="18" customHeight="1" x14ac:dyDescent="0.2">
      <c r="A297" s="37" t="str">
        <f>IF(A296&gt;='Model Inputs'!$C$74,"",A296+1)</f>
        <v/>
      </c>
      <c r="B297" s="67" t="str">
        <f t="shared" si="8"/>
        <v/>
      </c>
      <c r="C297" s="74" t="str">
        <f>IF(A297="","",-PMT('Model Inputs'!$C$75,'Model Inputs'!$C$74,'Model Inputs'!$C$72))</f>
        <v/>
      </c>
      <c r="D297" s="74" t="str">
        <f t="shared" si="9"/>
        <v/>
      </c>
      <c r="E297" s="76" t="str">
        <f>IF(A297="","",'Model Inputs'!$C$75*B297)</f>
        <v/>
      </c>
    </row>
    <row r="298" spans="1:5" ht="18" customHeight="1" x14ac:dyDescent="0.2">
      <c r="A298" s="37" t="str">
        <f>IF(A297&gt;='Model Inputs'!$C$74,"",A297+1)</f>
        <v/>
      </c>
      <c r="B298" s="67" t="str">
        <f t="shared" si="8"/>
        <v/>
      </c>
      <c r="C298" s="74" t="str">
        <f>IF(A298="","",-PMT('Model Inputs'!$C$75,'Model Inputs'!$C$74,'Model Inputs'!$C$72))</f>
        <v/>
      </c>
      <c r="D298" s="74" t="str">
        <f t="shared" si="9"/>
        <v/>
      </c>
      <c r="E298" s="76" t="str">
        <f>IF(A298="","",'Model Inputs'!$C$75*B298)</f>
        <v/>
      </c>
    </row>
    <row r="299" spans="1:5" ht="18" customHeight="1" x14ac:dyDescent="0.2">
      <c r="A299" s="37" t="str">
        <f>IF(A298&gt;='Model Inputs'!$C$74,"",A298+1)</f>
        <v/>
      </c>
      <c r="B299" s="67" t="str">
        <f t="shared" si="8"/>
        <v/>
      </c>
      <c r="C299" s="74" t="str">
        <f>IF(A299="","",-PMT('Model Inputs'!$C$75,'Model Inputs'!$C$74,'Model Inputs'!$C$72))</f>
        <v/>
      </c>
      <c r="D299" s="74" t="str">
        <f t="shared" si="9"/>
        <v/>
      </c>
      <c r="E299" s="76" t="str">
        <f>IF(A299="","",'Model Inputs'!$C$75*B299)</f>
        <v/>
      </c>
    </row>
    <row r="300" spans="1:5" ht="18" customHeight="1" x14ac:dyDescent="0.2">
      <c r="A300" s="37" t="str">
        <f>IF(A299&gt;='Model Inputs'!$C$74,"",A299+1)</f>
        <v/>
      </c>
      <c r="B300" s="67" t="str">
        <f t="shared" si="8"/>
        <v/>
      </c>
      <c r="C300" s="74" t="str">
        <f>IF(A300="","",-PMT('Model Inputs'!$C$75,'Model Inputs'!$C$74,'Model Inputs'!$C$72))</f>
        <v/>
      </c>
      <c r="D300" s="74" t="str">
        <f t="shared" si="9"/>
        <v/>
      </c>
      <c r="E300" s="76" t="str">
        <f>IF(A300="","",'Model Inputs'!$C$75*B300)</f>
        <v/>
      </c>
    </row>
    <row r="301" spans="1:5" ht="18" customHeight="1" x14ac:dyDescent="0.2">
      <c r="A301" s="37" t="str">
        <f>IF(A300&gt;='Model Inputs'!$C$74,"",A300+1)</f>
        <v/>
      </c>
      <c r="B301" s="67" t="str">
        <f t="shared" si="8"/>
        <v/>
      </c>
      <c r="C301" s="74" t="str">
        <f>IF(A301="","",-PMT('Model Inputs'!$C$75,'Model Inputs'!$C$74,'Model Inputs'!$C$72))</f>
        <v/>
      </c>
      <c r="D301" s="74" t="str">
        <f t="shared" si="9"/>
        <v/>
      </c>
      <c r="E301" s="76" t="str">
        <f>IF(A301="","",'Model Inputs'!$C$75*B301)</f>
        <v/>
      </c>
    </row>
    <row r="302" spans="1:5" ht="18" customHeight="1" x14ac:dyDescent="0.2">
      <c r="A302" s="37" t="str">
        <f>IF(A301&gt;='Model Inputs'!$C$74,"",A301+1)</f>
        <v/>
      </c>
      <c r="B302" s="67" t="str">
        <f t="shared" si="8"/>
        <v/>
      </c>
      <c r="C302" s="74" t="str">
        <f>IF(A302="","",-PMT('Model Inputs'!$C$75,'Model Inputs'!$C$74,'Model Inputs'!$C$72))</f>
        <v/>
      </c>
      <c r="D302" s="74" t="str">
        <f t="shared" si="9"/>
        <v/>
      </c>
      <c r="E302" s="76" t="str">
        <f>IF(A302="","",'Model Inputs'!$C$75*B302)</f>
        <v/>
      </c>
    </row>
    <row r="303" spans="1:5" ht="18" customHeight="1" x14ac:dyDescent="0.2">
      <c r="A303" s="37" t="str">
        <f>IF(A302&gt;='Model Inputs'!$C$74,"",A302+1)</f>
        <v/>
      </c>
      <c r="B303" s="67" t="str">
        <f t="shared" si="8"/>
        <v/>
      </c>
      <c r="C303" s="74" t="str">
        <f>IF(A303="","",-PMT('Model Inputs'!$C$75,'Model Inputs'!$C$74,'Model Inputs'!$C$72))</f>
        <v/>
      </c>
      <c r="D303" s="74" t="str">
        <f t="shared" si="9"/>
        <v/>
      </c>
      <c r="E303" s="76" t="str">
        <f>IF(A303="","",'Model Inputs'!$C$75*B303)</f>
        <v/>
      </c>
    </row>
    <row r="304" spans="1:5" ht="18" customHeight="1" x14ac:dyDescent="0.2">
      <c r="A304" s="37" t="str">
        <f>IF(A303&gt;='Model Inputs'!$C$74,"",A303+1)</f>
        <v/>
      </c>
      <c r="B304" s="67" t="str">
        <f t="shared" si="8"/>
        <v/>
      </c>
      <c r="C304" s="74" t="str">
        <f>IF(A304="","",-PMT('Model Inputs'!$C$75,'Model Inputs'!$C$74,'Model Inputs'!$C$72))</f>
        <v/>
      </c>
      <c r="D304" s="74" t="str">
        <f t="shared" si="9"/>
        <v/>
      </c>
      <c r="E304" s="76" t="str">
        <f>IF(A304="","",'Model Inputs'!$C$75*B304)</f>
        <v/>
      </c>
    </row>
    <row r="305" spans="1:5" ht="18" customHeight="1" x14ac:dyDescent="0.2">
      <c r="A305" s="37" t="str">
        <f>IF(A304&gt;='Model Inputs'!$C$74,"",A304+1)</f>
        <v/>
      </c>
      <c r="B305" s="67" t="str">
        <f t="shared" si="8"/>
        <v/>
      </c>
      <c r="C305" s="74" t="str">
        <f>IF(A305="","",-PMT('Model Inputs'!$C$75,'Model Inputs'!$C$74,'Model Inputs'!$C$72))</f>
        <v/>
      </c>
      <c r="D305" s="74" t="str">
        <f t="shared" si="9"/>
        <v/>
      </c>
      <c r="E305" s="76" t="str">
        <f>IF(A305="","",'Model Inputs'!$C$75*B305)</f>
        <v/>
      </c>
    </row>
    <row r="306" spans="1:5" ht="18" customHeight="1" x14ac:dyDescent="0.2">
      <c r="A306" s="37" t="str">
        <f>IF(A305&gt;='Model Inputs'!$C$74,"",A305+1)</f>
        <v/>
      </c>
      <c r="B306" s="67" t="str">
        <f t="shared" si="8"/>
        <v/>
      </c>
      <c r="C306" s="74" t="str">
        <f>IF(A306="","",-PMT('Model Inputs'!$C$75,'Model Inputs'!$C$74,'Model Inputs'!$C$72))</f>
        <v/>
      </c>
      <c r="D306" s="74" t="str">
        <f t="shared" si="9"/>
        <v/>
      </c>
      <c r="E306" s="76" t="str">
        <f>IF(A306="","",'Model Inputs'!$C$75*B306)</f>
        <v/>
      </c>
    </row>
    <row r="307" spans="1:5" ht="18" customHeight="1" x14ac:dyDescent="0.2">
      <c r="A307" s="37" t="str">
        <f>IF(A306&gt;='Model Inputs'!$C$74,"",A306+1)</f>
        <v/>
      </c>
      <c r="B307" s="67" t="str">
        <f t="shared" si="8"/>
        <v/>
      </c>
      <c r="C307" s="74" t="str">
        <f>IF(A307="","",-PMT('Model Inputs'!$C$75,'Model Inputs'!$C$74,'Model Inputs'!$C$72))</f>
        <v/>
      </c>
      <c r="D307" s="74" t="str">
        <f t="shared" si="9"/>
        <v/>
      </c>
      <c r="E307" s="76" t="str">
        <f>IF(A307="","",'Model Inputs'!$C$75*B307)</f>
        <v/>
      </c>
    </row>
    <row r="308" spans="1:5" ht="18" customHeight="1" x14ac:dyDescent="0.2">
      <c r="A308" s="37" t="str">
        <f>IF(A307&gt;='Model Inputs'!$C$74,"",A307+1)</f>
        <v/>
      </c>
      <c r="B308" s="67" t="str">
        <f t="shared" si="8"/>
        <v/>
      </c>
      <c r="C308" s="74" t="str">
        <f>IF(A308="","",-PMT('Model Inputs'!$C$75,'Model Inputs'!$C$74,'Model Inputs'!$C$72))</f>
        <v/>
      </c>
      <c r="D308" s="74" t="str">
        <f t="shared" si="9"/>
        <v/>
      </c>
      <c r="E308" s="76" t="str">
        <f>IF(A308="","",'Model Inputs'!$C$75*B308)</f>
        <v/>
      </c>
    </row>
    <row r="309" spans="1:5" ht="18" customHeight="1" x14ac:dyDescent="0.2">
      <c r="A309" s="37" t="str">
        <f>IF(A308&gt;='Model Inputs'!$C$74,"",A308+1)</f>
        <v/>
      </c>
      <c r="B309" s="67" t="str">
        <f t="shared" si="8"/>
        <v/>
      </c>
      <c r="C309" s="74" t="str">
        <f>IF(A309="","",-PMT('Model Inputs'!$C$75,'Model Inputs'!$C$74,'Model Inputs'!$C$72))</f>
        <v/>
      </c>
      <c r="D309" s="74" t="str">
        <f t="shared" si="9"/>
        <v/>
      </c>
      <c r="E309" s="76" t="str">
        <f>IF(A309="","",'Model Inputs'!$C$75*B309)</f>
        <v/>
      </c>
    </row>
    <row r="310" spans="1:5" ht="18" customHeight="1" x14ac:dyDescent="0.2">
      <c r="A310" s="37" t="str">
        <f>IF(A309&gt;='Model Inputs'!$C$74,"",A309+1)</f>
        <v/>
      </c>
      <c r="B310" s="67" t="str">
        <f t="shared" si="8"/>
        <v/>
      </c>
      <c r="C310" s="74" t="str">
        <f>IF(A310="","",-PMT('Model Inputs'!$C$75,'Model Inputs'!$C$74,'Model Inputs'!$C$72))</f>
        <v/>
      </c>
      <c r="D310" s="74" t="str">
        <f t="shared" si="9"/>
        <v/>
      </c>
      <c r="E310" s="76" t="str">
        <f>IF(A310="","",'Model Inputs'!$C$75*B310)</f>
        <v/>
      </c>
    </row>
    <row r="311" spans="1:5" ht="18" customHeight="1" x14ac:dyDescent="0.2">
      <c r="A311" s="37" t="str">
        <f>IF(A310&gt;='Model Inputs'!$C$74,"",A310+1)</f>
        <v/>
      </c>
      <c r="B311" s="67" t="str">
        <f t="shared" si="8"/>
        <v/>
      </c>
      <c r="C311" s="74" t="str">
        <f>IF(A311="","",-PMT('Model Inputs'!$C$75,'Model Inputs'!$C$74,'Model Inputs'!$C$72))</f>
        <v/>
      </c>
      <c r="D311" s="74" t="str">
        <f t="shared" si="9"/>
        <v/>
      </c>
      <c r="E311" s="76" t="str">
        <f>IF(A311="","",'Model Inputs'!$C$75*B311)</f>
        <v/>
      </c>
    </row>
    <row r="312" spans="1:5" ht="18" customHeight="1" x14ac:dyDescent="0.2">
      <c r="A312" s="37" t="str">
        <f>IF(A311&gt;='Model Inputs'!$C$74,"",A311+1)</f>
        <v/>
      </c>
      <c r="B312" s="67" t="str">
        <f t="shared" si="8"/>
        <v/>
      </c>
      <c r="C312" s="74" t="str">
        <f>IF(A312="","",-PMT('Model Inputs'!$C$75,'Model Inputs'!$C$74,'Model Inputs'!$C$72))</f>
        <v/>
      </c>
      <c r="D312" s="74" t="str">
        <f t="shared" si="9"/>
        <v/>
      </c>
      <c r="E312" s="76" t="str">
        <f>IF(A312="","",'Model Inputs'!$C$75*B312)</f>
        <v/>
      </c>
    </row>
    <row r="313" spans="1:5" ht="18" customHeight="1" x14ac:dyDescent="0.2">
      <c r="A313" s="37" t="str">
        <f>IF(A312&gt;='Model Inputs'!$C$74,"",A312+1)</f>
        <v/>
      </c>
      <c r="B313" s="67" t="str">
        <f t="shared" si="8"/>
        <v/>
      </c>
      <c r="C313" s="74" t="str">
        <f>IF(A313="","",-PMT('Model Inputs'!$C$75,'Model Inputs'!$C$74,'Model Inputs'!$C$72))</f>
        <v/>
      </c>
      <c r="D313" s="74" t="str">
        <f t="shared" si="9"/>
        <v/>
      </c>
      <c r="E313" s="76" t="str">
        <f>IF(A313="","",'Model Inputs'!$C$75*B313)</f>
        <v/>
      </c>
    </row>
    <row r="314" spans="1:5" ht="18" customHeight="1" x14ac:dyDescent="0.2">
      <c r="A314" s="37" t="str">
        <f>IF(A313&gt;='Model Inputs'!$C$74,"",A313+1)</f>
        <v/>
      </c>
      <c r="B314" s="67" t="str">
        <f t="shared" si="8"/>
        <v/>
      </c>
      <c r="C314" s="74" t="str">
        <f>IF(A314="","",-PMT('Model Inputs'!$C$75,'Model Inputs'!$C$74,'Model Inputs'!$C$72))</f>
        <v/>
      </c>
      <c r="D314" s="74" t="str">
        <f t="shared" si="9"/>
        <v/>
      </c>
      <c r="E314" s="76" t="str">
        <f>IF(A314="","",'Model Inputs'!$C$75*B314)</f>
        <v/>
      </c>
    </row>
    <row r="315" spans="1:5" ht="18" customHeight="1" x14ac:dyDescent="0.2">
      <c r="A315" s="37" t="str">
        <f>IF(A314&gt;='Model Inputs'!$C$74,"",A314+1)</f>
        <v/>
      </c>
      <c r="B315" s="67" t="str">
        <f t="shared" si="8"/>
        <v/>
      </c>
      <c r="C315" s="74" t="str">
        <f>IF(A315="","",-PMT('Model Inputs'!$C$75,'Model Inputs'!$C$74,'Model Inputs'!$C$72))</f>
        <v/>
      </c>
      <c r="D315" s="74" t="str">
        <f t="shared" si="9"/>
        <v/>
      </c>
      <c r="E315" s="76" t="str">
        <f>IF(A315="","",'Model Inputs'!$C$75*B315)</f>
        <v/>
      </c>
    </row>
    <row r="316" spans="1:5" ht="18" customHeight="1" x14ac:dyDescent="0.2">
      <c r="A316" s="37" t="str">
        <f>IF(A315&gt;='Model Inputs'!$C$74,"",A315+1)</f>
        <v/>
      </c>
      <c r="B316" s="67" t="str">
        <f t="shared" si="8"/>
        <v/>
      </c>
      <c r="C316" s="74" t="str">
        <f>IF(A316="","",-PMT('Model Inputs'!$C$75,'Model Inputs'!$C$74,'Model Inputs'!$C$72))</f>
        <v/>
      </c>
      <c r="D316" s="74" t="str">
        <f t="shared" si="9"/>
        <v/>
      </c>
      <c r="E316" s="76" t="str">
        <f>IF(A316="","",'Model Inputs'!$C$75*B316)</f>
        <v/>
      </c>
    </row>
    <row r="317" spans="1:5" ht="18" customHeight="1" x14ac:dyDescent="0.2">
      <c r="A317" s="37" t="str">
        <f>IF(A316&gt;='Model Inputs'!$C$74,"",A316+1)</f>
        <v/>
      </c>
      <c r="B317" s="67" t="str">
        <f t="shared" si="8"/>
        <v/>
      </c>
      <c r="C317" s="74" t="str">
        <f>IF(A317="","",-PMT('Model Inputs'!$C$75,'Model Inputs'!$C$74,'Model Inputs'!$C$72))</f>
        <v/>
      </c>
      <c r="D317" s="74" t="str">
        <f t="shared" si="9"/>
        <v/>
      </c>
      <c r="E317" s="76" t="str">
        <f>IF(A317="","",'Model Inputs'!$C$75*B317)</f>
        <v/>
      </c>
    </row>
    <row r="318" spans="1:5" ht="18" customHeight="1" x14ac:dyDescent="0.2">
      <c r="A318" s="37" t="str">
        <f>IF(A317&gt;='Model Inputs'!$C$74,"",A317+1)</f>
        <v/>
      </c>
      <c r="B318" s="67" t="str">
        <f t="shared" si="8"/>
        <v/>
      </c>
      <c r="C318" s="74" t="str">
        <f>IF(A318="","",-PMT('Model Inputs'!$C$75,'Model Inputs'!$C$74,'Model Inputs'!$C$72))</f>
        <v/>
      </c>
      <c r="D318" s="74" t="str">
        <f t="shared" si="9"/>
        <v/>
      </c>
      <c r="E318" s="76" t="str">
        <f>IF(A318="","",'Model Inputs'!$C$75*B318)</f>
        <v/>
      </c>
    </row>
    <row r="319" spans="1:5" ht="18" customHeight="1" x14ac:dyDescent="0.2">
      <c r="A319" s="37" t="str">
        <f>IF(A318&gt;='Model Inputs'!$C$74,"",A318+1)</f>
        <v/>
      </c>
      <c r="B319" s="67" t="str">
        <f t="shared" si="8"/>
        <v/>
      </c>
      <c r="C319" s="74" t="str">
        <f>IF(A319="","",-PMT('Model Inputs'!$C$75,'Model Inputs'!$C$74,'Model Inputs'!$C$72))</f>
        <v/>
      </c>
      <c r="D319" s="74" t="str">
        <f t="shared" si="9"/>
        <v/>
      </c>
      <c r="E319" s="76" t="str">
        <f>IF(A319="","",'Model Inputs'!$C$75*B319)</f>
        <v/>
      </c>
    </row>
    <row r="320" spans="1:5" ht="18" customHeight="1" x14ac:dyDescent="0.2">
      <c r="A320" s="37" t="str">
        <f>IF(A319&gt;='Model Inputs'!$C$74,"",A319+1)</f>
        <v/>
      </c>
      <c r="B320" s="67" t="str">
        <f t="shared" si="8"/>
        <v/>
      </c>
      <c r="C320" s="74" t="str">
        <f>IF(A320="","",-PMT('Model Inputs'!$C$75,'Model Inputs'!$C$74,'Model Inputs'!$C$72))</f>
        <v/>
      </c>
      <c r="D320" s="74" t="str">
        <f t="shared" si="9"/>
        <v/>
      </c>
      <c r="E320" s="76" t="str">
        <f>IF(A320="","",'Model Inputs'!$C$75*B320)</f>
        <v/>
      </c>
    </row>
    <row r="321" spans="1:5" ht="18" customHeight="1" x14ac:dyDescent="0.2">
      <c r="A321" s="37" t="str">
        <f>IF(A320&gt;='Model Inputs'!$C$74,"",A320+1)</f>
        <v/>
      </c>
      <c r="B321" s="67" t="str">
        <f t="shared" si="8"/>
        <v/>
      </c>
      <c r="C321" s="74" t="str">
        <f>IF(A321="","",-PMT('Model Inputs'!$C$75,'Model Inputs'!$C$74,'Model Inputs'!$C$72))</f>
        <v/>
      </c>
      <c r="D321" s="74" t="str">
        <f t="shared" si="9"/>
        <v/>
      </c>
      <c r="E321" s="76" t="str">
        <f>IF(A321="","",'Model Inputs'!$C$75*B321)</f>
        <v/>
      </c>
    </row>
    <row r="322" spans="1:5" ht="18" customHeight="1" x14ac:dyDescent="0.2">
      <c r="A322" s="37" t="str">
        <f>IF(A321&gt;='Model Inputs'!$C$74,"",A321+1)</f>
        <v/>
      </c>
      <c r="B322" s="67" t="str">
        <f t="shared" si="8"/>
        <v/>
      </c>
      <c r="C322" s="74" t="str">
        <f>IF(A322="","",-PMT('Model Inputs'!$C$75,'Model Inputs'!$C$74,'Model Inputs'!$C$72))</f>
        <v/>
      </c>
      <c r="D322" s="74" t="str">
        <f t="shared" si="9"/>
        <v/>
      </c>
      <c r="E322" s="76" t="str">
        <f>IF(A322="","",'Model Inputs'!$C$75*B322)</f>
        <v/>
      </c>
    </row>
    <row r="323" spans="1:5" ht="18" customHeight="1" x14ac:dyDescent="0.2">
      <c r="A323" s="37" t="str">
        <f>IF(A322&gt;='Model Inputs'!$C$74,"",A322+1)</f>
        <v/>
      </c>
      <c r="B323" s="67" t="str">
        <f t="shared" si="8"/>
        <v/>
      </c>
      <c r="C323" s="74" t="str">
        <f>IF(A323="","",-PMT('Model Inputs'!$C$75,'Model Inputs'!$C$74,'Model Inputs'!$C$72))</f>
        <v/>
      </c>
      <c r="D323" s="74" t="str">
        <f t="shared" si="9"/>
        <v/>
      </c>
      <c r="E323" s="76" t="str">
        <f>IF(A323="","",'Model Inputs'!$C$75*B323)</f>
        <v/>
      </c>
    </row>
    <row r="324" spans="1:5" ht="18" customHeight="1" x14ac:dyDescent="0.2">
      <c r="A324" s="37" t="str">
        <f>IF(A323&gt;='Model Inputs'!$C$74,"",A323+1)</f>
        <v/>
      </c>
      <c r="B324" s="67" t="str">
        <f t="shared" si="8"/>
        <v/>
      </c>
      <c r="C324" s="74" t="str">
        <f>IF(A324="","",-PMT('Model Inputs'!$C$75,'Model Inputs'!$C$74,'Model Inputs'!$C$72))</f>
        <v/>
      </c>
      <c r="D324" s="74" t="str">
        <f t="shared" si="9"/>
        <v/>
      </c>
      <c r="E324" s="76" t="str">
        <f>IF(A324="","",'Model Inputs'!$C$75*B324)</f>
        <v/>
      </c>
    </row>
    <row r="325" spans="1:5" ht="18" customHeight="1" x14ac:dyDescent="0.2">
      <c r="A325" s="37" t="str">
        <f>IF(A324&gt;='Model Inputs'!$C$74,"",A324+1)</f>
        <v/>
      </c>
      <c r="B325" s="67" t="str">
        <f t="shared" si="8"/>
        <v/>
      </c>
      <c r="C325" s="74" t="str">
        <f>IF(A325="","",-PMT('Model Inputs'!$C$75,'Model Inputs'!$C$74,'Model Inputs'!$C$72))</f>
        <v/>
      </c>
      <c r="D325" s="74" t="str">
        <f t="shared" si="9"/>
        <v/>
      </c>
      <c r="E325" s="76" t="str">
        <f>IF(A325="","",'Model Inputs'!$C$75*B325)</f>
        <v/>
      </c>
    </row>
    <row r="326" spans="1:5" ht="18" customHeight="1" x14ac:dyDescent="0.2">
      <c r="A326" s="37" t="str">
        <f>IF(A325&gt;='Model Inputs'!$C$74,"",A325+1)</f>
        <v/>
      </c>
      <c r="B326" s="67" t="str">
        <f t="shared" si="8"/>
        <v/>
      </c>
      <c r="C326" s="74" t="str">
        <f>IF(A326="","",-PMT('Model Inputs'!$C$75,'Model Inputs'!$C$74,'Model Inputs'!$C$72))</f>
        <v/>
      </c>
      <c r="D326" s="74" t="str">
        <f t="shared" si="9"/>
        <v/>
      </c>
      <c r="E326" s="76" t="str">
        <f>IF(A326="","",'Model Inputs'!$C$75*B326)</f>
        <v/>
      </c>
    </row>
    <row r="327" spans="1:5" ht="18" customHeight="1" x14ac:dyDescent="0.2">
      <c r="A327" s="37" t="str">
        <f>IF(A326&gt;='Model Inputs'!$C$74,"",A326+1)</f>
        <v/>
      </c>
      <c r="B327" s="67" t="str">
        <f t="shared" si="8"/>
        <v/>
      </c>
      <c r="C327" s="74" t="str">
        <f>IF(A327="","",-PMT('Model Inputs'!$C$75,'Model Inputs'!$C$74,'Model Inputs'!$C$72))</f>
        <v/>
      </c>
      <c r="D327" s="74" t="str">
        <f t="shared" si="9"/>
        <v/>
      </c>
      <c r="E327" s="76" t="str">
        <f>IF(A327="","",'Model Inputs'!$C$75*B327)</f>
        <v/>
      </c>
    </row>
    <row r="328" spans="1:5" ht="18" customHeight="1" x14ac:dyDescent="0.2">
      <c r="A328" s="37" t="str">
        <f>IF(A327&gt;='Model Inputs'!$C$74,"",A327+1)</f>
        <v/>
      </c>
      <c r="B328" s="67" t="str">
        <f t="shared" ref="B328:B366" si="10">IF(A328="","",B327-D327)</f>
        <v/>
      </c>
      <c r="C328" s="74" t="str">
        <f>IF(A328="","",-PMT('Model Inputs'!$C$75,'Model Inputs'!$C$74,'Model Inputs'!$C$72))</f>
        <v/>
      </c>
      <c r="D328" s="74" t="str">
        <f t="shared" ref="D328:D366" si="11">IF(A328="","",C328-E328)</f>
        <v/>
      </c>
      <c r="E328" s="76" t="str">
        <f>IF(A328="","",'Model Inputs'!$C$75*B328)</f>
        <v/>
      </c>
    </row>
    <row r="329" spans="1:5" ht="18" customHeight="1" x14ac:dyDescent="0.2">
      <c r="A329" s="37" t="str">
        <f>IF(A328&gt;='Model Inputs'!$C$74,"",A328+1)</f>
        <v/>
      </c>
      <c r="B329" s="67" t="str">
        <f t="shared" si="10"/>
        <v/>
      </c>
      <c r="C329" s="74" t="str">
        <f>IF(A329="","",-PMT('Model Inputs'!$C$75,'Model Inputs'!$C$74,'Model Inputs'!$C$72))</f>
        <v/>
      </c>
      <c r="D329" s="74" t="str">
        <f t="shared" si="11"/>
        <v/>
      </c>
      <c r="E329" s="76" t="str">
        <f>IF(A329="","",'Model Inputs'!$C$75*B329)</f>
        <v/>
      </c>
    </row>
    <row r="330" spans="1:5" ht="18" customHeight="1" x14ac:dyDescent="0.2">
      <c r="A330" s="37" t="str">
        <f>IF(A329&gt;='Model Inputs'!$C$74,"",A329+1)</f>
        <v/>
      </c>
      <c r="B330" s="67" t="str">
        <f t="shared" si="10"/>
        <v/>
      </c>
      <c r="C330" s="74" t="str">
        <f>IF(A330="","",-PMT('Model Inputs'!$C$75,'Model Inputs'!$C$74,'Model Inputs'!$C$72))</f>
        <v/>
      </c>
      <c r="D330" s="74" t="str">
        <f t="shared" si="11"/>
        <v/>
      </c>
      <c r="E330" s="76" t="str">
        <f>IF(A330="","",'Model Inputs'!$C$75*B330)</f>
        <v/>
      </c>
    </row>
    <row r="331" spans="1:5" ht="18" customHeight="1" x14ac:dyDescent="0.2">
      <c r="A331" s="37" t="str">
        <f>IF(A330&gt;='Model Inputs'!$C$74,"",A330+1)</f>
        <v/>
      </c>
      <c r="B331" s="67" t="str">
        <f t="shared" si="10"/>
        <v/>
      </c>
      <c r="C331" s="74" t="str">
        <f>IF(A331="","",-PMT('Model Inputs'!$C$75,'Model Inputs'!$C$74,'Model Inputs'!$C$72))</f>
        <v/>
      </c>
      <c r="D331" s="74" t="str">
        <f t="shared" si="11"/>
        <v/>
      </c>
      <c r="E331" s="76" t="str">
        <f>IF(A331="","",'Model Inputs'!$C$75*B331)</f>
        <v/>
      </c>
    </row>
    <row r="332" spans="1:5" ht="18" customHeight="1" x14ac:dyDescent="0.2">
      <c r="A332" s="37" t="str">
        <f>IF(A331&gt;='Model Inputs'!$C$74,"",A331+1)</f>
        <v/>
      </c>
      <c r="B332" s="67" t="str">
        <f t="shared" si="10"/>
        <v/>
      </c>
      <c r="C332" s="74" t="str">
        <f>IF(A332="","",-PMT('Model Inputs'!$C$75,'Model Inputs'!$C$74,'Model Inputs'!$C$72))</f>
        <v/>
      </c>
      <c r="D332" s="74" t="str">
        <f t="shared" si="11"/>
        <v/>
      </c>
      <c r="E332" s="76" t="str">
        <f>IF(A332="","",'Model Inputs'!$C$75*B332)</f>
        <v/>
      </c>
    </row>
    <row r="333" spans="1:5" ht="18" customHeight="1" x14ac:dyDescent="0.2">
      <c r="A333" s="37" t="str">
        <f>IF(A332&gt;='Model Inputs'!$C$74,"",A332+1)</f>
        <v/>
      </c>
      <c r="B333" s="67" t="str">
        <f t="shared" si="10"/>
        <v/>
      </c>
      <c r="C333" s="74" t="str">
        <f>IF(A333="","",-PMT('Model Inputs'!$C$75,'Model Inputs'!$C$74,'Model Inputs'!$C$72))</f>
        <v/>
      </c>
      <c r="D333" s="74" t="str">
        <f t="shared" si="11"/>
        <v/>
      </c>
      <c r="E333" s="76" t="str">
        <f>IF(A333="","",'Model Inputs'!$C$75*B333)</f>
        <v/>
      </c>
    </row>
    <row r="334" spans="1:5" ht="18" customHeight="1" x14ac:dyDescent="0.2">
      <c r="A334" s="37" t="str">
        <f>IF(A333&gt;='Model Inputs'!$C$74,"",A333+1)</f>
        <v/>
      </c>
      <c r="B334" s="67" t="str">
        <f t="shared" si="10"/>
        <v/>
      </c>
      <c r="C334" s="74" t="str">
        <f>IF(A334="","",-PMT('Model Inputs'!$C$75,'Model Inputs'!$C$74,'Model Inputs'!$C$72))</f>
        <v/>
      </c>
      <c r="D334" s="74" t="str">
        <f t="shared" si="11"/>
        <v/>
      </c>
      <c r="E334" s="76" t="str">
        <f>IF(A334="","",'Model Inputs'!$C$75*B334)</f>
        <v/>
      </c>
    </row>
    <row r="335" spans="1:5" ht="18" customHeight="1" x14ac:dyDescent="0.2">
      <c r="A335" s="37" t="str">
        <f>IF(A334&gt;='Model Inputs'!$C$74,"",A334+1)</f>
        <v/>
      </c>
      <c r="B335" s="67" t="str">
        <f t="shared" si="10"/>
        <v/>
      </c>
      <c r="C335" s="74" t="str">
        <f>IF(A335="","",-PMT('Model Inputs'!$C$75,'Model Inputs'!$C$74,'Model Inputs'!$C$72))</f>
        <v/>
      </c>
      <c r="D335" s="74" t="str">
        <f t="shared" si="11"/>
        <v/>
      </c>
      <c r="E335" s="76" t="str">
        <f>IF(A335="","",'Model Inputs'!$C$75*B335)</f>
        <v/>
      </c>
    </row>
    <row r="336" spans="1:5" ht="18" customHeight="1" x14ac:dyDescent="0.2">
      <c r="A336" s="37" t="str">
        <f>IF(A335&gt;='Model Inputs'!$C$74,"",A335+1)</f>
        <v/>
      </c>
      <c r="B336" s="67" t="str">
        <f t="shared" si="10"/>
        <v/>
      </c>
      <c r="C336" s="74" t="str">
        <f>IF(A336="","",-PMT('Model Inputs'!$C$75,'Model Inputs'!$C$74,'Model Inputs'!$C$72))</f>
        <v/>
      </c>
      <c r="D336" s="74" t="str">
        <f t="shared" si="11"/>
        <v/>
      </c>
      <c r="E336" s="76" t="str">
        <f>IF(A336="","",'Model Inputs'!$C$75*B336)</f>
        <v/>
      </c>
    </row>
    <row r="337" spans="1:5" ht="18" customHeight="1" x14ac:dyDescent="0.2">
      <c r="A337" s="37" t="str">
        <f>IF(A336&gt;='Model Inputs'!$C$74,"",A336+1)</f>
        <v/>
      </c>
      <c r="B337" s="67" t="str">
        <f t="shared" si="10"/>
        <v/>
      </c>
      <c r="C337" s="74" t="str">
        <f>IF(A337="","",-PMT('Model Inputs'!$C$75,'Model Inputs'!$C$74,'Model Inputs'!$C$72))</f>
        <v/>
      </c>
      <c r="D337" s="74" t="str">
        <f t="shared" si="11"/>
        <v/>
      </c>
      <c r="E337" s="76" t="str">
        <f>IF(A337="","",'Model Inputs'!$C$75*B337)</f>
        <v/>
      </c>
    </row>
    <row r="338" spans="1:5" ht="18" customHeight="1" x14ac:dyDescent="0.2">
      <c r="A338" s="37" t="str">
        <f>IF(A337&gt;='Model Inputs'!$C$74,"",A337+1)</f>
        <v/>
      </c>
      <c r="B338" s="67" t="str">
        <f t="shared" si="10"/>
        <v/>
      </c>
      <c r="C338" s="74" t="str">
        <f>IF(A338="","",-PMT('Model Inputs'!$C$75,'Model Inputs'!$C$74,'Model Inputs'!$C$72))</f>
        <v/>
      </c>
      <c r="D338" s="74" t="str">
        <f t="shared" si="11"/>
        <v/>
      </c>
      <c r="E338" s="76" t="str">
        <f>IF(A338="","",'Model Inputs'!$C$75*B338)</f>
        <v/>
      </c>
    </row>
    <row r="339" spans="1:5" ht="18" customHeight="1" x14ac:dyDescent="0.2">
      <c r="A339" s="37" t="str">
        <f>IF(A338&gt;='Model Inputs'!$C$74,"",A338+1)</f>
        <v/>
      </c>
      <c r="B339" s="67" t="str">
        <f t="shared" si="10"/>
        <v/>
      </c>
      <c r="C339" s="74" t="str">
        <f>IF(A339="","",-PMT('Model Inputs'!$C$75,'Model Inputs'!$C$74,'Model Inputs'!$C$72))</f>
        <v/>
      </c>
      <c r="D339" s="74" t="str">
        <f t="shared" si="11"/>
        <v/>
      </c>
      <c r="E339" s="76" t="str">
        <f>IF(A339="","",'Model Inputs'!$C$75*B339)</f>
        <v/>
      </c>
    </row>
    <row r="340" spans="1:5" ht="18" customHeight="1" x14ac:dyDescent="0.2">
      <c r="A340" s="37" t="str">
        <f>IF(A339&gt;='Model Inputs'!$C$74,"",A339+1)</f>
        <v/>
      </c>
      <c r="B340" s="67" t="str">
        <f t="shared" si="10"/>
        <v/>
      </c>
      <c r="C340" s="74" t="str">
        <f>IF(A340="","",-PMT('Model Inputs'!$C$75,'Model Inputs'!$C$74,'Model Inputs'!$C$72))</f>
        <v/>
      </c>
      <c r="D340" s="74" t="str">
        <f t="shared" si="11"/>
        <v/>
      </c>
      <c r="E340" s="76" t="str">
        <f>IF(A340="","",'Model Inputs'!$C$75*B340)</f>
        <v/>
      </c>
    </row>
    <row r="341" spans="1:5" ht="18" customHeight="1" x14ac:dyDescent="0.2">
      <c r="A341" s="37" t="str">
        <f>IF(A340&gt;='Model Inputs'!$C$74,"",A340+1)</f>
        <v/>
      </c>
      <c r="B341" s="67" t="str">
        <f t="shared" si="10"/>
        <v/>
      </c>
      <c r="C341" s="74" t="str">
        <f>IF(A341="","",-PMT('Model Inputs'!$C$75,'Model Inputs'!$C$74,'Model Inputs'!$C$72))</f>
        <v/>
      </c>
      <c r="D341" s="74" t="str">
        <f t="shared" si="11"/>
        <v/>
      </c>
      <c r="E341" s="76" t="str">
        <f>IF(A341="","",'Model Inputs'!$C$75*B341)</f>
        <v/>
      </c>
    </row>
    <row r="342" spans="1:5" ht="18" customHeight="1" x14ac:dyDescent="0.2">
      <c r="A342" s="37" t="str">
        <f>IF(A341&gt;='Model Inputs'!$C$74,"",A341+1)</f>
        <v/>
      </c>
      <c r="B342" s="67" t="str">
        <f t="shared" si="10"/>
        <v/>
      </c>
      <c r="C342" s="74" t="str">
        <f>IF(A342="","",-PMT('Model Inputs'!$C$75,'Model Inputs'!$C$74,'Model Inputs'!$C$72))</f>
        <v/>
      </c>
      <c r="D342" s="74" t="str">
        <f t="shared" si="11"/>
        <v/>
      </c>
      <c r="E342" s="76" t="str">
        <f>IF(A342="","",'Model Inputs'!$C$75*B342)</f>
        <v/>
      </c>
    </row>
    <row r="343" spans="1:5" ht="18" customHeight="1" x14ac:dyDescent="0.2">
      <c r="A343" s="37" t="str">
        <f>IF(A342&gt;='Model Inputs'!$C$74,"",A342+1)</f>
        <v/>
      </c>
      <c r="B343" s="67" t="str">
        <f t="shared" si="10"/>
        <v/>
      </c>
      <c r="C343" s="74" t="str">
        <f>IF(A343="","",-PMT('Model Inputs'!$C$75,'Model Inputs'!$C$74,'Model Inputs'!$C$72))</f>
        <v/>
      </c>
      <c r="D343" s="74" t="str">
        <f t="shared" si="11"/>
        <v/>
      </c>
      <c r="E343" s="76" t="str">
        <f>IF(A343="","",'Model Inputs'!$C$75*B343)</f>
        <v/>
      </c>
    </row>
    <row r="344" spans="1:5" ht="18" customHeight="1" x14ac:dyDescent="0.2">
      <c r="A344" s="37" t="str">
        <f>IF(A343&gt;='Model Inputs'!$C$74,"",A343+1)</f>
        <v/>
      </c>
      <c r="B344" s="67" t="str">
        <f t="shared" si="10"/>
        <v/>
      </c>
      <c r="C344" s="74" t="str">
        <f>IF(A344="","",-PMT('Model Inputs'!$C$75,'Model Inputs'!$C$74,'Model Inputs'!$C$72))</f>
        <v/>
      </c>
      <c r="D344" s="74" t="str">
        <f t="shared" si="11"/>
        <v/>
      </c>
      <c r="E344" s="76" t="str">
        <f>IF(A344="","",'Model Inputs'!$C$75*B344)</f>
        <v/>
      </c>
    </row>
    <row r="345" spans="1:5" ht="18" customHeight="1" x14ac:dyDescent="0.2">
      <c r="A345" s="37" t="str">
        <f>IF(A344&gt;='Model Inputs'!$C$74,"",A344+1)</f>
        <v/>
      </c>
      <c r="B345" s="67" t="str">
        <f t="shared" si="10"/>
        <v/>
      </c>
      <c r="C345" s="74" t="str">
        <f>IF(A345="","",-PMT('Model Inputs'!$C$75,'Model Inputs'!$C$74,'Model Inputs'!$C$72))</f>
        <v/>
      </c>
      <c r="D345" s="74" t="str">
        <f t="shared" si="11"/>
        <v/>
      </c>
      <c r="E345" s="76" t="str">
        <f>IF(A345="","",'Model Inputs'!$C$75*B345)</f>
        <v/>
      </c>
    </row>
    <row r="346" spans="1:5" ht="18" customHeight="1" x14ac:dyDescent="0.2">
      <c r="A346" s="37" t="str">
        <f>IF(A345&gt;='Model Inputs'!$C$74,"",A345+1)</f>
        <v/>
      </c>
      <c r="B346" s="67" t="str">
        <f t="shared" si="10"/>
        <v/>
      </c>
      <c r="C346" s="74" t="str">
        <f>IF(A346="","",-PMT('Model Inputs'!$C$75,'Model Inputs'!$C$74,'Model Inputs'!$C$72))</f>
        <v/>
      </c>
      <c r="D346" s="74" t="str">
        <f t="shared" si="11"/>
        <v/>
      </c>
      <c r="E346" s="76" t="str">
        <f>IF(A346="","",'Model Inputs'!$C$75*B346)</f>
        <v/>
      </c>
    </row>
    <row r="347" spans="1:5" ht="18" customHeight="1" x14ac:dyDescent="0.2">
      <c r="A347" s="37" t="str">
        <f>IF(A346&gt;='Model Inputs'!$C$74,"",A346+1)</f>
        <v/>
      </c>
      <c r="B347" s="67" t="str">
        <f t="shared" si="10"/>
        <v/>
      </c>
      <c r="C347" s="74" t="str">
        <f>IF(A347="","",-PMT('Model Inputs'!$C$75,'Model Inputs'!$C$74,'Model Inputs'!$C$72))</f>
        <v/>
      </c>
      <c r="D347" s="74" t="str">
        <f t="shared" si="11"/>
        <v/>
      </c>
      <c r="E347" s="76" t="str">
        <f>IF(A347="","",'Model Inputs'!$C$75*B347)</f>
        <v/>
      </c>
    </row>
    <row r="348" spans="1:5" ht="18" customHeight="1" x14ac:dyDescent="0.2">
      <c r="A348" s="37" t="str">
        <f>IF(A347&gt;='Model Inputs'!$C$74,"",A347+1)</f>
        <v/>
      </c>
      <c r="B348" s="67" t="str">
        <f t="shared" si="10"/>
        <v/>
      </c>
      <c r="C348" s="74" t="str">
        <f>IF(A348="","",-PMT('Model Inputs'!$C$75,'Model Inputs'!$C$74,'Model Inputs'!$C$72))</f>
        <v/>
      </c>
      <c r="D348" s="74" t="str">
        <f t="shared" si="11"/>
        <v/>
      </c>
      <c r="E348" s="76" t="str">
        <f>IF(A348="","",'Model Inputs'!$C$75*B348)</f>
        <v/>
      </c>
    </row>
    <row r="349" spans="1:5" ht="18" customHeight="1" x14ac:dyDescent="0.2">
      <c r="A349" s="37" t="str">
        <f>IF(A348&gt;='Model Inputs'!$C$74,"",A348+1)</f>
        <v/>
      </c>
      <c r="B349" s="67" t="str">
        <f t="shared" si="10"/>
        <v/>
      </c>
      <c r="C349" s="74" t="str">
        <f>IF(A349="","",-PMT('Model Inputs'!$C$75,'Model Inputs'!$C$74,'Model Inputs'!$C$72))</f>
        <v/>
      </c>
      <c r="D349" s="74" t="str">
        <f t="shared" si="11"/>
        <v/>
      </c>
      <c r="E349" s="76" t="str">
        <f>IF(A349="","",'Model Inputs'!$C$75*B349)</f>
        <v/>
      </c>
    </row>
    <row r="350" spans="1:5" ht="18" customHeight="1" x14ac:dyDescent="0.2">
      <c r="A350" s="37" t="str">
        <f>IF(A349&gt;='Model Inputs'!$C$74,"",A349+1)</f>
        <v/>
      </c>
      <c r="B350" s="67" t="str">
        <f t="shared" si="10"/>
        <v/>
      </c>
      <c r="C350" s="74" t="str">
        <f>IF(A350="","",-PMT('Model Inputs'!$C$75,'Model Inputs'!$C$74,'Model Inputs'!$C$72))</f>
        <v/>
      </c>
      <c r="D350" s="74" t="str">
        <f t="shared" si="11"/>
        <v/>
      </c>
      <c r="E350" s="76" t="str">
        <f>IF(A350="","",'Model Inputs'!$C$75*B350)</f>
        <v/>
      </c>
    </row>
    <row r="351" spans="1:5" ht="18" customHeight="1" x14ac:dyDescent="0.2">
      <c r="A351" s="37" t="str">
        <f>IF(A350&gt;='Model Inputs'!$C$74,"",A350+1)</f>
        <v/>
      </c>
      <c r="B351" s="67" t="str">
        <f t="shared" si="10"/>
        <v/>
      </c>
      <c r="C351" s="74" t="str">
        <f>IF(A351="","",-PMT('Model Inputs'!$C$75,'Model Inputs'!$C$74,'Model Inputs'!$C$72))</f>
        <v/>
      </c>
      <c r="D351" s="74" t="str">
        <f t="shared" si="11"/>
        <v/>
      </c>
      <c r="E351" s="76" t="str">
        <f>IF(A351="","",'Model Inputs'!$C$75*B351)</f>
        <v/>
      </c>
    </row>
    <row r="352" spans="1:5" ht="18" customHeight="1" x14ac:dyDescent="0.2">
      <c r="A352" s="37" t="str">
        <f>IF(A351&gt;='Model Inputs'!$C$74,"",A351+1)</f>
        <v/>
      </c>
      <c r="B352" s="67" t="str">
        <f t="shared" si="10"/>
        <v/>
      </c>
      <c r="C352" s="74" t="str">
        <f>IF(A352="","",-PMT('Model Inputs'!$C$75,'Model Inputs'!$C$74,'Model Inputs'!$C$72))</f>
        <v/>
      </c>
      <c r="D352" s="74" t="str">
        <f t="shared" si="11"/>
        <v/>
      </c>
      <c r="E352" s="76" t="str">
        <f>IF(A352="","",'Model Inputs'!$C$75*B352)</f>
        <v/>
      </c>
    </row>
    <row r="353" spans="1:5" ht="18" customHeight="1" x14ac:dyDescent="0.2">
      <c r="A353" s="37" t="str">
        <f>IF(A352&gt;='Model Inputs'!$C$74,"",A352+1)</f>
        <v/>
      </c>
      <c r="B353" s="67" t="str">
        <f t="shared" si="10"/>
        <v/>
      </c>
      <c r="C353" s="74" t="str">
        <f>IF(A353="","",-PMT('Model Inputs'!$C$75,'Model Inputs'!$C$74,'Model Inputs'!$C$72))</f>
        <v/>
      </c>
      <c r="D353" s="74" t="str">
        <f t="shared" si="11"/>
        <v/>
      </c>
      <c r="E353" s="76" t="str">
        <f>IF(A353="","",'Model Inputs'!$C$75*B353)</f>
        <v/>
      </c>
    </row>
    <row r="354" spans="1:5" ht="18" customHeight="1" x14ac:dyDescent="0.2">
      <c r="A354" s="37" t="str">
        <f>IF(A353&gt;='Model Inputs'!$C$74,"",A353+1)</f>
        <v/>
      </c>
      <c r="B354" s="67" t="str">
        <f t="shared" si="10"/>
        <v/>
      </c>
      <c r="C354" s="74" t="str">
        <f>IF(A354="","",-PMT('Model Inputs'!$C$75,'Model Inputs'!$C$74,'Model Inputs'!$C$72))</f>
        <v/>
      </c>
      <c r="D354" s="74" t="str">
        <f t="shared" si="11"/>
        <v/>
      </c>
      <c r="E354" s="76" t="str">
        <f>IF(A354="","",'Model Inputs'!$C$75*B354)</f>
        <v/>
      </c>
    </row>
    <row r="355" spans="1:5" ht="18" customHeight="1" x14ac:dyDescent="0.2">
      <c r="A355" s="37" t="str">
        <f>IF(A354&gt;='Model Inputs'!$C$74,"",A354+1)</f>
        <v/>
      </c>
      <c r="B355" s="67" t="str">
        <f t="shared" si="10"/>
        <v/>
      </c>
      <c r="C355" s="74" t="str">
        <f>IF(A355="","",-PMT('Model Inputs'!$C$75,'Model Inputs'!$C$74,'Model Inputs'!$C$72))</f>
        <v/>
      </c>
      <c r="D355" s="74" t="str">
        <f t="shared" si="11"/>
        <v/>
      </c>
      <c r="E355" s="76" t="str">
        <f>IF(A355="","",'Model Inputs'!$C$75*B355)</f>
        <v/>
      </c>
    </row>
    <row r="356" spans="1:5" ht="18" customHeight="1" x14ac:dyDescent="0.2">
      <c r="A356" s="37" t="str">
        <f>IF(A355&gt;='Model Inputs'!$C$74,"",A355+1)</f>
        <v/>
      </c>
      <c r="B356" s="67" t="str">
        <f t="shared" si="10"/>
        <v/>
      </c>
      <c r="C356" s="74" t="str">
        <f>IF(A356="","",-PMT('Model Inputs'!$C$75,'Model Inputs'!$C$74,'Model Inputs'!$C$72))</f>
        <v/>
      </c>
      <c r="D356" s="74" t="str">
        <f t="shared" si="11"/>
        <v/>
      </c>
      <c r="E356" s="76" t="str">
        <f>IF(A356="","",'Model Inputs'!$C$75*B356)</f>
        <v/>
      </c>
    </row>
    <row r="357" spans="1:5" ht="18" customHeight="1" x14ac:dyDescent="0.2">
      <c r="A357" s="37" t="str">
        <f>IF(A356&gt;='Model Inputs'!$C$74,"",A356+1)</f>
        <v/>
      </c>
      <c r="B357" s="67" t="str">
        <f t="shared" si="10"/>
        <v/>
      </c>
      <c r="C357" s="74" t="str">
        <f>IF(A357="","",-PMT('Model Inputs'!$C$75,'Model Inputs'!$C$74,'Model Inputs'!$C$72))</f>
        <v/>
      </c>
      <c r="D357" s="74" t="str">
        <f t="shared" si="11"/>
        <v/>
      </c>
      <c r="E357" s="76" t="str">
        <f>IF(A357="","",'Model Inputs'!$C$75*B357)</f>
        <v/>
      </c>
    </row>
    <row r="358" spans="1:5" ht="18" customHeight="1" x14ac:dyDescent="0.2">
      <c r="A358" s="37" t="str">
        <f>IF(A357&gt;='Model Inputs'!$C$74,"",A357+1)</f>
        <v/>
      </c>
      <c r="B358" s="67" t="str">
        <f t="shared" si="10"/>
        <v/>
      </c>
      <c r="C358" s="74" t="str">
        <f>IF(A358="","",-PMT('Model Inputs'!$C$75,'Model Inputs'!$C$74,'Model Inputs'!$C$72))</f>
        <v/>
      </c>
      <c r="D358" s="74" t="str">
        <f t="shared" si="11"/>
        <v/>
      </c>
      <c r="E358" s="76" t="str">
        <f>IF(A358="","",'Model Inputs'!$C$75*B358)</f>
        <v/>
      </c>
    </row>
    <row r="359" spans="1:5" ht="18" customHeight="1" x14ac:dyDescent="0.2">
      <c r="A359" s="37" t="str">
        <f>IF(A358&gt;='Model Inputs'!$C$74,"",A358+1)</f>
        <v/>
      </c>
      <c r="B359" s="67" t="str">
        <f t="shared" si="10"/>
        <v/>
      </c>
      <c r="C359" s="74" t="str">
        <f>IF(A359="","",-PMT('Model Inputs'!$C$75,'Model Inputs'!$C$74,'Model Inputs'!$C$72))</f>
        <v/>
      </c>
      <c r="D359" s="74" t="str">
        <f t="shared" si="11"/>
        <v/>
      </c>
      <c r="E359" s="76" t="str">
        <f>IF(A359="","",'Model Inputs'!$C$75*B359)</f>
        <v/>
      </c>
    </row>
    <row r="360" spans="1:5" ht="18" customHeight="1" x14ac:dyDescent="0.2">
      <c r="A360" s="37" t="str">
        <f>IF(A359&gt;='Model Inputs'!$C$74,"",A359+1)</f>
        <v/>
      </c>
      <c r="B360" s="67" t="str">
        <f t="shared" si="10"/>
        <v/>
      </c>
      <c r="C360" s="74" t="str">
        <f>IF(A360="","",-PMT('Model Inputs'!$C$75,'Model Inputs'!$C$74,'Model Inputs'!$C$72))</f>
        <v/>
      </c>
      <c r="D360" s="74" t="str">
        <f t="shared" si="11"/>
        <v/>
      </c>
      <c r="E360" s="76" t="str">
        <f>IF(A360="","",'Model Inputs'!$C$75*B360)</f>
        <v/>
      </c>
    </row>
    <row r="361" spans="1:5" ht="18" customHeight="1" x14ac:dyDescent="0.2">
      <c r="A361" s="37" t="str">
        <f>IF(A360&gt;='Model Inputs'!$C$74,"",A360+1)</f>
        <v/>
      </c>
      <c r="B361" s="67" t="str">
        <f t="shared" si="10"/>
        <v/>
      </c>
      <c r="C361" s="74" t="str">
        <f>IF(A361="","",-PMT('Model Inputs'!$C$75,'Model Inputs'!$C$74,'Model Inputs'!$C$72))</f>
        <v/>
      </c>
      <c r="D361" s="74" t="str">
        <f t="shared" si="11"/>
        <v/>
      </c>
      <c r="E361" s="76" t="str">
        <f>IF(A361="","",'Model Inputs'!$C$75*B361)</f>
        <v/>
      </c>
    </row>
    <row r="362" spans="1:5" ht="18" customHeight="1" x14ac:dyDescent="0.2">
      <c r="A362" s="37" t="str">
        <f>IF(A361&gt;='Model Inputs'!$C$74,"",A361+1)</f>
        <v/>
      </c>
      <c r="B362" s="67" t="str">
        <f t="shared" si="10"/>
        <v/>
      </c>
      <c r="C362" s="74" t="str">
        <f>IF(A362="","",-PMT('Model Inputs'!$C$75,'Model Inputs'!$C$74,'Model Inputs'!$C$72))</f>
        <v/>
      </c>
      <c r="D362" s="74" t="str">
        <f t="shared" si="11"/>
        <v/>
      </c>
      <c r="E362" s="76" t="str">
        <f>IF(A362="","",'Model Inputs'!$C$75*B362)</f>
        <v/>
      </c>
    </row>
    <row r="363" spans="1:5" ht="18" customHeight="1" x14ac:dyDescent="0.2">
      <c r="A363" s="37" t="str">
        <f>IF(A362&gt;='Model Inputs'!$C$74,"",A362+1)</f>
        <v/>
      </c>
      <c r="B363" s="67" t="str">
        <f t="shared" si="10"/>
        <v/>
      </c>
      <c r="C363" s="74" t="str">
        <f>IF(A363="","",-PMT('Model Inputs'!$C$75,'Model Inputs'!$C$74,'Model Inputs'!$C$72))</f>
        <v/>
      </c>
      <c r="D363" s="74" t="str">
        <f t="shared" si="11"/>
        <v/>
      </c>
      <c r="E363" s="76" t="str">
        <f>IF(A363="","",'Model Inputs'!$C$75*B363)</f>
        <v/>
      </c>
    </row>
    <row r="364" spans="1:5" ht="18" customHeight="1" x14ac:dyDescent="0.2">
      <c r="A364" s="37" t="str">
        <f>IF(A363&gt;='Model Inputs'!$C$74,"",A363+1)</f>
        <v/>
      </c>
      <c r="B364" s="67" t="str">
        <f t="shared" si="10"/>
        <v/>
      </c>
      <c r="C364" s="74" t="str">
        <f>IF(A364="","",-PMT('Model Inputs'!$C$75,'Model Inputs'!$C$74,'Model Inputs'!$C$72))</f>
        <v/>
      </c>
      <c r="D364" s="74" t="str">
        <f t="shared" si="11"/>
        <v/>
      </c>
      <c r="E364" s="76" t="str">
        <f>IF(A364="","",'Model Inputs'!$C$75*B364)</f>
        <v/>
      </c>
    </row>
    <row r="365" spans="1:5" ht="18" customHeight="1" x14ac:dyDescent="0.2">
      <c r="A365" s="37" t="str">
        <f>IF(A364&gt;='Model Inputs'!$C$74,"",A364+1)</f>
        <v/>
      </c>
      <c r="B365" s="67" t="str">
        <f t="shared" si="10"/>
        <v/>
      </c>
      <c r="C365" s="74" t="str">
        <f>IF(A365="","",-PMT('Model Inputs'!$C$75,'Model Inputs'!$C$74,'Model Inputs'!$C$72))</f>
        <v/>
      </c>
      <c r="D365" s="74" t="str">
        <f t="shared" si="11"/>
        <v/>
      </c>
      <c r="E365" s="76" t="str">
        <f>IF(A365="","",'Model Inputs'!$C$75*B365)</f>
        <v/>
      </c>
    </row>
    <row r="366" spans="1:5" ht="18" customHeight="1" x14ac:dyDescent="0.2">
      <c r="A366" s="37" t="str">
        <f>IF(A365&gt;='Model Inputs'!$C$74,"",A365+1)</f>
        <v/>
      </c>
      <c r="B366" s="67" t="str">
        <f t="shared" si="10"/>
        <v/>
      </c>
      <c r="C366" s="74" t="str">
        <f>IF(A366="","",-PMT('Model Inputs'!$C$75,'Model Inputs'!$C$74,'Model Inputs'!$C$72))</f>
        <v/>
      </c>
      <c r="D366" s="74" t="str">
        <f t="shared" si="11"/>
        <v/>
      </c>
      <c r="E366" s="76" t="str">
        <f>IF(A366="","",'Model Inputs'!$C$75*B366)</f>
        <v/>
      </c>
    </row>
  </sheetData>
  <mergeCells count="1">
    <mergeCell ref="A3:C3"/>
  </mergeCells>
  <phoneticPr fontId="4" type="noConversion"/>
  <conditionalFormatting sqref="A7:F366">
    <cfRule type="expression" dxfId="1" priority="1" stopIfTrue="1">
      <formula>MOD($A7,12)=0</formula>
    </cfRule>
    <cfRule type="expression" dxfId="0" priority="2" stopIfTrue="1">
      <formula>MOD($A7,2)=0</formula>
    </cfRule>
  </conditionalFormatting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45"/>
  <sheetViews>
    <sheetView showGridLines="0" workbookViewId="0">
      <selection activeCell="N13" sqref="N13"/>
    </sheetView>
  </sheetViews>
  <sheetFormatPr defaultColWidth="9.140625" defaultRowHeight="18" customHeight="1" x14ac:dyDescent="0.2"/>
  <cols>
    <col min="1" max="1" width="9.140625" style="10"/>
    <col min="2" max="2" width="19.5703125" style="10" customWidth="1"/>
    <col min="3" max="6" width="9.140625" style="10"/>
    <col min="7" max="7" width="10.85546875" style="10" customWidth="1"/>
    <col min="8" max="16384" width="9.140625" style="10"/>
  </cols>
  <sheetData>
    <row r="1" spans="1:11" s="60" customFormat="1" ht="35.1" customHeight="1" thickBot="1" x14ac:dyDescent="0.25">
      <c r="A1" s="81" t="s">
        <v>106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8" customHeight="1" thickTop="1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</row>
    <row r="3" spans="1:11" ht="18" customHeight="1" x14ac:dyDescent="0.2">
      <c r="A3" s="204" t="s">
        <v>65</v>
      </c>
      <c r="B3" s="205"/>
      <c r="C3" s="134"/>
      <c r="D3" s="134"/>
      <c r="E3" s="134"/>
      <c r="F3" s="134"/>
      <c r="G3" s="134"/>
      <c r="H3" s="134"/>
      <c r="I3" s="134"/>
      <c r="J3" s="134"/>
      <c r="K3" s="134"/>
    </row>
    <row r="4" spans="1:11" ht="18" customHeight="1" x14ac:dyDescent="0.2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</row>
    <row r="5" spans="1:11" ht="18" customHeight="1" x14ac:dyDescent="0.2">
      <c r="A5" s="209" t="s">
        <v>107</v>
      </c>
      <c r="B5" s="210"/>
      <c r="C5" s="210"/>
      <c r="D5" s="210"/>
      <c r="E5" s="210"/>
      <c r="F5" s="210"/>
      <c r="G5" s="210"/>
      <c r="H5" s="210"/>
      <c r="I5" s="210"/>
      <c r="J5" s="210"/>
      <c r="K5" s="211"/>
    </row>
    <row r="6" spans="1:11" ht="18" customHeight="1" x14ac:dyDescent="0.2">
      <c r="A6" s="212"/>
      <c r="B6" s="213"/>
      <c r="C6" s="213"/>
      <c r="D6" s="213"/>
      <c r="E6" s="213"/>
      <c r="F6" s="213"/>
      <c r="G6" s="213"/>
      <c r="H6" s="213"/>
      <c r="I6" s="213"/>
      <c r="J6" s="213"/>
      <c r="K6" s="214"/>
    </row>
    <row r="7" spans="1:11" ht="18" customHeight="1" x14ac:dyDescent="0.2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214"/>
    </row>
    <row r="8" spans="1:11" ht="18" customHeight="1" x14ac:dyDescent="0.2">
      <c r="A8" s="212"/>
      <c r="B8" s="213"/>
      <c r="C8" s="213"/>
      <c r="D8" s="213"/>
      <c r="E8" s="213"/>
      <c r="F8" s="213"/>
      <c r="G8" s="213"/>
      <c r="H8" s="213"/>
      <c r="I8" s="213"/>
      <c r="J8" s="213"/>
      <c r="K8" s="214"/>
    </row>
    <row r="9" spans="1:11" ht="18" customHeight="1" x14ac:dyDescent="0.2">
      <c r="A9" s="212"/>
      <c r="B9" s="213"/>
      <c r="C9" s="213"/>
      <c r="D9" s="213"/>
      <c r="E9" s="213"/>
      <c r="F9" s="213"/>
      <c r="G9" s="213"/>
      <c r="H9" s="213"/>
      <c r="I9" s="213"/>
      <c r="J9" s="213"/>
      <c r="K9" s="214"/>
    </row>
    <row r="10" spans="1:11" ht="18" customHeight="1" x14ac:dyDescent="0.2">
      <c r="A10" s="212"/>
      <c r="B10" s="213"/>
      <c r="C10" s="213"/>
      <c r="D10" s="213"/>
      <c r="E10" s="213"/>
      <c r="F10" s="213"/>
      <c r="G10" s="213"/>
      <c r="H10" s="213"/>
      <c r="I10" s="213"/>
      <c r="J10" s="213"/>
      <c r="K10" s="214"/>
    </row>
    <row r="11" spans="1:11" ht="18" customHeight="1" x14ac:dyDescent="0.2">
      <c r="A11" s="212"/>
      <c r="B11" s="213"/>
      <c r="C11" s="213"/>
      <c r="D11" s="213"/>
      <c r="E11" s="213"/>
      <c r="F11" s="213"/>
      <c r="G11" s="213"/>
      <c r="H11" s="213"/>
      <c r="I11" s="213"/>
      <c r="J11" s="213"/>
      <c r="K11" s="214"/>
    </row>
    <row r="12" spans="1:11" ht="18" customHeight="1" x14ac:dyDescent="0.2">
      <c r="A12" s="212"/>
      <c r="B12" s="213"/>
      <c r="C12" s="213"/>
      <c r="D12" s="213"/>
      <c r="E12" s="213"/>
      <c r="F12" s="213"/>
      <c r="G12" s="213"/>
      <c r="H12" s="213"/>
      <c r="I12" s="213"/>
      <c r="J12" s="213"/>
      <c r="K12" s="214"/>
    </row>
    <row r="13" spans="1:11" ht="18" customHeight="1" x14ac:dyDescent="0.2">
      <c r="A13" s="212"/>
      <c r="B13" s="213"/>
      <c r="C13" s="213"/>
      <c r="D13" s="213"/>
      <c r="E13" s="213"/>
      <c r="F13" s="213"/>
      <c r="G13" s="213"/>
      <c r="H13" s="213"/>
      <c r="I13" s="213"/>
      <c r="J13" s="213"/>
      <c r="K13" s="214"/>
    </row>
    <row r="14" spans="1:11" ht="18" customHeight="1" x14ac:dyDescent="0.2">
      <c r="A14" s="212"/>
      <c r="B14" s="213"/>
      <c r="C14" s="213"/>
      <c r="D14" s="213"/>
      <c r="E14" s="213"/>
      <c r="F14" s="213"/>
      <c r="G14" s="213"/>
      <c r="H14" s="213"/>
      <c r="I14" s="213"/>
      <c r="J14" s="213"/>
      <c r="K14" s="214"/>
    </row>
    <row r="15" spans="1:11" ht="18" customHeight="1" x14ac:dyDescent="0.2">
      <c r="A15" s="212"/>
      <c r="B15" s="213"/>
      <c r="C15" s="213"/>
      <c r="D15" s="213"/>
      <c r="E15" s="213"/>
      <c r="F15" s="213"/>
      <c r="G15" s="213"/>
      <c r="H15" s="213"/>
      <c r="I15" s="213"/>
      <c r="J15" s="213"/>
      <c r="K15" s="214"/>
    </row>
    <row r="16" spans="1:11" ht="18" customHeight="1" x14ac:dyDescent="0.2">
      <c r="A16" s="212"/>
      <c r="B16" s="213"/>
      <c r="C16" s="213"/>
      <c r="D16" s="213"/>
      <c r="E16" s="213"/>
      <c r="F16" s="213"/>
      <c r="G16" s="213"/>
      <c r="H16" s="213"/>
      <c r="I16" s="213"/>
      <c r="J16" s="213"/>
      <c r="K16" s="214"/>
    </row>
    <row r="17" spans="1:11" ht="18" customHeight="1" x14ac:dyDescent="0.2">
      <c r="A17" s="212"/>
      <c r="B17" s="213"/>
      <c r="C17" s="213"/>
      <c r="D17" s="213"/>
      <c r="E17" s="213"/>
      <c r="F17" s="213"/>
      <c r="G17" s="213"/>
      <c r="H17" s="213"/>
      <c r="I17" s="213"/>
      <c r="J17" s="213"/>
      <c r="K17" s="214"/>
    </row>
    <row r="18" spans="1:11" ht="18" customHeight="1" x14ac:dyDescent="0.2">
      <c r="A18" s="212"/>
      <c r="B18" s="213"/>
      <c r="C18" s="213"/>
      <c r="D18" s="213"/>
      <c r="E18" s="213"/>
      <c r="F18" s="213"/>
      <c r="G18" s="213"/>
      <c r="H18" s="213"/>
      <c r="I18" s="213"/>
      <c r="J18" s="213"/>
      <c r="K18" s="214"/>
    </row>
    <row r="19" spans="1:11" ht="18" customHeight="1" x14ac:dyDescent="0.2">
      <c r="A19" s="212"/>
      <c r="B19" s="213"/>
      <c r="C19" s="213"/>
      <c r="D19" s="213"/>
      <c r="E19" s="213"/>
      <c r="F19" s="213"/>
      <c r="G19" s="213"/>
      <c r="H19" s="213"/>
      <c r="I19" s="213"/>
      <c r="J19" s="213"/>
      <c r="K19" s="214"/>
    </row>
    <row r="20" spans="1:11" ht="18" customHeight="1" x14ac:dyDescent="0.2">
      <c r="A20" s="212"/>
      <c r="B20" s="213"/>
      <c r="C20" s="213"/>
      <c r="D20" s="213"/>
      <c r="E20" s="213"/>
      <c r="F20" s="213"/>
      <c r="G20" s="213"/>
      <c r="H20" s="213"/>
      <c r="I20" s="213"/>
      <c r="J20" s="213"/>
      <c r="K20" s="214"/>
    </row>
    <row r="21" spans="1:11" ht="18" customHeight="1" x14ac:dyDescent="0.2">
      <c r="A21" s="212"/>
      <c r="B21" s="213"/>
      <c r="C21" s="213"/>
      <c r="D21" s="213"/>
      <c r="E21" s="213"/>
      <c r="F21" s="213"/>
      <c r="G21" s="213"/>
      <c r="H21" s="213"/>
      <c r="I21" s="213"/>
      <c r="J21" s="213"/>
      <c r="K21" s="214"/>
    </row>
    <row r="22" spans="1:11" ht="18" customHeight="1" x14ac:dyDescent="0.2">
      <c r="A22" s="212"/>
      <c r="B22" s="213"/>
      <c r="C22" s="213"/>
      <c r="D22" s="213"/>
      <c r="E22" s="213"/>
      <c r="F22" s="213"/>
      <c r="G22" s="213"/>
      <c r="H22" s="213"/>
      <c r="I22" s="213"/>
      <c r="J22" s="213"/>
      <c r="K22" s="214"/>
    </row>
    <row r="23" spans="1:11" ht="18" customHeight="1" x14ac:dyDescent="0.2">
      <c r="A23" s="212"/>
      <c r="B23" s="213"/>
      <c r="C23" s="213"/>
      <c r="D23" s="213"/>
      <c r="E23" s="213"/>
      <c r="F23" s="213"/>
      <c r="G23" s="213"/>
      <c r="H23" s="213"/>
      <c r="I23" s="213"/>
      <c r="J23" s="213"/>
      <c r="K23" s="214"/>
    </row>
    <row r="24" spans="1:11" ht="18" customHeight="1" x14ac:dyDescent="0.2">
      <c r="A24" s="212"/>
      <c r="B24" s="213"/>
      <c r="C24" s="213"/>
      <c r="D24" s="213"/>
      <c r="E24" s="213"/>
      <c r="F24" s="213"/>
      <c r="G24" s="213"/>
      <c r="H24" s="213"/>
      <c r="I24" s="213"/>
      <c r="J24" s="213"/>
      <c r="K24" s="214"/>
    </row>
    <row r="25" spans="1:11" ht="18" customHeight="1" x14ac:dyDescent="0.2">
      <c r="A25" s="212"/>
      <c r="B25" s="213"/>
      <c r="C25" s="213"/>
      <c r="D25" s="213"/>
      <c r="E25" s="213"/>
      <c r="F25" s="213"/>
      <c r="G25" s="213"/>
      <c r="H25" s="213"/>
      <c r="I25" s="213"/>
      <c r="J25" s="213"/>
      <c r="K25" s="214"/>
    </row>
    <row r="26" spans="1:11" ht="18" customHeight="1" x14ac:dyDescent="0.2">
      <c r="A26" s="212"/>
      <c r="B26" s="213"/>
      <c r="C26" s="213"/>
      <c r="D26" s="213"/>
      <c r="E26" s="213"/>
      <c r="F26" s="213"/>
      <c r="G26" s="213"/>
      <c r="H26" s="213"/>
      <c r="I26" s="213"/>
      <c r="J26" s="213"/>
      <c r="K26" s="214"/>
    </row>
    <row r="27" spans="1:11" ht="18" customHeight="1" x14ac:dyDescent="0.2">
      <c r="A27" s="212"/>
      <c r="B27" s="213"/>
      <c r="C27" s="213"/>
      <c r="D27" s="213"/>
      <c r="E27" s="213"/>
      <c r="F27" s="213"/>
      <c r="G27" s="213"/>
      <c r="H27" s="213"/>
      <c r="I27" s="213"/>
      <c r="J27" s="213"/>
      <c r="K27" s="214"/>
    </row>
    <row r="28" spans="1:11" ht="18" customHeight="1" x14ac:dyDescent="0.2">
      <c r="A28" s="212"/>
      <c r="B28" s="213"/>
      <c r="C28" s="213"/>
      <c r="D28" s="213"/>
      <c r="E28" s="213"/>
      <c r="F28" s="213"/>
      <c r="G28" s="213"/>
      <c r="H28" s="213"/>
      <c r="I28" s="213"/>
      <c r="J28" s="213"/>
      <c r="K28" s="214"/>
    </row>
    <row r="29" spans="1:11" ht="18" customHeight="1" x14ac:dyDescent="0.2">
      <c r="A29" s="212"/>
      <c r="B29" s="213"/>
      <c r="C29" s="213"/>
      <c r="D29" s="213"/>
      <c r="E29" s="213"/>
      <c r="F29" s="213"/>
      <c r="G29" s="213"/>
      <c r="H29" s="213"/>
      <c r="I29" s="213"/>
      <c r="J29" s="213"/>
      <c r="K29" s="214"/>
    </row>
    <row r="30" spans="1:11" ht="18" customHeight="1" x14ac:dyDescent="0.2">
      <c r="A30" s="212"/>
      <c r="B30" s="213"/>
      <c r="C30" s="213"/>
      <c r="D30" s="213"/>
      <c r="E30" s="213"/>
      <c r="F30" s="213"/>
      <c r="G30" s="213"/>
      <c r="H30" s="213"/>
      <c r="I30" s="213"/>
      <c r="J30" s="213"/>
      <c r="K30" s="214"/>
    </row>
    <row r="31" spans="1:11" ht="18" customHeight="1" x14ac:dyDescent="0.2">
      <c r="A31" s="212"/>
      <c r="B31" s="213"/>
      <c r="C31" s="213"/>
      <c r="D31" s="213"/>
      <c r="E31" s="213"/>
      <c r="F31" s="213"/>
      <c r="G31" s="213"/>
      <c r="H31" s="213"/>
      <c r="I31" s="213"/>
      <c r="J31" s="213"/>
      <c r="K31" s="214"/>
    </row>
    <row r="32" spans="1:11" ht="18" customHeight="1" x14ac:dyDescent="0.2">
      <c r="A32" s="212"/>
      <c r="B32" s="213"/>
      <c r="C32" s="213"/>
      <c r="D32" s="213"/>
      <c r="E32" s="213"/>
      <c r="F32" s="213"/>
      <c r="G32" s="213"/>
      <c r="H32" s="213"/>
      <c r="I32" s="213"/>
      <c r="J32" s="213"/>
      <c r="K32" s="214"/>
    </row>
    <row r="33" spans="1:11" ht="18" customHeight="1" x14ac:dyDescent="0.2">
      <c r="A33" s="212"/>
      <c r="B33" s="213"/>
      <c r="C33" s="213"/>
      <c r="D33" s="213"/>
      <c r="E33" s="213"/>
      <c r="F33" s="213"/>
      <c r="G33" s="213"/>
      <c r="H33" s="213"/>
      <c r="I33" s="213"/>
      <c r="J33" s="213"/>
      <c r="K33" s="214"/>
    </row>
    <row r="34" spans="1:11" ht="18" customHeight="1" x14ac:dyDescent="0.2">
      <c r="A34" s="212"/>
      <c r="B34" s="213"/>
      <c r="C34" s="213"/>
      <c r="D34" s="213"/>
      <c r="E34" s="213"/>
      <c r="F34" s="213"/>
      <c r="G34" s="213"/>
      <c r="H34" s="213"/>
      <c r="I34" s="213"/>
      <c r="J34" s="213"/>
      <c r="K34" s="214"/>
    </row>
    <row r="35" spans="1:11" ht="18" customHeight="1" x14ac:dyDescent="0.2">
      <c r="A35" s="212"/>
      <c r="B35" s="213"/>
      <c r="C35" s="213"/>
      <c r="D35" s="213"/>
      <c r="E35" s="213"/>
      <c r="F35" s="213"/>
      <c r="G35" s="213"/>
      <c r="H35" s="213"/>
      <c r="I35" s="213"/>
      <c r="J35" s="213"/>
      <c r="K35" s="214"/>
    </row>
    <row r="36" spans="1:11" ht="18" customHeight="1" x14ac:dyDescent="0.2">
      <c r="A36" s="212"/>
      <c r="B36" s="213"/>
      <c r="C36" s="213"/>
      <c r="D36" s="213"/>
      <c r="E36" s="213"/>
      <c r="F36" s="213"/>
      <c r="G36" s="213"/>
      <c r="H36" s="213"/>
      <c r="I36" s="213"/>
      <c r="J36" s="213"/>
      <c r="K36" s="214"/>
    </row>
    <row r="37" spans="1:11" ht="18" customHeight="1" x14ac:dyDescent="0.2">
      <c r="A37" s="212"/>
      <c r="B37" s="213"/>
      <c r="C37" s="213"/>
      <c r="D37" s="213"/>
      <c r="E37" s="213"/>
      <c r="F37" s="213"/>
      <c r="G37" s="213"/>
      <c r="H37" s="213"/>
      <c r="I37" s="213"/>
      <c r="J37" s="213"/>
      <c r="K37" s="214"/>
    </row>
    <row r="38" spans="1:11" ht="18" customHeight="1" x14ac:dyDescent="0.2">
      <c r="A38" s="212"/>
      <c r="B38" s="213"/>
      <c r="C38" s="213"/>
      <c r="D38" s="213"/>
      <c r="E38" s="213"/>
      <c r="F38" s="213"/>
      <c r="G38" s="213"/>
      <c r="H38" s="213"/>
      <c r="I38" s="213"/>
      <c r="J38" s="213"/>
      <c r="K38" s="214"/>
    </row>
    <row r="39" spans="1:11" ht="18" customHeight="1" x14ac:dyDescent="0.2">
      <c r="A39" s="212"/>
      <c r="B39" s="213"/>
      <c r="C39" s="213"/>
      <c r="D39" s="213"/>
      <c r="E39" s="213"/>
      <c r="F39" s="213"/>
      <c r="G39" s="213"/>
      <c r="H39" s="213"/>
      <c r="I39" s="213"/>
      <c r="J39" s="213"/>
      <c r="K39" s="214"/>
    </row>
    <row r="40" spans="1:11" ht="18" customHeight="1" x14ac:dyDescent="0.2">
      <c r="A40" s="212"/>
      <c r="B40" s="213"/>
      <c r="C40" s="213"/>
      <c r="D40" s="213"/>
      <c r="E40" s="213"/>
      <c r="F40" s="213"/>
      <c r="G40" s="213"/>
      <c r="H40" s="213"/>
      <c r="I40" s="213"/>
      <c r="J40" s="213"/>
      <c r="K40" s="214"/>
    </row>
    <row r="41" spans="1:11" ht="18" customHeight="1" x14ac:dyDescent="0.2">
      <c r="A41" s="212"/>
      <c r="B41" s="213"/>
      <c r="C41" s="213"/>
      <c r="D41" s="213"/>
      <c r="E41" s="213"/>
      <c r="F41" s="213"/>
      <c r="G41" s="213"/>
      <c r="H41" s="213"/>
      <c r="I41" s="213"/>
      <c r="J41" s="213"/>
      <c r="K41" s="214"/>
    </row>
    <row r="42" spans="1:11" ht="18" customHeight="1" x14ac:dyDescent="0.2">
      <c r="A42" s="212"/>
      <c r="B42" s="213"/>
      <c r="C42" s="213"/>
      <c r="D42" s="213"/>
      <c r="E42" s="213"/>
      <c r="F42" s="213"/>
      <c r="G42" s="213"/>
      <c r="H42" s="213"/>
      <c r="I42" s="213"/>
      <c r="J42" s="213"/>
      <c r="K42" s="214"/>
    </row>
    <row r="43" spans="1:11" ht="18" customHeight="1" x14ac:dyDescent="0.2">
      <c r="A43" s="212"/>
      <c r="B43" s="213"/>
      <c r="C43" s="213"/>
      <c r="D43" s="213"/>
      <c r="E43" s="213"/>
      <c r="F43" s="213"/>
      <c r="G43" s="213"/>
      <c r="H43" s="213"/>
      <c r="I43" s="213"/>
      <c r="J43" s="213"/>
      <c r="K43" s="214"/>
    </row>
    <row r="44" spans="1:11" ht="18" customHeight="1" x14ac:dyDescent="0.2">
      <c r="A44" s="212"/>
      <c r="B44" s="213"/>
      <c r="C44" s="213"/>
      <c r="D44" s="213"/>
      <c r="E44" s="213"/>
      <c r="F44" s="213"/>
      <c r="G44" s="213"/>
      <c r="H44" s="213"/>
      <c r="I44" s="213"/>
      <c r="J44" s="213"/>
      <c r="K44" s="214"/>
    </row>
    <row r="45" spans="1:11" ht="18" customHeight="1" x14ac:dyDescent="0.2">
      <c r="A45" s="215"/>
      <c r="B45" s="216"/>
      <c r="C45" s="216"/>
      <c r="D45" s="216"/>
      <c r="E45" s="216"/>
      <c r="F45" s="216"/>
      <c r="G45" s="216"/>
      <c r="H45" s="216"/>
      <c r="I45" s="216"/>
      <c r="J45" s="216"/>
      <c r="K45" s="217"/>
    </row>
  </sheetData>
  <mergeCells count="2">
    <mergeCell ref="A5:K45"/>
    <mergeCell ref="A3:B3"/>
  </mergeCells>
  <phoneticPr fontId="4" type="noConversion"/>
  <pageMargins left="0.19685039370078741" right="0.19685039370078741" top="0.19685039370078741" bottom="0.19685039370078741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Model Inputs</vt:lpstr>
      <vt:lpstr>Profit and Loss</vt:lpstr>
      <vt:lpstr>Balance Sheet</vt:lpstr>
      <vt:lpstr>Cash Flow</vt:lpstr>
      <vt:lpstr>Monthly Cash</vt:lpstr>
      <vt:lpstr>Sector profitability</vt:lpstr>
      <vt:lpstr>Loan Payment Calculator</vt:lpstr>
      <vt:lpstr>Notes &amp; Assumptions</vt:lpstr>
      <vt:lpstr>Company_Name</vt:lpstr>
      <vt:lpstr>'Balance Sheet'!Print_Area</vt:lpstr>
      <vt:lpstr>'Cash Flow'!Print_Area</vt:lpstr>
      <vt:lpstr>'Model Inputs'!Print_Area</vt:lpstr>
      <vt:lpstr>'Notes &amp; Assumptions'!Print_Area</vt:lpstr>
      <vt:lpstr>'Profit and Loss'!Print_Area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5-Year Financial Plan</dc:title>
  <dc:creator>www.spreadsheet123.com</dc:creator>
  <dc:description>© 2013 Spreadsheet123 LTD. All rights reserved</dc:description>
  <cp:lastModifiedBy>CHRISTOPHER.GHANSAM@baruchmail.cuny.edu</cp:lastModifiedBy>
  <cp:lastPrinted>2013-12-16T13:52:12Z</cp:lastPrinted>
  <dcterms:created xsi:type="dcterms:W3CDTF">2009-06-20T14:39:05Z</dcterms:created>
  <dcterms:modified xsi:type="dcterms:W3CDTF">2023-12-13T03:15:42Z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1.0.0</vt:lpwstr>
  </property>
  <property fmtid="{D5CDD505-2E9C-101B-9397-08002B2CF9AE}" pid="3" name="Copyright">
    <vt:lpwstr>© 2013 Spreadsheet123 LTD</vt:lpwstr>
  </property>
</Properties>
</file>