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Tsoufis\Documents\NTUA\6ο Εξάμηνο\Ο - Συστήματα Διοίκησης\3η Εργασία\"/>
    </mc:Choice>
  </mc:AlternateContent>
  <xr:revisionPtr revIDLastSave="0" documentId="13_ncr:1_{CBDE6521-F255-4A9F-A7AF-A2F40B82CE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X" sheetId="1" r:id="rId1"/>
  </sheets>
  <definedNames>
    <definedName name="_xlnm.Print_Area" localSheetId="0">KAX!$R$4:$Y$33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10" i="1" l="1"/>
  <c r="E2" i="1" l="1"/>
  <c r="J9" i="1"/>
  <c r="M9" i="1"/>
  <c r="C36" i="1" l="1"/>
  <c r="C35" i="1"/>
  <c r="B36" i="1"/>
  <c r="K8" i="1"/>
  <c r="J8" i="1"/>
  <c r="O9" i="1"/>
  <c r="N9" i="1"/>
  <c r="L9" i="1"/>
  <c r="K9" i="1"/>
  <c r="N19" i="1" l="1"/>
  <c r="L19" i="1"/>
  <c r="J19" i="1"/>
  <c r="J14" i="1"/>
  <c r="L14" i="1" s="1"/>
  <c r="N14" i="1" s="1"/>
  <c r="N15" i="1" l="1"/>
  <c r="L15" i="1"/>
  <c r="J15" i="1"/>
  <c r="S32" i="1" l="1"/>
  <c r="W32" i="1"/>
  <c r="U32" i="1"/>
  <c r="D7" i="1" l="1"/>
  <c r="D10" i="1" s="1"/>
  <c r="F9" i="1" s="1"/>
  <c r="G2" i="1"/>
  <c r="K10" i="1" l="1"/>
  <c r="K6" i="1"/>
  <c r="J10" i="1"/>
  <c r="M10" i="1"/>
  <c r="N10" i="1"/>
  <c r="O10" i="1"/>
  <c r="L10" i="1"/>
  <c r="K7" i="1"/>
  <c r="M7" i="1" s="1"/>
  <c r="O7" i="1" s="1"/>
  <c r="M8" i="1"/>
  <c r="L8" i="1"/>
  <c r="M11" i="1"/>
  <c r="O11" i="1" s="1"/>
  <c r="L11" i="1"/>
  <c r="N11" i="1" s="1"/>
  <c r="K11" i="1"/>
  <c r="J6" i="1"/>
  <c r="J11" i="1"/>
  <c r="J7" i="1"/>
  <c r="L7" i="1" s="1"/>
  <c r="N7" i="1" s="1"/>
  <c r="B8" i="1"/>
  <c r="D8" i="1" s="1"/>
  <c r="C8" i="1"/>
  <c r="K20" i="1" s="1"/>
  <c r="B23" i="1"/>
  <c r="B28" i="1" s="1"/>
  <c r="B22" i="1"/>
  <c r="E9" i="1"/>
  <c r="B10" i="1"/>
  <c r="D9" i="1" s="1"/>
  <c r="D11" i="1" s="1"/>
  <c r="E7" i="1"/>
  <c r="G7" i="1" s="1"/>
  <c r="B27" i="1" l="1"/>
  <c r="F8" i="1"/>
  <c r="L20" i="1"/>
  <c r="J20" i="1"/>
  <c r="N8" i="1"/>
  <c r="U31" i="1"/>
  <c r="V32" i="1" s="1"/>
  <c r="D39" i="1"/>
  <c r="B37" i="1"/>
  <c r="B38" i="1" s="1"/>
  <c r="L6" i="1"/>
  <c r="O8" i="1"/>
  <c r="E8" i="1"/>
  <c r="G8" i="1" s="1"/>
  <c r="S31" i="1"/>
  <c r="T32" i="1" s="1"/>
  <c r="T6" i="1"/>
  <c r="C37" i="1"/>
  <c r="C38" i="1" s="1"/>
  <c r="M6" i="1"/>
  <c r="F7" i="1"/>
  <c r="B11" i="1"/>
  <c r="B39" i="1" s="1"/>
  <c r="C11" i="1"/>
  <c r="C39" i="1" s="1"/>
  <c r="E10" i="1"/>
  <c r="G9" i="1" s="1"/>
  <c r="F24" i="1"/>
  <c r="F29" i="1" s="1"/>
  <c r="F23" i="1"/>
  <c r="F28" i="1" s="1"/>
  <c r="F22" i="1"/>
  <c r="D24" i="1"/>
  <c r="D29" i="1" s="1"/>
  <c r="D23" i="1"/>
  <c r="D28" i="1" s="1"/>
  <c r="D22" i="1"/>
  <c r="D27" i="1" s="1"/>
  <c r="B24" i="1"/>
  <c r="E35" i="1" l="1"/>
  <c r="F35" i="1"/>
  <c r="B29" i="1"/>
  <c r="D36" i="1"/>
  <c r="E36" i="1"/>
  <c r="D35" i="1"/>
  <c r="C40" i="1"/>
  <c r="S24" i="1"/>
  <c r="S25" i="1" s="1"/>
  <c r="B40" i="1"/>
  <c r="S26" i="1"/>
  <c r="U23" i="1" s="1"/>
  <c r="W31" i="1"/>
  <c r="X32" i="1" s="1"/>
  <c r="Y32" i="1" s="1"/>
  <c r="O20" i="1"/>
  <c r="M20" i="1"/>
  <c r="U28" i="1" s="1"/>
  <c r="T14" i="1"/>
  <c r="S28" i="1"/>
  <c r="T20" i="1"/>
  <c r="V6" i="1"/>
  <c r="V20" i="1" s="1"/>
  <c r="E37" i="1"/>
  <c r="E38" i="1" s="1"/>
  <c r="O6" i="1"/>
  <c r="G37" i="1" s="1"/>
  <c r="D37" i="1"/>
  <c r="N6" i="1"/>
  <c r="F37" i="1" s="1"/>
  <c r="N20" i="1"/>
  <c r="F11" i="1"/>
  <c r="F39" i="1" s="1"/>
  <c r="G11" i="1"/>
  <c r="G39" i="1" s="1"/>
  <c r="E11" i="1"/>
  <c r="E39" i="1" s="1"/>
  <c r="F27" i="1"/>
  <c r="G35" i="1" s="1"/>
  <c r="E40" i="1" l="1"/>
  <c r="F38" i="1"/>
  <c r="W28" i="1"/>
  <c r="D38" i="1"/>
  <c r="D40" i="1" s="1"/>
  <c r="G36" i="1"/>
  <c r="G38" i="1" s="1"/>
  <c r="G40" i="1" s="1"/>
  <c r="F36" i="1"/>
  <c r="X14" i="1"/>
  <c r="V14" i="1"/>
  <c r="Y14" i="1" s="1"/>
  <c r="X6" i="1"/>
  <c r="Y6" i="1" s="1"/>
  <c r="Y20" i="1" s="1"/>
  <c r="S9" i="1"/>
  <c r="S10" i="1" s="1"/>
  <c r="S11" i="1"/>
  <c r="U8" i="1" s="1"/>
  <c r="S27" i="1"/>
  <c r="T28" i="1" s="1"/>
  <c r="U24" i="1" l="1"/>
  <c r="U25" i="1" s="1"/>
  <c r="U26" i="1"/>
  <c r="W23" i="1" s="1"/>
  <c r="U27" i="1"/>
  <c r="V28" i="1" s="1"/>
  <c r="V29" i="1" s="1"/>
  <c r="V33" i="1" s="1"/>
  <c r="W26" i="1"/>
  <c r="T12" i="1"/>
  <c r="T13" i="1" s="1"/>
  <c r="F40" i="1"/>
  <c r="W11" i="1" s="1"/>
  <c r="W24" i="1"/>
  <c r="W25" i="1" s="1"/>
  <c r="X20" i="1"/>
  <c r="T29" i="1"/>
  <c r="U9" i="1"/>
  <c r="U10" i="1" s="1"/>
  <c r="U11" i="1"/>
  <c r="W8" i="1" s="1"/>
  <c r="W27" i="1" l="1"/>
  <c r="X28" i="1" s="1"/>
  <c r="Y28" i="1" s="1"/>
  <c r="W9" i="1"/>
  <c r="W10" i="1" s="1"/>
  <c r="X12" i="1" s="1"/>
  <c r="X13" i="1" s="1"/>
  <c r="X15" i="1" s="1"/>
  <c r="V12" i="1"/>
  <c r="T15" i="1"/>
  <c r="T33" i="1"/>
  <c r="X29" i="1" l="1"/>
  <c r="Y12" i="1"/>
  <c r="V13" i="1"/>
  <c r="X33" i="1" l="1"/>
  <c r="Y33" i="1" s="1"/>
  <c r="Y29" i="1"/>
  <c r="V15" i="1"/>
  <c r="Y15" i="1" s="1"/>
  <c r="Y13" i="1"/>
</calcChain>
</file>

<file path=xl/sharedStrings.xml><?xml version="1.0" encoding="utf-8"?>
<sst xmlns="http://schemas.openxmlformats.org/spreadsheetml/2006/main" count="125" uniqueCount="71">
  <si>
    <t>Π1</t>
  </si>
  <si>
    <t>Π2</t>
  </si>
  <si>
    <t>Μονάδες Πώλησης</t>
  </si>
  <si>
    <t>Μονάδες Παραγωγής</t>
  </si>
  <si>
    <t>Τιμή Πώλησης (€/Μονάδα)</t>
  </si>
  <si>
    <t>Τιμή/Μον.</t>
  </si>
  <si>
    <t>Ά Ύλη - Μ1</t>
  </si>
  <si>
    <t>Ά Ύλη - Μ2</t>
  </si>
  <si>
    <t>Άμεση Εργασία</t>
  </si>
  <si>
    <t xml:space="preserve"> </t>
  </si>
  <si>
    <t>κιλά</t>
  </si>
  <si>
    <t>ώρες</t>
  </si>
  <si>
    <t>Ηλεκτρική Ενέργεια (€ /έτος)</t>
  </si>
  <si>
    <t>Αποσβέσεις μηχανημάτων (€ /έτος)</t>
  </si>
  <si>
    <t>Ενοίκιο Εργοστασίου (€ /έτος)</t>
  </si>
  <si>
    <t>Άμεσα Υλικά</t>
  </si>
  <si>
    <t>Άμεσο Κόστος Εργασίας</t>
  </si>
  <si>
    <t>Μείον Κόστος Πωληθέντων</t>
  </si>
  <si>
    <t>Πωλήσεις</t>
  </si>
  <si>
    <t xml:space="preserve">     Αρχικό Απόθεμα</t>
  </si>
  <si>
    <t xml:space="preserve">     Μείον Τελικό Απόθεμα</t>
  </si>
  <si>
    <t>Ακαθάριστο Περιθώριο Κέρδους</t>
  </si>
  <si>
    <t>Μείον Δαπάνες Πωλήσεων και Διοίκησης</t>
  </si>
  <si>
    <t>Τριετία</t>
  </si>
  <si>
    <t>Μείον Μεταβλητές Δαπάνες</t>
  </si>
  <si>
    <t>Περιθώριο Συνεισφοράς</t>
  </si>
  <si>
    <t>Μείον Σταθερές Δαπάνες</t>
  </si>
  <si>
    <t xml:space="preserve">    Αρχικό Απόθεμα</t>
  </si>
  <si>
    <t xml:space="preserve">    Μείον Τελικό Απόθεμα</t>
  </si>
  <si>
    <t xml:space="preserve">    Σταθερό Έμμεσο Κόστος Παραγωγής</t>
  </si>
  <si>
    <t>λ =</t>
  </si>
  <si>
    <t>κ =</t>
  </si>
  <si>
    <t>ΕΞΟΔΑ</t>
  </si>
  <si>
    <t>Πωλητές</t>
  </si>
  <si>
    <t>Μηνιαίος Μισθός</t>
  </si>
  <si>
    <t>Αμοιβές Πωλητών</t>
  </si>
  <si>
    <t>Μηνιαίο Μίσθωμα Αυτοκινήτων</t>
  </si>
  <si>
    <t>Προμήθειες Πωλήσεων</t>
  </si>
  <si>
    <t xml:space="preserve">               Γενικά Βιομηχανικά Έξοδα</t>
  </si>
  <si>
    <t>Έξοδα γραφείου εργοστασίου (€ /έτος)</t>
  </si>
  <si>
    <t xml:space="preserve">                     Έξοδα Πωλήσεων </t>
  </si>
  <si>
    <t>Χρήστος Τσούφης</t>
  </si>
  <si>
    <t>Αρχικό Απόθεμα Προϊόντων</t>
  </si>
  <si>
    <t>Τελικό Απόθεμα Προϊόντων</t>
  </si>
  <si>
    <t>€ / κιλό</t>
  </si>
  <si>
    <t>€ / ώρα</t>
  </si>
  <si>
    <t>Μεταβλητό Έμμεσο Κόστος Παραγωγής</t>
  </si>
  <si>
    <t>Σταθερό Έμμεσο Κόστος Παραγωγής</t>
  </si>
  <si>
    <t>Κόστος Μονάδας Προϊόντος (Πλήρους Απορροφητική)</t>
  </si>
  <si>
    <t>Κόστος Μονάδας Προϊόντος (Οριακή)</t>
  </si>
  <si>
    <t xml:space="preserve">ΑΜΕΣΟ ΚΟΣΤΟΣ ΠΑΡΑΓΩΓΗΣ - ΑΠΑΙΤΟΥΜΕΝΕΣ ΩΡΕΣ ΑΜΕΣΗΣ ΕΡΓΑΣΙΑΣ - ΠΟΣΟΤΗΤΕΣ Α' ΥΛΩΝ </t>
  </si>
  <si>
    <t>ΟΓΚΟΣ ΠΩΛΗΣΕΩΝ - ΤΙΜΕΣ ΠΩΛΗΣΗΣ - ΑΠΟΘΕΜΑΤΑ - ΜΟΝΑΔΕΣ ΠΑΡΑΓΩΓΗΣ</t>
  </si>
  <si>
    <t>Έμμεση Εργασία (€/μονάδα προϊόντος)</t>
  </si>
  <si>
    <t>Έμμεσα Υλικά (€/μονάδα προϊόντος)</t>
  </si>
  <si>
    <t>Έξοδα Μίσθωσης Αυτοκινήτων που χρησιμοποιούνται</t>
  </si>
  <si>
    <t>ΖΗΤΟΥΜΕΝΟ 1: ΚΑΧ - ΚΟΣΤΟΛΟΓΗΣΗ ΠΛΗΡΟΥΣ ΑΠΟΡΡΟΦΗΣΗΣ</t>
  </si>
  <si>
    <t>ΖΗΤΟΥΜΕΝΟ 2: ΚΑΧ - ΟΡΙΑΚΗ ΚΟΣΤΟΛΟΓΗΣΗ</t>
  </si>
  <si>
    <t>ΚΟΣΤΟΣ ΜΟΝΑΔΑΣ ΠΡΟΪΟΝΤΟΣ</t>
  </si>
  <si>
    <t xml:space="preserve">     Προϊόντα Διαθέσιμα προς Πώληση</t>
  </si>
  <si>
    <t>Κόστος Πωληθέντων Προϊόντων</t>
  </si>
  <si>
    <t>Καθαρό Κέρδος</t>
  </si>
  <si>
    <t xml:space="preserve">  Μεταβλητό Κόστος Πωληθέντων προϊόντων</t>
  </si>
  <si>
    <t xml:space="preserve">    Συνολικό Μεταβλητό Έμμεσο Κόστος Παραγωγής</t>
  </si>
  <si>
    <t xml:space="preserve">    Προϊόντα Διαθέσιμα προς Πώληση</t>
  </si>
  <si>
    <t xml:space="preserve">    Μεταβλητό Κόστος Πωληθέντων προϊόντων</t>
  </si>
  <si>
    <t xml:space="preserve">    Σταθερές Δαπάνες πωλήσεων και διοίκησης</t>
  </si>
  <si>
    <t>Προϊόν Π1</t>
  </si>
  <si>
    <t>Προϊόν Π2</t>
  </si>
  <si>
    <t>Αριθμός Αυτοκινήτων</t>
  </si>
  <si>
    <t xml:space="preserve">     Συνολικό Κόστος Παραχθέντων προϊόντων</t>
  </si>
  <si>
    <t xml:space="preserve">    Μεταβλητές Δαπάνες πωλήσεων και διοίκησης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</si>
</sst>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1"/>
    </font>
    <font>
      <sz val="12"/>
      <name val="Times New Roman"/>
      <family val="1"/>
      <charset val="161"/>
    </font>
    <font>
      <b/>
      <sz val="12"/>
      <name val="Times New Roman"/>
      <family val="1"/>
      <charset val="161"/>
    </font>
    <font>
      <b/>
      <sz val="12"/>
      <color theme="6"/>
      <name val="Times New Roman"/>
      <family val="1"/>
      <charset val="161"/>
    </font>
  </fonts>
  <fills count="2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Font="0" applyAlignment="0" applyProtection="0"/>
  </cellStyleXfs>
  <cellXfs count="51">
    <xf numFmtId="0" fontId="0" fillId="0" borderId="0" xfId="0"/>
    <xf numFmtId="0" fontId="3" fillId="0" borderId="0" xfId="0" applyFont="1"/>
    <xf numFmtId="0" fontId="3" fillId="5" borderId="2" xfId="2" applyFont="1" applyFill="1"/>
    <xf numFmtId="0" fontId="4" fillId="18" borderId="2" xfId="2" applyFont="1" applyFill="1" applyAlignment="1">
      <alignment horizontal="center"/>
    </xf>
    <xf numFmtId="0" fontId="5" fillId="17" borderId="2" xfId="2" applyFont="1" applyFill="1" applyAlignment="1">
      <alignment horizontal="center"/>
    </xf>
    <xf numFmtId="0" fontId="4" fillId="14" borderId="2" xfId="2" applyFont="1" applyFill="1"/>
    <xf numFmtId="0" fontId="5" fillId="12" borderId="2" xfId="2" applyFont="1" applyFill="1" applyAlignment="1">
      <alignment horizontal="center"/>
    </xf>
    <xf numFmtId="0" fontId="4" fillId="10" borderId="2" xfId="2" applyFont="1" applyFill="1" applyAlignment="1">
      <alignment horizontal="center"/>
    </xf>
    <xf numFmtId="0" fontId="5" fillId="9" borderId="2" xfId="2" applyFont="1" applyFill="1" applyAlignment="1">
      <alignment horizontal="center"/>
    </xf>
    <xf numFmtId="4" fontId="4" fillId="10" borderId="2" xfId="2" applyNumberFormat="1" applyFont="1" applyFill="1" applyAlignment="1">
      <alignment horizontal="center"/>
    </xf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horizontal="left"/>
    </xf>
    <xf numFmtId="4" fontId="4" fillId="18" borderId="2" xfId="2" applyNumberFormat="1" applyFont="1" applyFill="1" applyAlignment="1">
      <alignment horizontal="center"/>
    </xf>
    <xf numFmtId="0" fontId="5" fillId="13" borderId="2" xfId="2" applyFont="1" applyFill="1" applyAlignment="1">
      <alignment horizontal="center"/>
    </xf>
    <xf numFmtId="4" fontId="4" fillId="14" borderId="2" xfId="2" applyNumberFormat="1" applyFont="1" applyFill="1" applyAlignment="1">
      <alignment horizontal="center"/>
    </xf>
    <xf numFmtId="0" fontId="4" fillId="14" borderId="2" xfId="2" applyFont="1" applyFill="1" applyAlignment="1">
      <alignment horizontal="center"/>
    </xf>
    <xf numFmtId="0" fontId="5" fillId="14" borderId="2" xfId="2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21" borderId="2" xfId="2" applyFont="1" applyFill="1" applyAlignment="1">
      <alignment horizontal="center"/>
    </xf>
    <xf numFmtId="0" fontId="5" fillId="24" borderId="1" xfId="1" applyFont="1" applyFill="1"/>
    <xf numFmtId="0" fontId="5" fillId="4" borderId="1" xfId="1" applyFont="1" applyFill="1"/>
    <xf numFmtId="0" fontId="4" fillId="26" borderId="1" xfId="1" applyFont="1" applyFill="1"/>
    <xf numFmtId="3" fontId="4" fillId="10" borderId="2" xfId="2" applyNumberFormat="1" applyFont="1" applyFill="1" applyAlignment="1">
      <alignment horizontal="center"/>
    </xf>
    <xf numFmtId="0" fontId="6" fillId="19" borderId="2" xfId="2" applyFont="1" applyFill="1" applyAlignment="1">
      <alignment horizontal="center"/>
    </xf>
    <xf numFmtId="0" fontId="4" fillId="6" borderId="2" xfId="2" applyFont="1" applyFill="1" applyAlignment="1">
      <alignment horizontal="center"/>
    </xf>
    <xf numFmtId="0" fontId="4" fillId="21" borderId="2" xfId="2" applyFont="1" applyFill="1" applyAlignment="1">
      <alignment horizontal="center"/>
    </xf>
    <xf numFmtId="0" fontId="4" fillId="22" borderId="2" xfId="2" applyFont="1" applyFill="1" applyAlignment="1">
      <alignment horizontal="center"/>
    </xf>
    <xf numFmtId="4" fontId="4" fillId="6" borderId="2" xfId="2" applyNumberFormat="1" applyFont="1" applyFill="1" applyAlignment="1">
      <alignment horizontal="center"/>
    </xf>
    <xf numFmtId="4" fontId="4" fillId="25" borderId="1" xfId="1" applyNumberFormat="1" applyFont="1" applyFill="1" applyAlignment="1">
      <alignment horizontal="center"/>
    </xf>
    <xf numFmtId="4" fontId="5" fillId="25" borderId="1" xfId="1" applyNumberFormat="1" applyFont="1" applyFill="1" applyAlignment="1">
      <alignment horizontal="center"/>
    </xf>
    <xf numFmtId="0" fontId="5" fillId="22" borderId="2" xfId="2" applyFont="1" applyFill="1" applyAlignment="1">
      <alignment horizontal="left"/>
    </xf>
    <xf numFmtId="0" fontId="5" fillId="20" borderId="2" xfId="2" applyFont="1" applyFill="1" applyAlignment="1">
      <alignment horizontal="center"/>
    </xf>
    <xf numFmtId="0" fontId="4" fillId="6" borderId="2" xfId="2" applyFont="1" applyFill="1" applyAlignment="1">
      <alignment horizontal="center"/>
    </xf>
    <xf numFmtId="0" fontId="5" fillId="7" borderId="2" xfId="2" applyFont="1" applyFill="1" applyAlignment="1">
      <alignment horizontal="center"/>
    </xf>
    <xf numFmtId="0" fontId="5" fillId="11" borderId="2" xfId="2" applyFont="1" applyFill="1" applyAlignment="1">
      <alignment horizontal="center"/>
    </xf>
    <xf numFmtId="0" fontId="5" fillId="8" borderId="2" xfId="2" applyFont="1" applyFill="1" applyAlignment="1">
      <alignment horizontal="center" vertical="center"/>
    </xf>
    <xf numFmtId="0" fontId="5" fillId="8" borderId="2" xfId="2" applyFont="1" applyFill="1" applyAlignment="1">
      <alignment horizontal="center"/>
    </xf>
    <xf numFmtId="0" fontId="5" fillId="22" borderId="2" xfId="2" applyFont="1" applyFill="1" applyAlignment="1">
      <alignment horizontal="left"/>
    </xf>
    <xf numFmtId="0" fontId="5" fillId="13" borderId="2" xfId="2" applyFont="1" applyFill="1" applyAlignment="1">
      <alignment horizontal="center"/>
    </xf>
    <xf numFmtId="0" fontId="4" fillId="22" borderId="2" xfId="2" applyFont="1" applyFill="1" applyAlignment="1">
      <alignment horizontal="center"/>
    </xf>
    <xf numFmtId="0" fontId="5" fillId="16" borderId="2" xfId="2" applyFont="1" applyFill="1" applyAlignment="1">
      <alignment horizontal="center"/>
    </xf>
    <xf numFmtId="0" fontId="5" fillId="16" borderId="2" xfId="2" applyFont="1" applyFill="1" applyAlignment="1">
      <alignment horizontal="center" vertical="center"/>
    </xf>
    <xf numFmtId="0" fontId="5" fillId="15" borderId="2" xfId="2" applyFont="1" applyFill="1" applyAlignment="1">
      <alignment horizontal="center"/>
    </xf>
    <xf numFmtId="0" fontId="5" fillId="24" borderId="3" xfId="1" applyFont="1" applyFill="1" applyBorder="1" applyAlignment="1">
      <alignment horizontal="center"/>
    </xf>
    <xf numFmtId="0" fontId="5" fillId="24" borderId="4" xfId="1" applyFont="1" applyFill="1" applyBorder="1" applyAlignment="1">
      <alignment horizontal="center"/>
    </xf>
    <xf numFmtId="0" fontId="6" fillId="23" borderId="3" xfId="1" applyFont="1" applyFill="1" applyBorder="1" applyAlignment="1">
      <alignment horizontal="center"/>
    </xf>
    <xf numFmtId="0" fontId="6" fillId="23" borderId="5" xfId="1" applyFont="1" applyFill="1" applyBorder="1" applyAlignment="1">
      <alignment horizontal="center"/>
    </xf>
    <xf numFmtId="0" fontId="6" fillId="23" borderId="4" xfId="1" applyFont="1" applyFill="1" applyBorder="1" applyAlignment="1">
      <alignment horizontal="center"/>
    </xf>
    <xf numFmtId="0" fontId="6" fillId="23" borderId="1" xfId="1" applyFont="1" applyFill="1" applyAlignment="1">
      <alignment horizontal="center"/>
    </xf>
    <xf numFmtId="0" fontId="5" fillId="24" borderId="1" xfId="1" applyFont="1" applyFill="1" applyAlignment="1">
      <alignment horizontal="center"/>
    </xf>
  </cellXfs>
  <cellStyles count="3">
    <cellStyle name="Εισαγωγή" xfId="1" builtinId="20"/>
    <cellStyle name="Κανονικό" xfId="0" builtinId="0"/>
    <cellStyle name="Σημείωση" xfId="2" builtinId="10"/>
  </cellStyles>
  <dxfs count="0"/>
  <tableStyles count="0" defaultTableStyle="TableStyleMedium2" defaultPivotStyle="PivotStyleLight16"/>
  <colors>
    <mruColors>
      <color rgb="FFECCA9D"/>
      <color rgb="FF9437FF"/>
      <color rgb="FFFFD579"/>
      <color rgb="FFECAA55"/>
      <color rgb="FFECB69B"/>
      <color rgb="FFEA9A53"/>
      <color rgb="FFC29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0"/>
  <sheetViews>
    <sheetView tabSelected="1" zoomScaleNormal="100" workbookViewId="0">
      <selection activeCell="R37" sqref="R37"/>
    </sheetView>
  </sheetViews>
  <sheetFormatPr defaultColWidth="8.77734375" defaultRowHeight="15.6" x14ac:dyDescent="0.3"/>
  <cols>
    <col min="1" max="1" width="55.109375" style="1" customWidth="1"/>
    <col min="2" max="2" width="11.44140625" style="1" bestFit="1" customWidth="1"/>
    <col min="3" max="6" width="8.109375" style="1" bestFit="1" customWidth="1"/>
    <col min="7" max="7" width="8.109375" style="1" customWidth="1"/>
    <col min="8" max="8" width="8.77734375" style="1"/>
    <col min="9" max="9" width="52.6640625" style="1" customWidth="1"/>
    <col min="10" max="12" width="13.44140625" style="1" bestFit="1" customWidth="1"/>
    <col min="13" max="14" width="13" style="1" bestFit="1" customWidth="1"/>
    <col min="15" max="15" width="13.44140625" style="1" bestFit="1" customWidth="1"/>
    <col min="16" max="16" width="8.77734375" style="1"/>
    <col min="17" max="17" width="8.77734375" style="1" customWidth="1"/>
    <col min="18" max="18" width="58.88671875" style="1" customWidth="1"/>
    <col min="19" max="19" width="13.77734375" style="1" bestFit="1" customWidth="1"/>
    <col min="20" max="21" width="14.33203125" style="1" bestFit="1" customWidth="1"/>
    <col min="22" max="22" width="13.77734375" style="1" bestFit="1" customWidth="1"/>
    <col min="23" max="25" width="14.33203125" style="1" bestFit="1" customWidth="1"/>
    <col min="26" max="16384" width="8.77734375" style="1"/>
  </cols>
  <sheetData>
    <row r="1" spans="1:25" x14ac:dyDescent="0.3">
      <c r="J1" s="1" t="s">
        <v>9</v>
      </c>
    </row>
    <row r="2" spans="1:25" x14ac:dyDescent="0.3">
      <c r="A2" s="17" t="s">
        <v>41</v>
      </c>
      <c r="B2" s="17">
        <v>3117176</v>
      </c>
      <c r="C2" s="18"/>
      <c r="D2" s="10" t="s">
        <v>31</v>
      </c>
      <c r="E2" s="11" t="str">
        <f>RIGHT(B2,1)</f>
        <v>6</v>
      </c>
      <c r="F2" s="10" t="s">
        <v>30</v>
      </c>
      <c r="G2" s="11" t="str">
        <f>LEFT(RIGHT(B2,2),1)</f>
        <v>7</v>
      </c>
    </row>
    <row r="4" spans="1:25" x14ac:dyDescent="0.3">
      <c r="A4" s="34" t="s">
        <v>51</v>
      </c>
      <c r="B4" s="34"/>
      <c r="C4" s="34"/>
      <c r="D4" s="34"/>
      <c r="E4" s="34"/>
      <c r="F4" s="34"/>
      <c r="G4" s="34"/>
      <c r="I4" s="24" t="s">
        <v>32</v>
      </c>
      <c r="J4" s="32">
        <v>2018</v>
      </c>
      <c r="K4" s="32"/>
      <c r="L4" s="32">
        <v>2019</v>
      </c>
      <c r="M4" s="32"/>
      <c r="N4" s="32">
        <v>2020</v>
      </c>
      <c r="O4" s="32"/>
      <c r="R4" s="46" t="s">
        <v>55</v>
      </c>
      <c r="S4" s="47"/>
      <c r="T4" s="47"/>
      <c r="U4" s="47"/>
      <c r="V4" s="47"/>
      <c r="W4" s="47"/>
      <c r="X4" s="47"/>
      <c r="Y4" s="48"/>
    </row>
    <row r="5" spans="1:25" x14ac:dyDescent="0.3">
      <c r="A5" s="7"/>
      <c r="B5" s="37">
        <v>2018</v>
      </c>
      <c r="C5" s="37"/>
      <c r="D5" s="36">
        <v>2019</v>
      </c>
      <c r="E5" s="36"/>
      <c r="F5" s="37">
        <v>2020</v>
      </c>
      <c r="G5" s="37"/>
      <c r="I5" s="31" t="s">
        <v>38</v>
      </c>
      <c r="J5" s="19" t="s">
        <v>66</v>
      </c>
      <c r="K5" s="19" t="s">
        <v>67</v>
      </c>
      <c r="L5" s="19" t="s">
        <v>66</v>
      </c>
      <c r="M5" s="19" t="s">
        <v>67</v>
      </c>
      <c r="N5" s="19" t="s">
        <v>66</v>
      </c>
      <c r="O5" s="19" t="s">
        <v>67</v>
      </c>
      <c r="R5" s="22"/>
      <c r="S5" s="44">
        <v>2018</v>
      </c>
      <c r="T5" s="45"/>
      <c r="U5" s="44">
        <v>2019</v>
      </c>
      <c r="V5" s="45"/>
      <c r="W5" s="44">
        <v>2020</v>
      </c>
      <c r="X5" s="45"/>
      <c r="Y5" s="20" t="s">
        <v>23</v>
      </c>
    </row>
    <row r="6" spans="1:25" x14ac:dyDescent="0.3">
      <c r="A6" s="7"/>
      <c r="B6" s="8" t="s">
        <v>0</v>
      </c>
      <c r="C6" s="8" t="s">
        <v>1</v>
      </c>
      <c r="D6" s="8" t="s">
        <v>0</v>
      </c>
      <c r="E6" s="8" t="s">
        <v>1</v>
      </c>
      <c r="F6" s="8" t="s">
        <v>0</v>
      </c>
      <c r="G6" s="8" t="s">
        <v>1</v>
      </c>
      <c r="I6" s="19" t="s">
        <v>52</v>
      </c>
      <c r="J6" s="25">
        <f>E2+7</f>
        <v>13</v>
      </c>
      <c r="K6" s="25">
        <f>G2+5</f>
        <v>12</v>
      </c>
      <c r="L6" s="25">
        <f t="shared" ref="L6:O7" si="0">J6</f>
        <v>13</v>
      </c>
      <c r="M6" s="25">
        <f t="shared" si="0"/>
        <v>12</v>
      </c>
      <c r="N6" s="25">
        <f t="shared" si="0"/>
        <v>13</v>
      </c>
      <c r="O6" s="25">
        <f t="shared" si="0"/>
        <v>12</v>
      </c>
      <c r="R6" s="21" t="s">
        <v>18</v>
      </c>
      <c r="S6" s="29"/>
      <c r="T6" s="29">
        <f>B7*B8+C7*C8</f>
        <v>3965000</v>
      </c>
      <c r="U6" s="29"/>
      <c r="V6" s="29">
        <f>D7*D8+E7*E8</f>
        <v>3877500</v>
      </c>
      <c r="W6" s="29"/>
      <c r="X6" s="29">
        <f>F7*F8+G7*G8</f>
        <v>3722298.75</v>
      </c>
      <c r="Y6" s="29">
        <f>T6+V6+X6</f>
        <v>11564798.75</v>
      </c>
    </row>
    <row r="7" spans="1:25" x14ac:dyDescent="0.3">
      <c r="A7" s="8" t="s">
        <v>2</v>
      </c>
      <c r="B7" s="23">
        <v>3000</v>
      </c>
      <c r="C7" s="23">
        <v>2000</v>
      </c>
      <c r="D7" s="7">
        <f>B7*1.4</f>
        <v>4200</v>
      </c>
      <c r="E7" s="7">
        <f>C7*1.3</f>
        <v>2600</v>
      </c>
      <c r="F7" s="7">
        <f>D7*1.15</f>
        <v>4830</v>
      </c>
      <c r="G7" s="7">
        <f>E7*1.1</f>
        <v>2860.0000000000005</v>
      </c>
      <c r="I7" s="19" t="s">
        <v>53</v>
      </c>
      <c r="J7" s="25">
        <f>E2+6</f>
        <v>12</v>
      </c>
      <c r="K7" s="25">
        <f>G2+4</f>
        <v>11</v>
      </c>
      <c r="L7" s="25">
        <f t="shared" si="0"/>
        <v>12</v>
      </c>
      <c r="M7" s="25">
        <f t="shared" si="0"/>
        <v>11</v>
      </c>
      <c r="N7" s="25">
        <f t="shared" si="0"/>
        <v>12</v>
      </c>
      <c r="O7" s="25">
        <f t="shared" si="0"/>
        <v>11</v>
      </c>
      <c r="R7" s="21" t="s">
        <v>17</v>
      </c>
      <c r="S7" s="29"/>
      <c r="T7" s="29"/>
      <c r="U7" s="29"/>
      <c r="V7" s="29"/>
      <c r="W7" s="29"/>
      <c r="X7" s="29"/>
      <c r="Y7" s="29"/>
    </row>
    <row r="8" spans="1:25" x14ac:dyDescent="0.3">
      <c r="A8" s="8" t="s">
        <v>4</v>
      </c>
      <c r="B8" s="9">
        <f>600+G2*25</f>
        <v>775</v>
      </c>
      <c r="C8" s="9">
        <f>700+E2*20</f>
        <v>820</v>
      </c>
      <c r="D8" s="9">
        <f>B8 * 0.7</f>
        <v>542.5</v>
      </c>
      <c r="E8" s="9">
        <f>C8 * 0.75</f>
        <v>615</v>
      </c>
      <c r="F8" s="9">
        <f>D8*0.85</f>
        <v>461.125</v>
      </c>
      <c r="G8" s="9">
        <f>E8*0.85</f>
        <v>522.75</v>
      </c>
      <c r="I8" s="19" t="s">
        <v>14</v>
      </c>
      <c r="J8" s="25">
        <f>30000*12*2/3</f>
        <v>240000</v>
      </c>
      <c r="K8" s="25">
        <f>30000*12*1/3</f>
        <v>120000</v>
      </c>
      <c r="L8" s="25">
        <f>J8-((E2+5)*0.01*J8)</f>
        <v>213600</v>
      </c>
      <c r="M8" s="25">
        <f>K8-((E2+5)*0.01*K8)</f>
        <v>106800</v>
      </c>
      <c r="N8" s="25">
        <f>L8-(E2+8)*0.01*L8</f>
        <v>183696</v>
      </c>
      <c r="O8" s="25">
        <f>M8-(E2+8)*0.01*M8</f>
        <v>91848</v>
      </c>
      <c r="R8" s="21" t="s">
        <v>19</v>
      </c>
      <c r="S8" s="29">
        <v>0</v>
      </c>
      <c r="T8" s="29"/>
      <c r="U8" s="29">
        <f>S11</f>
        <v>161656.44414775257</v>
      </c>
      <c r="V8" s="29"/>
      <c r="W8" s="29">
        <f>U11</f>
        <v>185809.53403414597</v>
      </c>
      <c r="X8" s="29"/>
      <c r="Y8" s="29"/>
    </row>
    <row r="9" spans="1:25" x14ac:dyDescent="0.3">
      <c r="A9" s="8" t="s">
        <v>42</v>
      </c>
      <c r="B9" s="7">
        <v>0</v>
      </c>
      <c r="C9" s="7">
        <v>0</v>
      </c>
      <c r="D9" s="7">
        <f>B10</f>
        <v>210.00000000000003</v>
      </c>
      <c r="E9" s="7">
        <f>C10</f>
        <v>100</v>
      </c>
      <c r="F9" s="7">
        <f>D10</f>
        <v>294</v>
      </c>
      <c r="G9" s="7">
        <f>E10</f>
        <v>130</v>
      </c>
      <c r="I9" s="19" t="s">
        <v>13</v>
      </c>
      <c r="J9" s="25">
        <f>240000*2/5</f>
        <v>96000</v>
      </c>
      <c r="K9" s="25">
        <f>240000*3/5</f>
        <v>144000</v>
      </c>
      <c r="L9" s="25">
        <f>240000*2/5</f>
        <v>96000</v>
      </c>
      <c r="M9" s="25">
        <f>240000*3/5</f>
        <v>144000</v>
      </c>
      <c r="N9" s="25">
        <f>240000*2/5</f>
        <v>96000</v>
      </c>
      <c r="O9" s="25">
        <f>240000*3/5</f>
        <v>144000</v>
      </c>
      <c r="R9" s="21" t="s">
        <v>69</v>
      </c>
      <c r="S9" s="29">
        <f>B40*B11+C40*C11</f>
        <v>2786490</v>
      </c>
      <c r="T9" s="29"/>
      <c r="U9" s="29">
        <f>D11*D40+E11*E40</f>
        <v>3052510</v>
      </c>
      <c r="V9" s="29"/>
      <c r="W9" s="29">
        <f>F11*F40+G11*G40</f>
        <v>3118704</v>
      </c>
      <c r="X9" s="29"/>
      <c r="Y9" s="29"/>
    </row>
    <row r="10" spans="1:25" x14ac:dyDescent="0.3">
      <c r="A10" s="8" t="s">
        <v>43</v>
      </c>
      <c r="B10" s="7">
        <f>B7*0.07</f>
        <v>210.00000000000003</v>
      </c>
      <c r="C10" s="7">
        <f>C7*0.05</f>
        <v>100</v>
      </c>
      <c r="D10" s="7">
        <f>D7*0.07</f>
        <v>294</v>
      </c>
      <c r="E10" s="7">
        <f>E7*0.05</f>
        <v>130</v>
      </c>
      <c r="F10" s="7">
        <v>0</v>
      </c>
      <c r="G10" s="7">
        <v>0</v>
      </c>
      <c r="I10" s="19" t="s">
        <v>12</v>
      </c>
      <c r="J10" s="25">
        <f>(G2+7)*15000*2/3</f>
        <v>140000</v>
      </c>
      <c r="K10" s="25">
        <f>(G2+7)*15000*1/3</f>
        <v>70000</v>
      </c>
      <c r="L10" s="25">
        <f>(G2+7)*15000*2/3</f>
        <v>140000</v>
      </c>
      <c r="M10" s="25">
        <f>(G2+7)*15000*1/3</f>
        <v>70000</v>
      </c>
      <c r="N10" s="25">
        <f>(G2+7)*15000*2/3</f>
        <v>140000</v>
      </c>
      <c r="O10" s="25">
        <f>(G2+7)*15000*1/3</f>
        <v>70000</v>
      </c>
      <c r="R10" s="21" t="s">
        <v>58</v>
      </c>
      <c r="S10" s="29">
        <f>S8+S9</f>
        <v>2786490</v>
      </c>
      <c r="T10" s="29"/>
      <c r="U10" s="29">
        <f>U8+U9</f>
        <v>3214166.4441477526</v>
      </c>
      <c r="V10" s="29"/>
      <c r="W10" s="29">
        <f>W8+W9</f>
        <v>3304513.534034146</v>
      </c>
      <c r="X10" s="29"/>
      <c r="Y10" s="29"/>
    </row>
    <row r="11" spans="1:25" x14ac:dyDescent="0.3">
      <c r="A11" s="8" t="s">
        <v>3</v>
      </c>
      <c r="B11" s="7">
        <f t="shared" ref="B11:G11" si="1">B7+B10-B9</f>
        <v>3210</v>
      </c>
      <c r="C11" s="7">
        <f t="shared" si="1"/>
        <v>2100</v>
      </c>
      <c r="D11" s="7">
        <f>D7+D10-D9</f>
        <v>4284</v>
      </c>
      <c r="E11" s="7">
        <f t="shared" si="1"/>
        <v>2630</v>
      </c>
      <c r="F11" s="7">
        <f t="shared" si="1"/>
        <v>4536</v>
      </c>
      <c r="G11" s="7">
        <f t="shared" si="1"/>
        <v>2730.0000000000005</v>
      </c>
      <c r="I11" s="19" t="s">
        <v>39</v>
      </c>
      <c r="J11" s="25">
        <f>4*(E2+9)*150*14/2</f>
        <v>63000</v>
      </c>
      <c r="K11" s="25">
        <f>4*(E2+9)*150*14/2</f>
        <v>63000</v>
      </c>
      <c r="L11" s="25">
        <f>4*(E2+9)*14*150/2</f>
        <v>63000</v>
      </c>
      <c r="M11" s="25">
        <f>4*(E2+9)*14*150/2</f>
        <v>63000</v>
      </c>
      <c r="N11" s="25">
        <f>L11*1.08</f>
        <v>68040</v>
      </c>
      <c r="O11" s="25">
        <f>M11*1.08</f>
        <v>68040</v>
      </c>
      <c r="R11" s="21" t="s">
        <v>20</v>
      </c>
      <c r="S11" s="29">
        <f>B10*B40+C10*C40</f>
        <v>161656.44414775257</v>
      </c>
      <c r="T11" s="29"/>
      <c r="U11" s="29">
        <f>D10*D40+E10*E40</f>
        <v>185809.53403414597</v>
      </c>
      <c r="V11" s="29"/>
      <c r="W11" s="29">
        <f>F10*F40+G10*G40</f>
        <v>0</v>
      </c>
      <c r="X11" s="29"/>
      <c r="Y11" s="29"/>
    </row>
    <row r="12" spans="1:25" x14ac:dyDescent="0.3">
      <c r="I12" s="38" t="s">
        <v>40</v>
      </c>
      <c r="J12" s="38"/>
      <c r="K12" s="38"/>
      <c r="L12" s="40"/>
      <c r="M12" s="40"/>
      <c r="N12" s="40"/>
      <c r="O12" s="40"/>
      <c r="R12" s="21" t="s">
        <v>59</v>
      </c>
      <c r="S12" s="29"/>
      <c r="T12" s="29">
        <f>S10-S11</f>
        <v>2624833.5558522474</v>
      </c>
      <c r="U12" s="29"/>
      <c r="V12" s="29">
        <f>U10-U11</f>
        <v>3028356.9101136066</v>
      </c>
      <c r="W12" s="29"/>
      <c r="X12" s="29">
        <f>W10-W11</f>
        <v>3304513.534034146</v>
      </c>
      <c r="Y12" s="29">
        <f>T12+V12+X12</f>
        <v>8957704</v>
      </c>
    </row>
    <row r="13" spans="1:25" x14ac:dyDescent="0.3">
      <c r="I13" s="26" t="s">
        <v>33</v>
      </c>
      <c r="J13" s="33">
        <v>7</v>
      </c>
      <c r="K13" s="33"/>
      <c r="L13" s="33">
        <v>10</v>
      </c>
      <c r="M13" s="33"/>
      <c r="N13" s="33">
        <v>11</v>
      </c>
      <c r="O13" s="33"/>
      <c r="R13" s="21" t="s">
        <v>21</v>
      </c>
      <c r="S13" s="29"/>
      <c r="T13" s="29">
        <f>T6-T12</f>
        <v>1340166.4441477526</v>
      </c>
      <c r="U13" s="29"/>
      <c r="V13" s="29">
        <f>V6-V12</f>
        <v>849143.0898863934</v>
      </c>
      <c r="W13" s="29"/>
      <c r="X13" s="29">
        <f>X6-X12</f>
        <v>417785.215965854</v>
      </c>
      <c r="Y13" s="29">
        <f>T13+V13+X13</f>
        <v>2607094.75</v>
      </c>
    </row>
    <row r="14" spans="1:25" x14ac:dyDescent="0.3">
      <c r="A14" s="35" t="s">
        <v>50</v>
      </c>
      <c r="B14" s="35"/>
      <c r="C14" s="35"/>
      <c r="D14" s="35"/>
      <c r="E14" s="35"/>
      <c r="F14" s="35"/>
      <c r="G14" s="35"/>
      <c r="I14" s="26" t="s">
        <v>34</v>
      </c>
      <c r="J14" s="33">
        <f xml:space="preserve"> 1200</f>
        <v>1200</v>
      </c>
      <c r="K14" s="33"/>
      <c r="L14" s="33">
        <f>J14*1.07</f>
        <v>1284</v>
      </c>
      <c r="M14" s="33"/>
      <c r="N14" s="33">
        <f xml:space="preserve"> L14*1.1</f>
        <v>1412.4</v>
      </c>
      <c r="O14" s="33"/>
      <c r="R14" s="21" t="s">
        <v>22</v>
      </c>
      <c r="S14" s="29"/>
      <c r="T14" s="29">
        <f>J15+J19+J20+K20</f>
        <v>645800</v>
      </c>
      <c r="U14" s="29"/>
      <c r="V14" s="29">
        <f>L15+L19+L20+M20</f>
        <v>703050</v>
      </c>
      <c r="W14" s="29"/>
      <c r="X14" s="29">
        <f>N15+N19+N20+O20</f>
        <v>727136.10000000009</v>
      </c>
      <c r="Y14" s="29">
        <f>T14+V14+X14</f>
        <v>2075986.1</v>
      </c>
    </row>
    <row r="15" spans="1:25" x14ac:dyDescent="0.3">
      <c r="A15" s="5"/>
      <c r="B15" s="5"/>
      <c r="C15" s="5"/>
      <c r="D15" s="5"/>
      <c r="E15" s="5"/>
      <c r="F15" s="5"/>
      <c r="G15" s="5"/>
      <c r="I15" s="19" t="s">
        <v>35</v>
      </c>
      <c r="J15" s="33">
        <f>J13*J14*14</f>
        <v>117600</v>
      </c>
      <c r="K15" s="33"/>
      <c r="L15" s="33">
        <f>L13*L14*14</f>
        <v>179760</v>
      </c>
      <c r="M15" s="33"/>
      <c r="N15" s="33">
        <f>N13*N14*14</f>
        <v>217509.60000000003</v>
      </c>
      <c r="O15" s="33"/>
      <c r="R15" s="21" t="s">
        <v>60</v>
      </c>
      <c r="S15" s="30"/>
      <c r="T15" s="30">
        <f>T13-T14</f>
        <v>694366.4441477526</v>
      </c>
      <c r="U15" s="30"/>
      <c r="V15" s="30">
        <f>V13-V14</f>
        <v>146093.0898863934</v>
      </c>
      <c r="W15" s="30"/>
      <c r="X15" s="30">
        <f>X13-X14</f>
        <v>-309350.88403414609</v>
      </c>
      <c r="Y15" s="30">
        <f>T15+V15+X15</f>
        <v>531108.64999999991</v>
      </c>
    </row>
    <row r="16" spans="1:25" x14ac:dyDescent="0.3">
      <c r="A16" s="6">
        <v>2018</v>
      </c>
      <c r="B16" s="39" t="s">
        <v>5</v>
      </c>
      <c r="C16" s="39"/>
      <c r="D16" s="39" t="s">
        <v>0</v>
      </c>
      <c r="E16" s="39"/>
      <c r="F16" s="39" t="s">
        <v>1</v>
      </c>
      <c r="G16" s="39"/>
      <c r="I16" s="27"/>
      <c r="J16" s="40"/>
      <c r="K16" s="40"/>
      <c r="L16" s="40"/>
      <c r="M16" s="40"/>
      <c r="N16" s="40"/>
      <c r="O16" s="40"/>
    </row>
    <row r="17" spans="1:25" x14ac:dyDescent="0.3">
      <c r="A17" s="13" t="s">
        <v>6</v>
      </c>
      <c r="B17" s="14">
        <v>10</v>
      </c>
      <c r="C17" s="15" t="s">
        <v>44</v>
      </c>
      <c r="D17" s="15">
        <v>5</v>
      </c>
      <c r="E17" s="15" t="s">
        <v>10</v>
      </c>
      <c r="F17" s="15">
        <v>6</v>
      </c>
      <c r="G17" s="15" t="s">
        <v>10</v>
      </c>
      <c r="I17" s="26" t="s">
        <v>68</v>
      </c>
      <c r="J17" s="33">
        <v>6</v>
      </c>
      <c r="K17" s="33"/>
      <c r="L17" s="33">
        <v>7</v>
      </c>
      <c r="M17" s="33"/>
      <c r="N17" s="33">
        <v>8</v>
      </c>
      <c r="O17" s="33"/>
    </row>
    <row r="18" spans="1:25" x14ac:dyDescent="0.3">
      <c r="A18" s="13" t="s">
        <v>7</v>
      </c>
      <c r="B18" s="14">
        <v>16</v>
      </c>
      <c r="C18" s="15" t="s">
        <v>44</v>
      </c>
      <c r="D18" s="15">
        <v>6</v>
      </c>
      <c r="E18" s="15" t="s">
        <v>10</v>
      </c>
      <c r="F18" s="15">
        <v>7</v>
      </c>
      <c r="G18" s="15" t="s">
        <v>10</v>
      </c>
      <c r="I18" s="26" t="s">
        <v>36</v>
      </c>
      <c r="J18" s="33">
        <v>500</v>
      </c>
      <c r="K18" s="33"/>
      <c r="L18" s="33">
        <v>500</v>
      </c>
      <c r="M18" s="33"/>
      <c r="N18" s="33">
        <v>500</v>
      </c>
      <c r="O18" s="33"/>
      <c r="R18" s="49" t="s">
        <v>56</v>
      </c>
      <c r="S18" s="49"/>
      <c r="T18" s="49"/>
      <c r="U18" s="49"/>
      <c r="V18" s="49"/>
      <c r="W18" s="49"/>
      <c r="X18" s="49"/>
      <c r="Y18" s="49"/>
    </row>
    <row r="19" spans="1:25" x14ac:dyDescent="0.3">
      <c r="A19" s="13" t="s">
        <v>8</v>
      </c>
      <c r="B19" s="14">
        <v>12</v>
      </c>
      <c r="C19" s="15" t="s">
        <v>45</v>
      </c>
      <c r="D19" s="15">
        <v>14</v>
      </c>
      <c r="E19" s="15" t="s">
        <v>11</v>
      </c>
      <c r="F19" s="15">
        <v>14</v>
      </c>
      <c r="G19" s="15" t="s">
        <v>11</v>
      </c>
      <c r="I19" s="19" t="s">
        <v>54</v>
      </c>
      <c r="J19" s="33">
        <f>J17*J18*12</f>
        <v>36000</v>
      </c>
      <c r="K19" s="33"/>
      <c r="L19" s="33">
        <f>L17*L18*12</f>
        <v>42000</v>
      </c>
      <c r="M19" s="33"/>
      <c r="N19" s="33">
        <f>N17*N18*12</f>
        <v>48000</v>
      </c>
      <c r="O19" s="33"/>
      <c r="R19" s="22"/>
      <c r="S19" s="50">
        <v>2018</v>
      </c>
      <c r="T19" s="50"/>
      <c r="U19" s="50">
        <v>2019</v>
      </c>
      <c r="V19" s="50"/>
      <c r="W19" s="50">
        <v>2020</v>
      </c>
      <c r="X19" s="50"/>
      <c r="Y19" s="20" t="s">
        <v>23</v>
      </c>
    </row>
    <row r="20" spans="1:25" x14ac:dyDescent="0.3">
      <c r="A20" s="16"/>
      <c r="B20" s="15"/>
      <c r="C20" s="15"/>
      <c r="D20" s="15"/>
      <c r="E20" s="15"/>
      <c r="F20" s="15"/>
      <c r="G20" s="15"/>
      <c r="I20" s="19" t="s">
        <v>37</v>
      </c>
      <c r="J20" s="28">
        <f>(G2+5)*0.01*B7*B8</f>
        <v>279000</v>
      </c>
      <c r="K20" s="28">
        <f>(G2+6)*0.01*C7*C8</f>
        <v>213200</v>
      </c>
      <c r="L20" s="28">
        <f>(G2+5)*0.01*D7*D8</f>
        <v>273420</v>
      </c>
      <c r="M20" s="28">
        <f>(G2+6)*0.01*E7*E8</f>
        <v>207870</v>
      </c>
      <c r="N20" s="28">
        <f>(G2+5)*0.01*F7*F8</f>
        <v>267268.05</v>
      </c>
      <c r="O20" s="28">
        <f>(G2+6)*0.01*G7*G8</f>
        <v>194358.45000000004</v>
      </c>
      <c r="R20" s="21" t="s">
        <v>18</v>
      </c>
      <c r="S20" s="29"/>
      <c r="T20" s="29">
        <f>T6</f>
        <v>3965000</v>
      </c>
      <c r="U20" s="29"/>
      <c r="V20" s="29">
        <f>V6</f>
        <v>3877500</v>
      </c>
      <c r="W20" s="29"/>
      <c r="X20" s="29">
        <f>X6</f>
        <v>3722298.75</v>
      </c>
      <c r="Y20" s="29">
        <f>Y6</f>
        <v>11564798.75</v>
      </c>
    </row>
    <row r="21" spans="1:25" x14ac:dyDescent="0.3">
      <c r="A21" s="6">
        <v>2019</v>
      </c>
      <c r="B21" s="39" t="s">
        <v>5</v>
      </c>
      <c r="C21" s="39"/>
      <c r="D21" s="39" t="s">
        <v>0</v>
      </c>
      <c r="E21" s="39"/>
      <c r="F21" s="39" t="s">
        <v>1</v>
      </c>
      <c r="G21" s="39"/>
      <c r="R21" s="21" t="s">
        <v>24</v>
      </c>
      <c r="S21" s="29"/>
      <c r="T21" s="29"/>
      <c r="U21" s="29"/>
      <c r="V21" s="29"/>
      <c r="W21" s="29"/>
      <c r="X21" s="29"/>
      <c r="Y21" s="29"/>
    </row>
    <row r="22" spans="1:25" x14ac:dyDescent="0.3">
      <c r="A22" s="13" t="s">
        <v>6</v>
      </c>
      <c r="B22" s="14">
        <f>B17*0.8</f>
        <v>8</v>
      </c>
      <c r="C22" s="15" t="s">
        <v>44</v>
      </c>
      <c r="D22" s="15">
        <f>D17</f>
        <v>5</v>
      </c>
      <c r="E22" s="15" t="s">
        <v>10</v>
      </c>
      <c r="F22" s="15">
        <f>F17</f>
        <v>6</v>
      </c>
      <c r="G22" s="15" t="s">
        <v>10</v>
      </c>
      <c r="R22" s="21" t="s">
        <v>61</v>
      </c>
      <c r="S22" s="29"/>
      <c r="T22" s="29"/>
      <c r="U22" s="29"/>
      <c r="V22" s="29"/>
      <c r="W22" s="29"/>
      <c r="X22" s="29"/>
      <c r="Y22" s="29"/>
    </row>
    <row r="23" spans="1:25" x14ac:dyDescent="0.3">
      <c r="A23" s="13" t="s">
        <v>7</v>
      </c>
      <c r="B23" s="14">
        <f>B18*0.75</f>
        <v>12</v>
      </c>
      <c r="C23" s="15" t="s">
        <v>44</v>
      </c>
      <c r="D23" s="15">
        <f>D18</f>
        <v>6</v>
      </c>
      <c r="E23" s="15" t="s">
        <v>10</v>
      </c>
      <c r="F23" s="15">
        <f>F18</f>
        <v>7</v>
      </c>
      <c r="G23" s="15" t="s">
        <v>10</v>
      </c>
      <c r="R23" s="21" t="s">
        <v>27</v>
      </c>
      <c r="S23" s="29">
        <v>0</v>
      </c>
      <c r="T23" s="29"/>
      <c r="U23" s="29">
        <f>S26</f>
        <v>107490.00000000001</v>
      </c>
      <c r="V23" s="29"/>
      <c r="W23" s="29">
        <f>U26</f>
        <v>131660</v>
      </c>
      <c r="X23" s="29"/>
      <c r="Y23" s="29"/>
    </row>
    <row r="24" spans="1:25" x14ac:dyDescent="0.3">
      <c r="A24" s="13" t="s">
        <v>8</v>
      </c>
      <c r="B24" s="14">
        <f>B19</f>
        <v>12</v>
      </c>
      <c r="C24" s="15" t="s">
        <v>45</v>
      </c>
      <c r="D24" s="15">
        <f>D19</f>
        <v>14</v>
      </c>
      <c r="E24" s="15" t="s">
        <v>11</v>
      </c>
      <c r="F24" s="15">
        <f>F19</f>
        <v>14</v>
      </c>
      <c r="G24" s="15" t="s">
        <v>11</v>
      </c>
      <c r="R24" s="21" t="s">
        <v>62</v>
      </c>
      <c r="S24" s="29">
        <f>B11*B38+C11*C38</f>
        <v>1850490</v>
      </c>
      <c r="T24" s="29"/>
      <c r="U24" s="29">
        <f>D11*D38+E11*E38</f>
        <v>2156110</v>
      </c>
      <c r="V24" s="29"/>
      <c r="W24" s="29">
        <f>F11*F38+G11*G38</f>
        <v>2257080</v>
      </c>
      <c r="X24" s="29"/>
      <c r="Y24" s="29"/>
    </row>
    <row r="25" spans="1:25" x14ac:dyDescent="0.3">
      <c r="A25" s="16"/>
      <c r="B25" s="15"/>
      <c r="C25" s="15"/>
      <c r="D25" s="15"/>
      <c r="E25" s="15"/>
      <c r="F25" s="15"/>
      <c r="G25" s="15"/>
      <c r="R25" s="21" t="s">
        <v>63</v>
      </c>
      <c r="S25" s="29">
        <f>S24+S23</f>
        <v>1850490</v>
      </c>
      <c r="T25" s="29"/>
      <c r="U25" s="29">
        <f>U24+U23</f>
        <v>2263600</v>
      </c>
      <c r="V25" s="29"/>
      <c r="W25" s="29">
        <f>W24+W23</f>
        <v>2388740</v>
      </c>
      <c r="X25" s="29"/>
      <c r="Y25" s="29"/>
    </row>
    <row r="26" spans="1:25" x14ac:dyDescent="0.3">
      <c r="A26" s="6">
        <v>2020</v>
      </c>
      <c r="B26" s="39" t="s">
        <v>5</v>
      </c>
      <c r="C26" s="39"/>
      <c r="D26" s="39" t="s">
        <v>0</v>
      </c>
      <c r="E26" s="39"/>
      <c r="F26" s="39" t="s">
        <v>1</v>
      </c>
      <c r="G26" s="39"/>
      <c r="R26" s="21" t="s">
        <v>28</v>
      </c>
      <c r="S26" s="29">
        <f>B10*B38+C10*C38</f>
        <v>107490.00000000001</v>
      </c>
      <c r="T26" s="29"/>
      <c r="U26" s="29">
        <f>D10*D38+E10*E38</f>
        <v>131660</v>
      </c>
      <c r="V26" s="29"/>
      <c r="W26" s="29">
        <f>F10*F38+G10*G38</f>
        <v>0</v>
      </c>
      <c r="X26" s="29"/>
      <c r="Y26" s="29"/>
    </row>
    <row r="27" spans="1:25" x14ac:dyDescent="0.3">
      <c r="A27" s="13" t="s">
        <v>6</v>
      </c>
      <c r="B27" s="14">
        <f>B22*0.85</f>
        <v>6.8</v>
      </c>
      <c r="C27" s="15" t="s">
        <v>44</v>
      </c>
      <c r="D27" s="15">
        <f>D22</f>
        <v>5</v>
      </c>
      <c r="E27" s="15" t="s">
        <v>10</v>
      </c>
      <c r="F27" s="15">
        <f>F22</f>
        <v>6</v>
      </c>
      <c r="G27" s="15" t="s">
        <v>10</v>
      </c>
      <c r="R27" s="21" t="s">
        <v>64</v>
      </c>
      <c r="S27" s="29">
        <f>S25-S26</f>
        <v>1743000</v>
      </c>
      <c r="T27" s="29"/>
      <c r="U27" s="29">
        <f>U25-U26</f>
        <v>2131940</v>
      </c>
      <c r="V27" s="29"/>
      <c r="W27" s="29">
        <f>W25-W26</f>
        <v>2388740</v>
      </c>
      <c r="X27" s="29"/>
      <c r="Y27" s="29"/>
    </row>
    <row r="28" spans="1:25" x14ac:dyDescent="0.3">
      <c r="A28" s="13" t="s">
        <v>7</v>
      </c>
      <c r="B28" s="14">
        <f>B23*0.85</f>
        <v>10.199999999999999</v>
      </c>
      <c r="C28" s="15" t="s">
        <v>44</v>
      </c>
      <c r="D28" s="15">
        <f>D23</f>
        <v>6</v>
      </c>
      <c r="E28" s="15" t="s">
        <v>10</v>
      </c>
      <c r="F28" s="15">
        <f>F23</f>
        <v>7</v>
      </c>
      <c r="G28" s="15" t="s">
        <v>10</v>
      </c>
      <c r="R28" s="21" t="s">
        <v>70</v>
      </c>
      <c r="S28" s="29">
        <f>J20+K20</f>
        <v>492200</v>
      </c>
      <c r="T28" s="29">
        <f>S27+S28</f>
        <v>2235200</v>
      </c>
      <c r="U28" s="29">
        <f>M20+L20</f>
        <v>481290</v>
      </c>
      <c r="V28" s="29">
        <f>U27+U28</f>
        <v>2613230</v>
      </c>
      <c r="W28" s="29">
        <f>O20+N20</f>
        <v>461626.5</v>
      </c>
      <c r="X28" s="29">
        <f>W27+W28</f>
        <v>2850366.5</v>
      </c>
      <c r="Y28" s="29">
        <f>T28+V28+X28</f>
        <v>7698796.5</v>
      </c>
    </row>
    <row r="29" spans="1:25" x14ac:dyDescent="0.3">
      <c r="A29" s="13" t="s">
        <v>8</v>
      </c>
      <c r="B29" s="14">
        <f>B24*1.1</f>
        <v>13.200000000000001</v>
      </c>
      <c r="C29" s="15" t="s">
        <v>45</v>
      </c>
      <c r="D29" s="15">
        <f>D24</f>
        <v>14</v>
      </c>
      <c r="E29" s="15" t="s">
        <v>11</v>
      </c>
      <c r="F29" s="15">
        <f>F24</f>
        <v>14</v>
      </c>
      <c r="G29" s="15" t="s">
        <v>11</v>
      </c>
      <c r="R29" s="21" t="s">
        <v>25</v>
      </c>
      <c r="S29" s="29"/>
      <c r="T29" s="29">
        <f>T20-T28</f>
        <v>1729800</v>
      </c>
      <c r="U29" s="29"/>
      <c r="V29" s="29">
        <f>V20-V28</f>
        <v>1264270</v>
      </c>
      <c r="W29" s="29"/>
      <c r="X29" s="29">
        <f>X20-X28</f>
        <v>871932.25</v>
      </c>
      <c r="Y29" s="29">
        <f>T29+V29+X29</f>
        <v>3866002.25</v>
      </c>
    </row>
    <row r="30" spans="1:25" x14ac:dyDescent="0.3">
      <c r="A30" s="2"/>
      <c r="B30" s="2"/>
      <c r="C30" s="2"/>
      <c r="D30" s="2"/>
      <c r="E30" s="2"/>
      <c r="F30" s="2"/>
      <c r="G30" s="2"/>
      <c r="R30" s="21" t="s">
        <v>26</v>
      </c>
      <c r="S30" s="29"/>
      <c r="T30" s="29"/>
      <c r="U30" s="29"/>
      <c r="V30" s="29"/>
      <c r="W30" s="29"/>
      <c r="X30" s="29"/>
      <c r="Y30" s="29"/>
    </row>
    <row r="31" spans="1:25" x14ac:dyDescent="0.3">
      <c r="A31" s="2"/>
      <c r="B31" s="2"/>
      <c r="C31" s="2"/>
      <c r="D31" s="2"/>
      <c r="E31" s="2"/>
      <c r="F31" s="2"/>
      <c r="G31" s="2"/>
      <c r="R31" s="21" t="s">
        <v>29</v>
      </c>
      <c r="S31" s="29">
        <f>J8+J9+J10+K8+K9+K10+J11+K11</f>
        <v>936000</v>
      </c>
      <c r="T31" s="29"/>
      <c r="U31" s="29">
        <f>L8++L9+L10+M8+M9+M10+L11+M11</f>
        <v>896400</v>
      </c>
      <c r="V31" s="29"/>
      <c r="W31" s="29">
        <f>N8+N9+N10+O8+O9+O10+N11+O11</f>
        <v>861624</v>
      </c>
      <c r="X31" s="29"/>
      <c r="Y31" s="29"/>
    </row>
    <row r="32" spans="1:25" x14ac:dyDescent="0.3">
      <c r="A32" s="43" t="s">
        <v>57</v>
      </c>
      <c r="B32" s="43"/>
      <c r="C32" s="43"/>
      <c r="D32" s="43"/>
      <c r="E32" s="43"/>
      <c r="F32" s="43"/>
      <c r="G32" s="43"/>
      <c r="R32" s="21" t="s">
        <v>65</v>
      </c>
      <c r="S32" s="29">
        <f>J15+J16+J19</f>
        <v>153600</v>
      </c>
      <c r="T32" s="29">
        <f>S31+S32</f>
        <v>1089600</v>
      </c>
      <c r="U32" s="29">
        <f>L15+L16+L19</f>
        <v>221760</v>
      </c>
      <c r="V32" s="29">
        <f>U31+U32</f>
        <v>1118160</v>
      </c>
      <c r="W32" s="29">
        <f>N19+N15</f>
        <v>265509.60000000003</v>
      </c>
      <c r="X32" s="29">
        <f>W31+W32</f>
        <v>1127133.6000000001</v>
      </c>
      <c r="Y32" s="29">
        <f>T32+V32+X32</f>
        <v>3334893.6</v>
      </c>
    </row>
    <row r="33" spans="1:25" x14ac:dyDescent="0.3">
      <c r="A33" s="3"/>
      <c r="B33" s="41">
        <v>2018</v>
      </c>
      <c r="C33" s="41"/>
      <c r="D33" s="42">
        <v>2019</v>
      </c>
      <c r="E33" s="42"/>
      <c r="F33" s="41">
        <v>2020</v>
      </c>
      <c r="G33" s="41"/>
      <c r="R33" s="21" t="s">
        <v>60</v>
      </c>
      <c r="S33" s="29"/>
      <c r="T33" s="30">
        <f>T29-T32</f>
        <v>640200</v>
      </c>
      <c r="U33" s="30"/>
      <c r="V33" s="30">
        <f>V29-V32</f>
        <v>146110</v>
      </c>
      <c r="W33" s="30"/>
      <c r="X33" s="30">
        <f>X29-X32</f>
        <v>-255201.35000000009</v>
      </c>
      <c r="Y33" s="30">
        <f>T33+V33+X33</f>
        <v>531108.64999999991</v>
      </c>
    </row>
    <row r="34" spans="1:25" x14ac:dyDescent="0.3">
      <c r="A34" s="3"/>
      <c r="B34" s="4" t="s">
        <v>0</v>
      </c>
      <c r="C34" s="4" t="s">
        <v>1</v>
      </c>
      <c r="D34" s="4" t="s">
        <v>0</v>
      </c>
      <c r="E34" s="4" t="s">
        <v>1</v>
      </c>
      <c r="F34" s="4" t="s">
        <v>0</v>
      </c>
      <c r="G34" s="4" t="s">
        <v>1</v>
      </c>
    </row>
    <row r="35" spans="1:25" x14ac:dyDescent="0.3">
      <c r="A35" s="4" t="s">
        <v>15</v>
      </c>
      <c r="B35" s="12">
        <f>B17*D17+B18*D18</f>
        <v>146</v>
      </c>
      <c r="C35" s="12">
        <f>B17*F17+B18*F18</f>
        <v>172</v>
      </c>
      <c r="D35" s="12">
        <f>B22*D22+B23*D23</f>
        <v>112</v>
      </c>
      <c r="E35" s="12">
        <f>B22*F22+B23*F23</f>
        <v>132</v>
      </c>
      <c r="F35" s="12">
        <f>B27*D27+B28*D28</f>
        <v>95.199999999999989</v>
      </c>
      <c r="G35" s="12">
        <f>B27*F27+B28*F28</f>
        <v>112.19999999999999</v>
      </c>
    </row>
    <row r="36" spans="1:25" x14ac:dyDescent="0.3">
      <c r="A36" s="4" t="s">
        <v>16</v>
      </c>
      <c r="B36" s="12">
        <f>B19*D19</f>
        <v>168</v>
      </c>
      <c r="C36" s="12">
        <f>B19*F19</f>
        <v>168</v>
      </c>
      <c r="D36" s="12">
        <f>B24*D24</f>
        <v>168</v>
      </c>
      <c r="E36" s="12">
        <f>B24*F24</f>
        <v>168</v>
      </c>
      <c r="F36" s="12">
        <f>B29*D29</f>
        <v>184.8</v>
      </c>
      <c r="G36" s="12">
        <f>B29*F29</f>
        <v>184.8</v>
      </c>
    </row>
    <row r="37" spans="1:25" x14ac:dyDescent="0.3">
      <c r="A37" s="4" t="s">
        <v>46</v>
      </c>
      <c r="B37" s="12">
        <f>J6+J7</f>
        <v>25</v>
      </c>
      <c r="C37" s="12">
        <f>K6+K7</f>
        <v>23</v>
      </c>
      <c r="D37" s="12">
        <f t="shared" ref="D37:G37" si="2">L6+L7</f>
        <v>25</v>
      </c>
      <c r="E37" s="12">
        <f>M6+M7</f>
        <v>23</v>
      </c>
      <c r="F37" s="12">
        <f t="shared" si="2"/>
        <v>25</v>
      </c>
      <c r="G37" s="12">
        <f t="shared" si="2"/>
        <v>23</v>
      </c>
    </row>
    <row r="38" spans="1:25" x14ac:dyDescent="0.3">
      <c r="A38" s="4" t="s">
        <v>49</v>
      </c>
      <c r="B38" s="12">
        <f>B35+B36+B37</f>
        <v>339</v>
      </c>
      <c r="C38" s="12">
        <f t="shared" ref="C38:G38" si="3">C35+C36+C37</f>
        <v>363</v>
      </c>
      <c r="D38" s="12">
        <f t="shared" si="3"/>
        <v>305</v>
      </c>
      <c r="E38" s="12">
        <f t="shared" si="3"/>
        <v>323</v>
      </c>
      <c r="F38" s="12">
        <f t="shared" si="3"/>
        <v>305</v>
      </c>
      <c r="G38" s="12">
        <f t="shared" si="3"/>
        <v>320</v>
      </c>
    </row>
    <row r="39" spans="1:25" x14ac:dyDescent="0.3">
      <c r="A39" s="4" t="s">
        <v>47</v>
      </c>
      <c r="B39" s="12">
        <f>(J8+J9+J10+J11)/(B11)</f>
        <v>167.91277258566979</v>
      </c>
      <c r="C39" s="12">
        <f>(K8+K9+K10+K11)/(C11)</f>
        <v>189.04761904761904</v>
      </c>
      <c r="D39" s="12">
        <f>(L8+L9+L10+L11)/(D11)</f>
        <v>119.65452847805788</v>
      </c>
      <c r="E39" s="12">
        <f>(M8+M9+M10+M11)/(E11)</f>
        <v>145.93155893536121</v>
      </c>
      <c r="F39" s="12">
        <f t="shared" ref="F39:G39" si="4">(N8+N9+N10+N11)/(F11)</f>
        <v>107.52557319223986</v>
      </c>
      <c r="G39" s="12">
        <f t="shared" si="4"/>
        <v>136.95531135531132</v>
      </c>
    </row>
    <row r="40" spans="1:25" x14ac:dyDescent="0.3">
      <c r="A40" s="4" t="s">
        <v>48</v>
      </c>
      <c r="B40" s="12">
        <f t="shared" ref="B40:G40" si="5">B38+B39</f>
        <v>506.91277258566981</v>
      </c>
      <c r="C40" s="12">
        <f t="shared" si="5"/>
        <v>552.04761904761904</v>
      </c>
      <c r="D40" s="12">
        <f t="shared" si="5"/>
        <v>424.6545284780579</v>
      </c>
      <c r="E40" s="12">
        <f t="shared" si="5"/>
        <v>468.93155893536118</v>
      </c>
      <c r="F40" s="12">
        <f t="shared" si="5"/>
        <v>412.52557319223985</v>
      </c>
      <c r="G40" s="12">
        <f t="shared" si="5"/>
        <v>456.95531135531132</v>
      </c>
    </row>
  </sheetData>
  <mergeCells count="53">
    <mergeCell ref="U5:V5"/>
    <mergeCell ref="W5:X5"/>
    <mergeCell ref="R4:Y4"/>
    <mergeCell ref="R18:Y18"/>
    <mergeCell ref="S19:T19"/>
    <mergeCell ref="U19:V19"/>
    <mergeCell ref="W19:X19"/>
    <mergeCell ref="S5:T5"/>
    <mergeCell ref="L12:M12"/>
    <mergeCell ref="D26:E26"/>
    <mergeCell ref="F26:G26"/>
    <mergeCell ref="B26:C26"/>
    <mergeCell ref="J18:K18"/>
    <mergeCell ref="N16:O16"/>
    <mergeCell ref="N19:O19"/>
    <mergeCell ref="N12:O12"/>
    <mergeCell ref="N13:O13"/>
    <mergeCell ref="N14:O14"/>
    <mergeCell ref="N15:O15"/>
    <mergeCell ref="N17:O17"/>
    <mergeCell ref="N18:O18"/>
    <mergeCell ref="L16:M16"/>
    <mergeCell ref="B33:C33"/>
    <mergeCell ref="D33:E33"/>
    <mergeCell ref="F33:G33"/>
    <mergeCell ref="A32:G32"/>
    <mergeCell ref="J17:K17"/>
    <mergeCell ref="J15:K15"/>
    <mergeCell ref="L19:M19"/>
    <mergeCell ref="L17:M17"/>
    <mergeCell ref="L18:M18"/>
    <mergeCell ref="J16:K16"/>
    <mergeCell ref="J19:K19"/>
    <mergeCell ref="L15:M15"/>
    <mergeCell ref="B16:C16"/>
    <mergeCell ref="B21:C21"/>
    <mergeCell ref="D16:E16"/>
    <mergeCell ref="F16:G16"/>
    <mergeCell ref="D21:E21"/>
    <mergeCell ref="F21:G21"/>
    <mergeCell ref="L4:M4"/>
    <mergeCell ref="N4:O4"/>
    <mergeCell ref="L13:M13"/>
    <mergeCell ref="L14:M14"/>
    <mergeCell ref="A4:G4"/>
    <mergeCell ref="A14:G14"/>
    <mergeCell ref="J4:K4"/>
    <mergeCell ref="D5:E5"/>
    <mergeCell ref="F5:G5"/>
    <mergeCell ref="B5:C5"/>
    <mergeCell ref="I12:K12"/>
    <mergeCell ref="J13:K13"/>
    <mergeCell ref="J14:K14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  <ignoredErrors>
    <ignoredError sqref="C10:D10 K9:L9 M9:N9 U28:V28 T32:U32 W28 W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KAX</vt:lpstr>
      <vt:lpstr>KAX!Print_Area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</dc:creator>
  <cp:lastModifiedBy>Chris Tsoufis</cp:lastModifiedBy>
  <cp:lastPrinted>2019-05-11T11:35:34Z</cp:lastPrinted>
  <dcterms:created xsi:type="dcterms:W3CDTF">2019-05-10T10:47:59Z</dcterms:created>
  <dcterms:modified xsi:type="dcterms:W3CDTF">2021-06-12T17:20:14Z</dcterms:modified>
</cp:coreProperties>
</file>