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Christian\Documents\JS Projects\FiMa\"/>
    </mc:Choice>
  </mc:AlternateContent>
  <xr:revisionPtr revIDLastSave="0" documentId="13_ncr:1_{F85142C3-D0B0-4620-8C50-4571DB49DC80}" xr6:coauthVersionLast="47" xr6:coauthVersionMax="47" xr10:uidLastSave="{00000000-0000-0000-0000-000000000000}"/>
  <bookViews>
    <workbookView xWindow="-28920" yWindow="-120" windowWidth="29040" windowHeight="16440" firstSheet="2" activeTab="8" xr2:uid="{1375F034-45C5-4C07-AE01-A8B8323D2EA4}"/>
  </bookViews>
  <sheets>
    <sheet name="Fondprospekt" sheetId="6" r:id="rId1"/>
    <sheet name="Dashboard" sheetId="1" r:id="rId2"/>
    <sheet name="Diagramme" sheetId="22" r:id="rId3"/>
    <sheet name="Historische Ergebnisse" sheetId="20" r:id="rId4"/>
    <sheet name="Tagesgeldkonto" sheetId="18" r:id="rId5"/>
    <sheet name="Anleihen(ver)käufe" sheetId="16" r:id="rId6"/>
    <sheet name="Zinszahlungen Anleihen" sheetId="17" r:id="rId7"/>
    <sheet name="Aktuelle Anleihen" sheetId="10" r:id="rId8"/>
    <sheet name="Optionen" sheetId="19" r:id="rId9"/>
    <sheet name="Aktien" sheetId="13" r:id="rId10"/>
    <sheet name="Nebenrechnungen" sheetId="14" r:id="rId11"/>
    <sheet name="Neue Anleihen" sheetId="12" r:id="rId12"/>
  </sheets>
  <definedNames>
    <definedName name="ExternalData_1" localSheetId="7" hidden="1">'Aktuelle Anleihen'!$A$1:$AA$511</definedName>
    <definedName name="ExternalData_1" localSheetId="11" hidden="1">'Neue Anleihen'!$A$1:$S$5</definedName>
    <definedName name="ExternalData_1" localSheetId="6" hidden="1">'Zinszahlungen Anleihen'!$A$1:$K$166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7" l="1"/>
  <c r="D3" i="17"/>
  <c r="D4" i="17"/>
  <c r="D5" i="17"/>
  <c r="D6" i="17"/>
  <c r="D7" i="17"/>
  <c r="D8" i="17"/>
  <c r="AB220" i="10" s="1"/>
  <c r="D9" i="17"/>
  <c r="D10" i="17"/>
  <c r="D11" i="17"/>
  <c r="AB106" i="10" s="1"/>
  <c r="D12" i="17"/>
  <c r="AB61" i="10" s="1"/>
  <c r="D13" i="17"/>
  <c r="AB463" i="10" s="1"/>
  <c r="D14" i="17"/>
  <c r="AB146" i="10" s="1"/>
  <c r="D15" i="17"/>
  <c r="AB111" i="10" s="1"/>
  <c r="D16" i="17"/>
  <c r="AB94" i="10" s="1"/>
  <c r="D17" i="17"/>
  <c r="AB12" i="10" s="1"/>
  <c r="D18" i="17"/>
  <c r="D19" i="17"/>
  <c r="D20" i="17"/>
  <c r="D21" i="17"/>
  <c r="D22" i="17"/>
  <c r="D23" i="17"/>
  <c r="D24" i="17"/>
  <c r="D25" i="17"/>
  <c r="AB162" i="10" s="1"/>
  <c r="D26" i="17"/>
  <c r="D27" i="17"/>
  <c r="AB89" i="10" s="1"/>
  <c r="D28" i="17"/>
  <c r="D29" i="17"/>
  <c r="D30" i="17"/>
  <c r="D31" i="17"/>
  <c r="D32" i="17"/>
  <c r="D33" i="17"/>
  <c r="AB433" i="10" s="1"/>
  <c r="D34" i="17"/>
  <c r="D35" i="17"/>
  <c r="D36" i="17"/>
  <c r="D37" i="17"/>
  <c r="D38" i="17"/>
  <c r="AB65" i="10" s="1"/>
  <c r="D39" i="17"/>
  <c r="D40" i="17"/>
  <c r="AB161" i="10" s="1"/>
  <c r="D41" i="17"/>
  <c r="AB86" i="10" s="1"/>
  <c r="D42" i="17"/>
  <c r="D43" i="17"/>
  <c r="D44" i="17"/>
  <c r="D45" i="17"/>
  <c r="AB343" i="10" s="1"/>
  <c r="D46" i="17"/>
  <c r="AB221" i="10" s="1"/>
  <c r="D47" i="17"/>
  <c r="AB434" i="10" s="1"/>
  <c r="D48" i="17"/>
  <c r="AB182" i="10" s="1"/>
  <c r="D49" i="17"/>
  <c r="AB123" i="10" s="1"/>
  <c r="D50" i="17"/>
  <c r="D51" i="17"/>
  <c r="D52" i="17"/>
  <c r="D53" i="17"/>
  <c r="D54" i="17"/>
  <c r="D55" i="17"/>
  <c r="D56" i="17"/>
  <c r="D57" i="17"/>
  <c r="D58" i="17"/>
  <c r="D59" i="17"/>
  <c r="D60" i="17"/>
  <c r="AB484" i="10" s="1"/>
  <c r="D61" i="17"/>
  <c r="AB300" i="10" s="1"/>
  <c r="D62" i="17"/>
  <c r="AB134" i="10" s="1"/>
  <c r="D63" i="17"/>
  <c r="AB441" i="10" s="1"/>
  <c r="D64" i="17"/>
  <c r="AB268" i="10" s="1"/>
  <c r="D65" i="17"/>
  <c r="AB232" i="10" s="1"/>
  <c r="D66" i="17"/>
  <c r="D67" i="17"/>
  <c r="D68" i="17"/>
  <c r="D69" i="17"/>
  <c r="D70" i="17"/>
  <c r="D71" i="17"/>
  <c r="D72" i="17"/>
  <c r="AB249" i="10" s="1"/>
  <c r="D73" i="17"/>
  <c r="AB24" i="10" s="1"/>
  <c r="D74" i="17"/>
  <c r="D75" i="17"/>
  <c r="D76" i="17"/>
  <c r="AB173" i="10" s="1"/>
  <c r="D77" i="17"/>
  <c r="AB417" i="10" s="1"/>
  <c r="D78" i="17"/>
  <c r="AB135" i="10" s="1"/>
  <c r="D79" i="17"/>
  <c r="AB131" i="10" s="1"/>
  <c r="D80" i="17"/>
  <c r="AB396" i="10" s="1"/>
  <c r="D81" i="17"/>
  <c r="AB410" i="10" s="1"/>
  <c r="D82" i="17"/>
  <c r="D83" i="17"/>
  <c r="D84" i="17"/>
  <c r="D85" i="17"/>
  <c r="D86" i="17"/>
  <c r="D87" i="17"/>
  <c r="D88" i="17"/>
  <c r="D89" i="17"/>
  <c r="AB147" i="10" s="1"/>
  <c r="D90" i="17"/>
  <c r="D91" i="17"/>
  <c r="AB150" i="10" s="1"/>
  <c r="D92" i="17"/>
  <c r="AB79" i="10" s="1"/>
  <c r="D93" i="17"/>
  <c r="AB341" i="10" s="1"/>
  <c r="D94" i="17"/>
  <c r="AB473" i="10" s="1"/>
  <c r="D95" i="17"/>
  <c r="AB169" i="10" s="1"/>
  <c r="D96" i="17"/>
  <c r="AB119" i="10" s="1"/>
  <c r="D97" i="17"/>
  <c r="AB344" i="10" s="1"/>
  <c r="D98" i="17"/>
  <c r="D99" i="17"/>
  <c r="D100" i="17"/>
  <c r="D101" i="17"/>
  <c r="D102" i="17"/>
  <c r="D103" i="17"/>
  <c r="D104" i="17"/>
  <c r="AB346" i="10" s="1"/>
  <c r="D105" i="17"/>
  <c r="AB466" i="10" s="1"/>
  <c r="D106" i="17"/>
  <c r="D107" i="17"/>
  <c r="AB365" i="10" s="1"/>
  <c r="D108" i="17"/>
  <c r="AB310" i="10" s="1"/>
  <c r="D109" i="17"/>
  <c r="AB233" i="10" s="1"/>
  <c r="D110" i="17"/>
  <c r="AB144" i="10" s="1"/>
  <c r="D111" i="17"/>
  <c r="AB444" i="10" s="1"/>
  <c r="D112" i="17"/>
  <c r="AB317" i="10" s="1"/>
  <c r="D113" i="17"/>
  <c r="AB129" i="10" s="1"/>
  <c r="D114" i="17"/>
  <c r="D115" i="17"/>
  <c r="D116" i="17"/>
  <c r="D117" i="17"/>
  <c r="D118" i="17"/>
  <c r="D119" i="17"/>
  <c r="AB184" i="10" s="1"/>
  <c r="D120" i="17"/>
  <c r="D121" i="17"/>
  <c r="AB331" i="10" s="1"/>
  <c r="D122" i="17"/>
  <c r="AB481" i="10" s="1"/>
  <c r="D123" i="17"/>
  <c r="AB84" i="10" s="1"/>
  <c r="D124" i="17"/>
  <c r="AB21" i="10" s="1"/>
  <c r="D125" i="17"/>
  <c r="AB398" i="10" s="1"/>
  <c r="D126" i="17"/>
  <c r="AB227" i="10" s="1"/>
  <c r="D127" i="17"/>
  <c r="AB159" i="10" s="1"/>
  <c r="D128" i="17"/>
  <c r="AB458" i="10" s="1"/>
  <c r="D129" i="17"/>
  <c r="AB151" i="10" s="1"/>
  <c r="D130" i="17"/>
  <c r="D131" i="17"/>
  <c r="D132" i="17"/>
  <c r="D133" i="17"/>
  <c r="D134" i="17"/>
  <c r="D135" i="17"/>
  <c r="AB480" i="10" s="1"/>
  <c r="D136" i="17"/>
  <c r="D137" i="17"/>
  <c r="AB489" i="10" s="1"/>
  <c r="D138" i="17"/>
  <c r="D139" i="17"/>
  <c r="D140" i="17"/>
  <c r="AB207" i="10" s="1"/>
  <c r="D141" i="17"/>
  <c r="AB87" i="10" s="1"/>
  <c r="D142" i="17"/>
  <c r="AB508" i="10" s="1"/>
  <c r="D143" i="17"/>
  <c r="AB348" i="10" s="1"/>
  <c r="D144" i="17"/>
  <c r="AB212" i="10" s="1"/>
  <c r="D145" i="17"/>
  <c r="AB464" i="10" s="1"/>
  <c r="D146" i="17"/>
  <c r="D147" i="17"/>
  <c r="D148" i="17"/>
  <c r="D149" i="17"/>
  <c r="D150" i="17"/>
  <c r="D151" i="17"/>
  <c r="D152" i="17"/>
  <c r="AB16" i="10" s="1"/>
  <c r="D153" i="17"/>
  <c r="AB355" i="10" s="1"/>
  <c r="D154" i="17"/>
  <c r="D155" i="17"/>
  <c r="D156" i="17"/>
  <c r="D157" i="17"/>
  <c r="AB511" i="10" s="1"/>
  <c r="D158" i="17"/>
  <c r="AB47" i="10" s="1"/>
  <c r="D159" i="17"/>
  <c r="AB499" i="10" s="1"/>
  <c r="D160" i="17"/>
  <c r="AB205" i="10" s="1"/>
  <c r="D161" i="17"/>
  <c r="AB53" i="10" s="1"/>
  <c r="D162" i="17"/>
  <c r="D163" i="17"/>
  <c r="D164" i="17"/>
  <c r="D165" i="17"/>
  <c r="D166" i="17"/>
  <c r="AB125" i="10"/>
  <c r="AB181" i="10"/>
  <c r="E3" i="12"/>
  <c r="E2" i="12"/>
  <c r="T2" i="12" s="1"/>
  <c r="E4" i="12"/>
  <c r="T4" i="12" s="1"/>
  <c r="E5" i="12"/>
  <c r="T5" i="12" s="1"/>
  <c r="I3" i="12"/>
  <c r="I2" i="12"/>
  <c r="I4" i="12"/>
  <c r="I5" i="12"/>
  <c r="T3" i="12"/>
  <c r="E172" i="10"/>
  <c r="G172" i="10" s="1"/>
  <c r="E497" i="10"/>
  <c r="G497" i="10" s="1"/>
  <c r="E107" i="10"/>
  <c r="G107" i="10" s="1"/>
  <c r="E488" i="10"/>
  <c r="G488" i="10" s="1"/>
  <c r="E489" i="10"/>
  <c r="G489" i="10" s="1"/>
  <c r="E7" i="10"/>
  <c r="G7" i="10" s="1"/>
  <c r="E91" i="10"/>
  <c r="G91" i="10" s="1"/>
  <c r="E92" i="10"/>
  <c r="G92" i="10" s="1"/>
  <c r="E249" i="10"/>
  <c r="G249" i="10" s="1"/>
  <c r="E3" i="10"/>
  <c r="G3" i="10" s="1"/>
  <c r="E465" i="10"/>
  <c r="G465" i="10" s="1"/>
  <c r="E463" i="10"/>
  <c r="G463" i="10" s="1"/>
  <c r="E173" i="10"/>
  <c r="G173" i="10" s="1"/>
  <c r="E432" i="10"/>
  <c r="G432" i="10" s="1"/>
  <c r="E63" i="10"/>
  <c r="G63" i="10" s="1"/>
  <c r="E314" i="10"/>
  <c r="G314" i="10" s="1"/>
  <c r="E174" i="10"/>
  <c r="G174" i="10" s="1"/>
  <c r="E53" i="10"/>
  <c r="G53" i="10" s="1"/>
  <c r="E355" i="10"/>
  <c r="G355" i="10" s="1"/>
  <c r="E42" i="10"/>
  <c r="G42" i="10" s="1"/>
  <c r="E2" i="10"/>
  <c r="G2" i="10" s="1"/>
  <c r="E37" i="10"/>
  <c r="G37" i="10" s="1"/>
  <c r="E220" i="10"/>
  <c r="G220" i="10" s="1"/>
  <c r="E278" i="10"/>
  <c r="G278" i="10" s="1"/>
  <c r="E271" i="10"/>
  <c r="G271" i="10" s="1"/>
  <c r="E18" i="10"/>
  <c r="G18" i="10" s="1"/>
  <c r="E64" i="10"/>
  <c r="G64" i="10" s="1"/>
  <c r="E499" i="10"/>
  <c r="G499" i="10" s="1"/>
  <c r="E94" i="10"/>
  <c r="G94" i="10" s="1"/>
  <c r="E468" i="10"/>
  <c r="G468" i="10" s="1"/>
  <c r="E295" i="10"/>
  <c r="G295" i="10" s="1"/>
  <c r="E175" i="10"/>
  <c r="G175" i="10" s="1"/>
  <c r="E19" i="10"/>
  <c r="G19" i="10" s="1"/>
  <c r="E206" i="10"/>
  <c r="G206" i="10" s="1"/>
  <c r="E149" i="10"/>
  <c r="G149" i="10" s="1"/>
  <c r="E10" i="10"/>
  <c r="G10" i="10" s="1"/>
  <c r="E134" i="10"/>
  <c r="G134" i="10" s="1"/>
  <c r="E176" i="10"/>
  <c r="G176" i="10" s="1"/>
  <c r="E177" i="10"/>
  <c r="G177" i="10" s="1"/>
  <c r="E38" i="10"/>
  <c r="G38" i="10" s="1"/>
  <c r="E45" i="10"/>
  <c r="G45" i="10" s="1"/>
  <c r="E23" i="10"/>
  <c r="G23" i="10" s="1"/>
  <c r="E59" i="10"/>
  <c r="G59" i="10" s="1"/>
  <c r="E507" i="10"/>
  <c r="G507" i="10" s="1"/>
  <c r="E301" i="10"/>
  <c r="G301" i="10" s="1"/>
  <c r="E46" i="10"/>
  <c r="G46" i="10" s="1"/>
  <c r="E154" i="10"/>
  <c r="G154" i="10" s="1"/>
  <c r="E129" i="10"/>
  <c r="G129" i="10" s="1"/>
  <c r="E356" i="10"/>
  <c r="E330" i="10"/>
  <c r="G330" i="10" s="1"/>
  <c r="E274" i="10"/>
  <c r="E116" i="10"/>
  <c r="G116" i="10" s="1"/>
  <c r="E215" i="10"/>
  <c r="G215" i="10" s="1"/>
  <c r="E303" i="10"/>
  <c r="G303" i="10" s="1"/>
  <c r="E101" i="10"/>
  <c r="G101" i="10" s="1"/>
  <c r="E55" i="10"/>
  <c r="G55" i="10" s="1"/>
  <c r="E494" i="10"/>
  <c r="G494" i="10" s="1"/>
  <c r="E28" i="10"/>
  <c r="G28" i="10" s="1"/>
  <c r="E387" i="10"/>
  <c r="G387" i="10" s="1"/>
  <c r="E388" i="10"/>
  <c r="G388" i="10" s="1"/>
  <c r="E501" i="10"/>
  <c r="G501" i="10" s="1"/>
  <c r="E317" i="10"/>
  <c r="G317" i="10" s="1"/>
  <c r="E61" i="10"/>
  <c r="G61" i="10" s="1"/>
  <c r="E269" i="10"/>
  <c r="G269" i="10" s="1"/>
  <c r="E133" i="10"/>
  <c r="G133" i="10" s="1"/>
  <c r="E178" i="10"/>
  <c r="G178" i="10" s="1"/>
  <c r="E472" i="10"/>
  <c r="G472" i="10" s="1"/>
  <c r="E47" i="10"/>
  <c r="G47" i="10" s="1"/>
  <c r="E43" i="10"/>
  <c r="G43" i="10" s="1"/>
  <c r="E453" i="10"/>
  <c r="G453" i="10" s="1"/>
  <c r="E120" i="10"/>
  <c r="G120" i="10" s="1"/>
  <c r="E88" i="10"/>
  <c r="G88" i="10" s="1"/>
  <c r="E444" i="10"/>
  <c r="G444" i="10" s="1"/>
  <c r="E179" i="10"/>
  <c r="G179" i="10" s="1"/>
  <c r="E407" i="10"/>
  <c r="G407" i="10" s="1"/>
  <c r="E334" i="10"/>
  <c r="G334" i="10" s="1"/>
  <c r="E70" i="10"/>
  <c r="G70" i="10" s="1"/>
  <c r="E144" i="10"/>
  <c r="G144" i="10" s="1"/>
  <c r="E65" i="10"/>
  <c r="G65" i="10" s="1"/>
  <c r="E332" i="10"/>
  <c r="G332" i="10" s="1"/>
  <c r="E29" i="10"/>
  <c r="G29" i="10" s="1"/>
  <c r="E299" i="10"/>
  <c r="G299" i="10" s="1"/>
  <c r="E93" i="10"/>
  <c r="G93" i="10" s="1"/>
  <c r="E233" i="10"/>
  <c r="G233" i="10" s="1"/>
  <c r="E159" i="10"/>
  <c r="G159" i="10" s="1"/>
  <c r="E99" i="10"/>
  <c r="G99" i="10" s="1"/>
  <c r="E76" i="10"/>
  <c r="G76" i="10" s="1"/>
  <c r="E383" i="10"/>
  <c r="G383" i="10" s="1"/>
  <c r="E506" i="10"/>
  <c r="G506" i="10" s="1"/>
  <c r="E302" i="10"/>
  <c r="G302" i="10" s="1"/>
  <c r="E31" i="10"/>
  <c r="G31" i="10" s="1"/>
  <c r="E50" i="10"/>
  <c r="G50" i="10" s="1"/>
  <c r="E480" i="10"/>
  <c r="G480" i="10" s="1"/>
  <c r="E481" i="10"/>
  <c r="G481" i="10" s="1"/>
  <c r="E118" i="10"/>
  <c r="G118" i="10" s="1"/>
  <c r="E300" i="10"/>
  <c r="G300" i="10" s="1"/>
  <c r="E214" i="10"/>
  <c r="G214" i="10" s="1"/>
  <c r="E167" i="10"/>
  <c r="G167" i="10" s="1"/>
  <c r="E32" i="10"/>
  <c r="G32" i="10" s="1"/>
  <c r="E163" i="10"/>
  <c r="G163" i="10" s="1"/>
  <c r="E447" i="10"/>
  <c r="G447" i="10" s="1"/>
  <c r="E281" i="10"/>
  <c r="G281" i="10" s="1"/>
  <c r="E491" i="10"/>
  <c r="G491" i="10" s="1"/>
  <c r="E170" i="10"/>
  <c r="G170" i="10" s="1"/>
  <c r="E145" i="10"/>
  <c r="G145" i="10" s="1"/>
  <c r="E327" i="10"/>
  <c r="G327" i="10" s="1"/>
  <c r="E267" i="10"/>
  <c r="G267" i="10" s="1"/>
  <c r="E415" i="10"/>
  <c r="G415" i="10" s="1"/>
  <c r="E113" i="10"/>
  <c r="G113" i="10" s="1"/>
  <c r="E508" i="10"/>
  <c r="G508" i="10" s="1"/>
  <c r="E84" i="10"/>
  <c r="G84" i="10" s="1"/>
  <c r="E207" i="10"/>
  <c r="G207" i="10" s="1"/>
  <c r="E102" i="10"/>
  <c r="G102" i="10" s="1"/>
  <c r="E152" i="10"/>
  <c r="G152" i="10" s="1"/>
  <c r="E212" i="10"/>
  <c r="G212" i="10" s="1"/>
  <c r="E290" i="10"/>
  <c r="G290" i="10" s="1"/>
  <c r="E30" i="10"/>
  <c r="G30" i="10" s="1"/>
  <c r="E108" i="10"/>
  <c r="G108" i="10" s="1"/>
  <c r="E11" i="10"/>
  <c r="G11" i="10" s="1"/>
  <c r="E504" i="10"/>
  <c r="G504" i="10" s="1"/>
  <c r="E171" i="10"/>
  <c r="G171" i="10" s="1"/>
  <c r="E80" i="10"/>
  <c r="G80" i="10" s="1"/>
  <c r="E48" i="10"/>
  <c r="G48" i="10" s="1"/>
  <c r="E510" i="10"/>
  <c r="G510" i="10" s="1"/>
  <c r="E318" i="10"/>
  <c r="G318" i="10" s="1"/>
  <c r="E398" i="10"/>
  <c r="G398" i="10" s="1"/>
  <c r="E343" i="10"/>
  <c r="G343" i="10" s="1"/>
  <c r="E123" i="10"/>
  <c r="G123" i="10" s="1"/>
  <c r="E12" i="10"/>
  <c r="G12" i="10" s="1"/>
  <c r="E369" i="10"/>
  <c r="G369" i="10" s="1"/>
  <c r="E310" i="10"/>
  <c r="G310" i="10" s="1"/>
  <c r="E58" i="10"/>
  <c r="G58" i="10" s="1"/>
  <c r="E26" i="10"/>
  <c r="G26" i="10" s="1"/>
  <c r="E103" i="10"/>
  <c r="G103" i="10" s="1"/>
  <c r="E484" i="10"/>
  <c r="G484" i="10" s="1"/>
  <c r="E496" i="10"/>
  <c r="G496" i="10" s="1"/>
  <c r="E502" i="10"/>
  <c r="G502" i="10" s="1"/>
  <c r="E81" i="10"/>
  <c r="G81" i="10" s="1"/>
  <c r="E221" i="10"/>
  <c r="G221" i="10" s="1"/>
  <c r="E477" i="10"/>
  <c r="G477" i="10" s="1"/>
  <c r="E360" i="10"/>
  <c r="G360" i="10" s="1"/>
  <c r="E39" i="10"/>
  <c r="G39" i="10" s="1"/>
  <c r="E122" i="10"/>
  <c r="G122" i="10" s="1"/>
  <c r="E349" i="10"/>
  <c r="G349" i="10" s="1"/>
  <c r="E146" i="10"/>
  <c r="G146" i="10" s="1"/>
  <c r="E498" i="10"/>
  <c r="G498" i="10" s="1"/>
  <c r="E232" i="10"/>
  <c r="G232" i="10" s="1"/>
  <c r="E372" i="10"/>
  <c r="G372" i="10" s="1"/>
  <c r="E258" i="10"/>
  <c r="G258" i="10" s="1"/>
  <c r="E511" i="10"/>
  <c r="G511" i="10" s="1"/>
  <c r="E49" i="10"/>
  <c r="G49" i="10" s="1"/>
  <c r="E111" i="10"/>
  <c r="G111" i="10" s="1"/>
  <c r="E393" i="10"/>
  <c r="G393" i="10" s="1"/>
  <c r="E373" i="10"/>
  <c r="G373" i="10" s="1"/>
  <c r="E466" i="10"/>
  <c r="G466" i="10" s="1"/>
  <c r="E482" i="10"/>
  <c r="G482" i="10" s="1"/>
  <c r="E180" i="10"/>
  <c r="G180" i="10" s="1"/>
  <c r="E13" i="10"/>
  <c r="G13" i="10" s="1"/>
  <c r="E181" i="10"/>
  <c r="G181" i="10" s="1"/>
  <c r="E182" i="10"/>
  <c r="G182" i="10" s="1"/>
  <c r="E248" i="10"/>
  <c r="G248" i="10" s="1"/>
  <c r="E183" i="10"/>
  <c r="G183" i="10" s="1"/>
  <c r="E66" i="10"/>
  <c r="G66" i="10" s="1"/>
  <c r="E35" i="10"/>
  <c r="G35" i="10" s="1"/>
  <c r="E346" i="10"/>
  <c r="G346" i="10" s="1"/>
  <c r="E309" i="10"/>
  <c r="G309" i="10" s="1"/>
  <c r="E296" i="10"/>
  <c r="G296" i="10" s="1"/>
  <c r="E416" i="10"/>
  <c r="G416" i="10" s="1"/>
  <c r="E112" i="10"/>
  <c r="G112" i="10" s="1"/>
  <c r="E95" i="10"/>
  <c r="G95" i="10" s="1"/>
  <c r="E312" i="10"/>
  <c r="G312" i="10" s="1"/>
  <c r="E211" i="10"/>
  <c r="G211" i="10" s="1"/>
  <c r="E27" i="10"/>
  <c r="G27" i="10" s="1"/>
  <c r="E184" i="10"/>
  <c r="G184" i="10" s="1"/>
  <c r="E9" i="10"/>
  <c r="G9" i="10" s="1"/>
  <c r="E85" i="10"/>
  <c r="G85" i="10" s="1"/>
  <c r="E283" i="10"/>
  <c r="G283" i="10" s="1"/>
  <c r="E417" i="10"/>
  <c r="G417" i="10" s="1"/>
  <c r="E14" i="10"/>
  <c r="G14" i="10" s="1"/>
  <c r="E162" i="10"/>
  <c r="G162" i="10" s="1"/>
  <c r="E160" i="10"/>
  <c r="G160" i="10" s="1"/>
  <c r="E96" i="10"/>
  <c r="G96" i="10" s="1"/>
  <c r="E185" i="10"/>
  <c r="G185" i="10" s="1"/>
  <c r="E20" i="10"/>
  <c r="G20" i="10" s="1"/>
  <c r="E186" i="10"/>
  <c r="G186" i="10" s="1"/>
  <c r="E155" i="10"/>
  <c r="G155" i="10" s="1"/>
  <c r="E187" i="10"/>
  <c r="G187" i="10" s="1"/>
  <c r="E119" i="10"/>
  <c r="G119" i="10" s="1"/>
  <c r="E169" i="10"/>
  <c r="G169" i="10" s="1"/>
  <c r="E509" i="10"/>
  <c r="G509" i="10" s="1"/>
  <c r="E161" i="10"/>
  <c r="G161" i="10" s="1"/>
  <c r="E341" i="10"/>
  <c r="G341" i="10" s="1"/>
  <c r="E106" i="10"/>
  <c r="G106" i="10" s="1"/>
  <c r="E208" i="10"/>
  <c r="G208" i="10" s="1"/>
  <c r="E36" i="10"/>
  <c r="G36" i="10" s="1"/>
  <c r="E104" i="10"/>
  <c r="G104" i="10" s="1"/>
  <c r="E79" i="10"/>
  <c r="G79" i="10" s="1"/>
  <c r="E98" i="10"/>
  <c r="G98" i="10" s="1"/>
  <c r="E347" i="10"/>
  <c r="G347" i="10" s="1"/>
  <c r="E209" i="10"/>
  <c r="G209" i="10" s="1"/>
  <c r="E5" i="10"/>
  <c r="G5" i="10" s="1"/>
  <c r="E250" i="10"/>
  <c r="G250" i="10" s="1"/>
  <c r="E434" i="10"/>
  <c r="G434" i="10" s="1"/>
  <c r="E89" i="10"/>
  <c r="G89" i="10" s="1"/>
  <c r="E22" i="10"/>
  <c r="G22" i="10" s="1"/>
  <c r="E150" i="10"/>
  <c r="G150" i="10" s="1"/>
  <c r="E147" i="10"/>
  <c r="G147" i="10" s="1"/>
  <c r="E86" i="10"/>
  <c r="G86" i="10" s="1"/>
  <c r="E433" i="10"/>
  <c r="G433" i="10" s="1"/>
  <c r="E223" i="10"/>
  <c r="G223" i="10" s="1"/>
  <c r="E188" i="10"/>
  <c r="G188" i="10" s="1"/>
  <c r="E124" i="10"/>
  <c r="G124" i="10" s="1"/>
  <c r="E237" i="10"/>
  <c r="G237" i="10" s="1"/>
  <c r="E261" i="10"/>
  <c r="G261" i="10" s="1"/>
  <c r="E487" i="10"/>
  <c r="G487" i="10" s="1"/>
  <c r="E471" i="10"/>
  <c r="G471" i="10" s="1"/>
  <c r="E316" i="10"/>
  <c r="G316" i="10" s="1"/>
  <c r="E476" i="10"/>
  <c r="G476" i="10" s="1"/>
  <c r="E73" i="10"/>
  <c r="G73" i="10" s="1"/>
  <c r="E241" i="10"/>
  <c r="G241" i="10" s="1"/>
  <c r="E90" i="10"/>
  <c r="G90" i="10" s="1"/>
  <c r="E189" i="10"/>
  <c r="G189" i="10" s="1"/>
  <c r="E67" i="10"/>
  <c r="G67" i="10" s="1"/>
  <c r="E333" i="10"/>
  <c r="G333" i="10" s="1"/>
  <c r="E240" i="10"/>
  <c r="E402" i="10"/>
  <c r="E443" i="10"/>
  <c r="G443" i="10" s="1"/>
  <c r="E412" i="10"/>
  <c r="G412" i="10" s="1"/>
  <c r="E357" i="10"/>
  <c r="G357" i="10" s="1"/>
  <c r="E114" i="10"/>
  <c r="G114" i="10" s="1"/>
  <c r="E490" i="10"/>
  <c r="G490" i="10" s="1"/>
  <c r="E440" i="10"/>
  <c r="G440" i="10" s="1"/>
  <c r="E377" i="10"/>
  <c r="G377" i="10" s="1"/>
  <c r="E279" i="10"/>
  <c r="G279" i="10" s="1"/>
  <c r="E348" i="10"/>
  <c r="G348" i="10" s="1"/>
  <c r="E190" i="10"/>
  <c r="G190" i="10" s="1"/>
  <c r="E6" i="10"/>
  <c r="G6" i="10" s="1"/>
  <c r="E16" i="10"/>
  <c r="G16" i="10" s="1"/>
  <c r="E378" i="10"/>
  <c r="G378" i="10" s="1"/>
  <c r="E401" i="10"/>
  <c r="G401" i="10" s="1"/>
  <c r="E4" i="10"/>
  <c r="G4" i="10" s="1"/>
  <c r="E326" i="10"/>
  <c r="G326" i="10" s="1"/>
  <c r="E191" i="10"/>
  <c r="G191" i="10" s="1"/>
  <c r="E363" i="10"/>
  <c r="G363" i="10" s="1"/>
  <c r="E375" i="10"/>
  <c r="G375" i="10" s="1"/>
  <c r="E254" i="10"/>
  <c r="G254" i="10" s="1"/>
  <c r="E192" i="10"/>
  <c r="G192" i="10" s="1"/>
  <c r="E238" i="10"/>
  <c r="G238" i="10" s="1"/>
  <c r="E165" i="10"/>
  <c r="G165" i="10" s="1"/>
  <c r="E469" i="10"/>
  <c r="G469" i="10" s="1"/>
  <c r="E105" i="10"/>
  <c r="G105" i="10" s="1"/>
  <c r="E500" i="10"/>
  <c r="G500" i="10" s="1"/>
  <c r="E193" i="10"/>
  <c r="G193" i="10" s="1"/>
  <c r="E452" i="10"/>
  <c r="G452" i="10" s="1"/>
  <c r="E329" i="10"/>
  <c r="G329" i="10" s="1"/>
  <c r="E297" i="10"/>
  <c r="G297" i="10" s="1"/>
  <c r="E342" i="10"/>
  <c r="G342" i="10" s="1"/>
  <c r="E409" i="10"/>
  <c r="G409" i="10" s="1"/>
  <c r="E460" i="10"/>
  <c r="G460" i="10" s="1"/>
  <c r="E403" i="10"/>
  <c r="G403" i="10" s="1"/>
  <c r="E397" i="10"/>
  <c r="E350" i="10"/>
  <c r="G350" i="10" s="1"/>
  <c r="E425" i="10"/>
  <c r="G425" i="10" s="1"/>
  <c r="E364" i="10"/>
  <c r="G364" i="10" s="1"/>
  <c r="E56" i="10"/>
  <c r="G56" i="10" s="1"/>
  <c r="E54" i="10"/>
  <c r="G54" i="10" s="1"/>
  <c r="E51" i="10"/>
  <c r="G51" i="10" s="1"/>
  <c r="E323" i="10"/>
  <c r="G323" i="10" s="1"/>
  <c r="E286" i="10"/>
  <c r="G286" i="10" s="1"/>
  <c r="E464" i="10"/>
  <c r="G464" i="10" s="1"/>
  <c r="E87" i="10"/>
  <c r="G87" i="10" s="1"/>
  <c r="E427" i="10"/>
  <c r="G427" i="10" s="1"/>
  <c r="E385" i="10"/>
  <c r="E493" i="10"/>
  <c r="G493" i="10" s="1"/>
  <c r="E365" i="10"/>
  <c r="G365" i="10" s="1"/>
  <c r="E266" i="10"/>
  <c r="G266" i="10" s="1"/>
  <c r="E449" i="10"/>
  <c r="G449" i="10" s="1"/>
  <c r="E376" i="10"/>
  <c r="G376" i="10" s="1"/>
  <c r="E324" i="10"/>
  <c r="G324" i="10" s="1"/>
  <c r="E194" i="10"/>
  <c r="G194" i="10" s="1"/>
  <c r="E456" i="10"/>
  <c r="G456" i="10" s="1"/>
  <c r="E287" i="10"/>
  <c r="G287" i="10" s="1"/>
  <c r="E436" i="10"/>
  <c r="G436" i="10" s="1"/>
  <c r="E311" i="10"/>
  <c r="G311" i="10" s="1"/>
  <c r="E371" i="10"/>
  <c r="G371" i="10" s="1"/>
  <c r="E483" i="10"/>
  <c r="G483" i="10" s="1"/>
  <c r="E272" i="10"/>
  <c r="G272" i="10" s="1"/>
  <c r="E353" i="10"/>
  <c r="G353" i="10" s="1"/>
  <c r="E125" i="10"/>
  <c r="G125" i="10" s="1"/>
  <c r="E399" i="10"/>
  <c r="G399" i="10" s="1"/>
  <c r="E445" i="10"/>
  <c r="G445" i="10" s="1"/>
  <c r="E270" i="10"/>
  <c r="G270" i="10" s="1"/>
  <c r="E374" i="10"/>
  <c r="G374" i="10" s="1"/>
  <c r="E474" i="10"/>
  <c r="G474" i="10" s="1"/>
  <c r="E405" i="10"/>
  <c r="G405" i="10" s="1"/>
  <c r="E437" i="10"/>
  <c r="G437" i="10" s="1"/>
  <c r="E195" i="10"/>
  <c r="G195" i="10" s="1"/>
  <c r="E345" i="10"/>
  <c r="G345" i="10" s="1"/>
  <c r="E196" i="10"/>
  <c r="G196" i="10" s="1"/>
  <c r="E428" i="10"/>
  <c r="G428" i="10" s="1"/>
  <c r="E340" i="10"/>
  <c r="G340" i="10" s="1"/>
  <c r="E336" i="10"/>
  <c r="G336" i="10" s="1"/>
  <c r="E429" i="10"/>
  <c r="G429" i="10" s="1"/>
  <c r="E82" i="10"/>
  <c r="G82" i="10" s="1"/>
  <c r="E328" i="10"/>
  <c r="G328" i="10" s="1"/>
  <c r="E275" i="10"/>
  <c r="G275" i="10" s="1"/>
  <c r="E455" i="10"/>
  <c r="G455" i="10" s="1"/>
  <c r="E418" i="10"/>
  <c r="G418" i="10" s="1"/>
  <c r="E257" i="10"/>
  <c r="G257" i="10" s="1"/>
  <c r="E244" i="10"/>
  <c r="G244" i="10" s="1"/>
  <c r="E143" i="10"/>
  <c r="G143" i="10" s="1"/>
  <c r="E454" i="10"/>
  <c r="G454" i="10" s="1"/>
  <c r="E282" i="10"/>
  <c r="G282" i="10" s="1"/>
  <c r="E139" i="10"/>
  <c r="G139" i="10" s="1"/>
  <c r="E71" i="10"/>
  <c r="G71" i="10" s="1"/>
  <c r="E135" i="10"/>
  <c r="G135" i="10" s="1"/>
  <c r="E339" i="10"/>
  <c r="G339" i="10" s="1"/>
  <c r="E337" i="10"/>
  <c r="G337" i="10" s="1"/>
  <c r="E69" i="10"/>
  <c r="G69" i="10" s="1"/>
  <c r="E362" i="10"/>
  <c r="G362" i="10" s="1"/>
  <c r="E423" i="10"/>
  <c r="G423" i="10" s="1"/>
  <c r="E457" i="10"/>
  <c r="G457" i="10" s="1"/>
  <c r="E321" i="10"/>
  <c r="G321" i="10" s="1"/>
  <c r="E410" i="10"/>
  <c r="G410" i="10" s="1"/>
  <c r="E421" i="10"/>
  <c r="G421" i="10" s="1"/>
  <c r="E392" i="10"/>
  <c r="G392" i="10" s="1"/>
  <c r="E379" i="10"/>
  <c r="G379" i="10" s="1"/>
  <c r="E359" i="10"/>
  <c r="G359" i="10" s="1"/>
  <c r="E413" i="10"/>
  <c r="G413" i="10" s="1"/>
  <c r="E492" i="10"/>
  <c r="G492" i="10" s="1"/>
  <c r="E351" i="10"/>
  <c r="G351" i="10" s="1"/>
  <c r="E478" i="10"/>
  <c r="G478" i="10" s="1"/>
  <c r="E320" i="10"/>
  <c r="G320" i="10" s="1"/>
  <c r="E226" i="10"/>
  <c r="G226" i="10" s="1"/>
  <c r="E461" i="10"/>
  <c r="G461" i="10" s="1"/>
  <c r="E235" i="10"/>
  <c r="G235" i="10" s="1"/>
  <c r="E243" i="10"/>
  <c r="G243" i="10" s="1"/>
  <c r="E395" i="10"/>
  <c r="G395" i="10" s="1"/>
  <c r="E406" i="10"/>
  <c r="G406" i="10" s="1"/>
  <c r="E153" i="10"/>
  <c r="G153" i="10" s="1"/>
  <c r="E224" i="10"/>
  <c r="G224" i="10" s="1"/>
  <c r="E264" i="10"/>
  <c r="G264" i="10" s="1"/>
  <c r="E470" i="10"/>
  <c r="G470" i="10" s="1"/>
  <c r="E78" i="10"/>
  <c r="G78" i="10" s="1"/>
  <c r="E338" i="10"/>
  <c r="G338" i="10" s="1"/>
  <c r="E382" i="10"/>
  <c r="G382" i="10" s="1"/>
  <c r="E262" i="10"/>
  <c r="G262" i="10" s="1"/>
  <c r="E368" i="10"/>
  <c r="G368" i="10" s="1"/>
  <c r="E424" i="10"/>
  <c r="G424" i="10" s="1"/>
  <c r="E115" i="10"/>
  <c r="G115" i="10" s="1"/>
  <c r="E367" i="10"/>
  <c r="G367" i="10" s="1"/>
  <c r="E294" i="10"/>
  <c r="G294" i="10" s="1"/>
  <c r="E450" i="10"/>
  <c r="G450" i="10" s="1"/>
  <c r="E268" i="10"/>
  <c r="G268" i="10" s="1"/>
  <c r="E438" i="10"/>
  <c r="G438" i="10" s="1"/>
  <c r="E446" i="10"/>
  <c r="G446" i="10" s="1"/>
  <c r="E485" i="10"/>
  <c r="G485" i="10" s="1"/>
  <c r="E305" i="10"/>
  <c r="G305" i="10" s="1"/>
  <c r="E41" i="10"/>
  <c r="G41" i="10" s="1"/>
  <c r="E435" i="10"/>
  <c r="G435" i="10" s="1"/>
  <c r="E439" i="10"/>
  <c r="G439" i="10" s="1"/>
  <c r="E197" i="10"/>
  <c r="G197" i="10" s="1"/>
  <c r="E141" i="10"/>
  <c r="G141" i="10" s="1"/>
  <c r="E236" i="10"/>
  <c r="G236" i="10" s="1"/>
  <c r="E400" i="10"/>
  <c r="G400" i="10" s="1"/>
  <c r="E404" i="10"/>
  <c r="G404" i="10" s="1"/>
  <c r="E291" i="10"/>
  <c r="G291" i="10" s="1"/>
  <c r="E458" i="10"/>
  <c r="G458" i="10" s="1"/>
  <c r="E344" i="10"/>
  <c r="G344" i="10" s="1"/>
  <c r="E386" i="10"/>
  <c r="G386" i="10" s="1"/>
  <c r="E74" i="10"/>
  <c r="G74" i="10" s="1"/>
  <c r="E380" i="10"/>
  <c r="G380" i="10" s="1"/>
  <c r="E75" i="10"/>
  <c r="G75" i="10" s="1"/>
  <c r="E276" i="10"/>
  <c r="G276" i="10" s="1"/>
  <c r="E358" i="10"/>
  <c r="G358" i="10" s="1"/>
  <c r="E219" i="10"/>
  <c r="G219" i="10" s="1"/>
  <c r="E110" i="10"/>
  <c r="G110" i="10" s="1"/>
  <c r="E325" i="10"/>
  <c r="G325" i="10" s="1"/>
  <c r="E354" i="10"/>
  <c r="G354" i="10" s="1"/>
  <c r="E414" i="10"/>
  <c r="G414" i="10" s="1"/>
  <c r="E473" i="10"/>
  <c r="G473" i="10" s="1"/>
  <c r="E391" i="10"/>
  <c r="G391" i="10" s="1"/>
  <c r="E459" i="10"/>
  <c r="G459" i="10" s="1"/>
  <c r="E259" i="10"/>
  <c r="G259" i="10" s="1"/>
  <c r="E255" i="10"/>
  <c r="G255" i="10" s="1"/>
  <c r="E451" i="10"/>
  <c r="G451" i="10" s="1"/>
  <c r="E231" i="10"/>
  <c r="G231" i="10" s="1"/>
  <c r="E97" i="10"/>
  <c r="G97" i="10" s="1"/>
  <c r="E239" i="10"/>
  <c r="G239" i="10" s="1"/>
  <c r="E256" i="10"/>
  <c r="G256" i="10" s="1"/>
  <c r="E168" i="10"/>
  <c r="G168" i="10" s="1"/>
  <c r="E77" i="10"/>
  <c r="G77" i="10" s="1"/>
  <c r="E217" i="10"/>
  <c r="G217" i="10" s="1"/>
  <c r="E265" i="10"/>
  <c r="G265" i="10" s="1"/>
  <c r="E225" i="10"/>
  <c r="G225" i="10" s="1"/>
  <c r="E100" i="10"/>
  <c r="G100" i="10" s="1"/>
  <c r="E319" i="10"/>
  <c r="G319" i="10" s="1"/>
  <c r="E390" i="10"/>
  <c r="G390" i="10" s="1"/>
  <c r="E234" i="10"/>
  <c r="G234" i="10" s="1"/>
  <c r="E322" i="10"/>
  <c r="G322" i="10" s="1"/>
  <c r="E140" i="10"/>
  <c r="G140" i="10" s="1"/>
  <c r="E503" i="10"/>
  <c r="G503" i="10" s="1"/>
  <c r="E130" i="10"/>
  <c r="G130" i="10" s="1"/>
  <c r="E126" i="10"/>
  <c r="G126" i="10" s="1"/>
  <c r="E307" i="10"/>
  <c r="G307" i="10" s="1"/>
  <c r="E389" i="10"/>
  <c r="G389" i="10" s="1"/>
  <c r="E156" i="10"/>
  <c r="G156" i="10" s="1"/>
  <c r="E127" i="10"/>
  <c r="G127" i="10" s="1"/>
  <c r="E142" i="10"/>
  <c r="G142" i="10" s="1"/>
  <c r="E277" i="10"/>
  <c r="G277" i="10" s="1"/>
  <c r="E331" i="10"/>
  <c r="G331" i="10" s="1"/>
  <c r="E422" i="10"/>
  <c r="G422" i="10" s="1"/>
  <c r="E289" i="10"/>
  <c r="G289" i="10" s="1"/>
  <c r="E308" i="10"/>
  <c r="G308" i="10" s="1"/>
  <c r="E198" i="10"/>
  <c r="G198" i="10" s="1"/>
  <c r="E151" i="10"/>
  <c r="G151" i="10" s="1"/>
  <c r="E420" i="10"/>
  <c r="G420" i="10" s="1"/>
  <c r="E148" i="10"/>
  <c r="G148" i="10" s="1"/>
  <c r="E288" i="10"/>
  <c r="G288" i="10" s="1"/>
  <c r="E158" i="10"/>
  <c r="G158" i="10" s="1"/>
  <c r="E284" i="10"/>
  <c r="G284" i="10" s="1"/>
  <c r="E52" i="10"/>
  <c r="G52" i="10" s="1"/>
  <c r="E479" i="10"/>
  <c r="G479" i="10" s="1"/>
  <c r="E218" i="10"/>
  <c r="G218" i="10" s="1"/>
  <c r="E230" i="10"/>
  <c r="G230" i="10" s="1"/>
  <c r="E138" i="10"/>
  <c r="G138" i="10" s="1"/>
  <c r="E166" i="10"/>
  <c r="G166" i="10" s="1"/>
  <c r="E315" i="10"/>
  <c r="G315" i="10" s="1"/>
  <c r="E419" i="10"/>
  <c r="G419" i="10" s="1"/>
  <c r="E251" i="10"/>
  <c r="G251" i="10" s="1"/>
  <c r="E83" i="10"/>
  <c r="G83" i="10" s="1"/>
  <c r="E199" i="10"/>
  <c r="G199" i="10" s="1"/>
  <c r="E216" i="10"/>
  <c r="E227" i="10"/>
  <c r="G227" i="10" s="1"/>
  <c r="E200" i="10"/>
  <c r="G200" i="10" s="1"/>
  <c r="E426" i="10"/>
  <c r="G426" i="10" s="1"/>
  <c r="E292" i="10"/>
  <c r="G292" i="10" s="1"/>
  <c r="E442" i="10"/>
  <c r="G442" i="10" s="1"/>
  <c r="E285" i="10"/>
  <c r="G285" i="10" s="1"/>
  <c r="E33" i="10"/>
  <c r="G33" i="10" s="1"/>
  <c r="E467" i="10"/>
  <c r="G467" i="10" s="1"/>
  <c r="E213" i="10"/>
  <c r="G213" i="10" s="1"/>
  <c r="E361" i="10"/>
  <c r="G361" i="10" s="1"/>
  <c r="E21" i="10"/>
  <c r="G21" i="10" s="1"/>
  <c r="E245" i="10"/>
  <c r="G245" i="10" s="1"/>
  <c r="E431" i="10"/>
  <c r="G431" i="10" s="1"/>
  <c r="E260" i="10"/>
  <c r="G260" i="10" s="1"/>
  <c r="E293" i="10"/>
  <c r="G293" i="10" s="1"/>
  <c r="E273" i="10"/>
  <c r="G273" i="10" s="1"/>
  <c r="E304" i="10"/>
  <c r="G304" i="10" s="1"/>
  <c r="E72" i="10"/>
  <c r="G72" i="10" s="1"/>
  <c r="E201" i="10"/>
  <c r="G201" i="10" s="1"/>
  <c r="E411" i="10"/>
  <c r="G411" i="10" s="1"/>
  <c r="E448" i="10"/>
  <c r="G448" i="10" s="1"/>
  <c r="E131" i="10"/>
  <c r="G131" i="10" s="1"/>
  <c r="E462" i="10"/>
  <c r="G462" i="10" s="1"/>
  <c r="E60" i="10"/>
  <c r="G60" i="10" s="1"/>
  <c r="E306" i="10"/>
  <c r="G306" i="10" s="1"/>
  <c r="E8" i="10"/>
  <c r="G8" i="10" s="1"/>
  <c r="E24" i="10"/>
  <c r="G24" i="10" s="1"/>
  <c r="E475" i="10"/>
  <c r="G475" i="10" s="1"/>
  <c r="E68" i="10"/>
  <c r="G68" i="10" s="1"/>
  <c r="E396" i="10"/>
  <c r="G396" i="10" s="1"/>
  <c r="E109" i="10"/>
  <c r="G109" i="10" s="1"/>
  <c r="E352" i="10"/>
  <c r="G352" i="10" s="1"/>
  <c r="E246" i="10"/>
  <c r="G246" i="10" s="1"/>
  <c r="E441" i="10"/>
  <c r="G441" i="10" s="1"/>
  <c r="E40" i="10"/>
  <c r="G40" i="10" s="1"/>
  <c r="E137" i="10"/>
  <c r="G137" i="10" s="1"/>
  <c r="E202" i="10"/>
  <c r="G202" i="10" s="1"/>
  <c r="E384" i="10"/>
  <c r="G384" i="10" s="1"/>
  <c r="E128" i="10"/>
  <c r="G128" i="10" s="1"/>
  <c r="E253" i="10"/>
  <c r="G253" i="10" s="1"/>
  <c r="E117" i="10"/>
  <c r="G117" i="10" s="1"/>
  <c r="E17" i="10"/>
  <c r="G17" i="10" s="1"/>
  <c r="E229" i="10"/>
  <c r="G229" i="10" s="1"/>
  <c r="E121" i="10"/>
  <c r="G121" i="10" s="1"/>
  <c r="E157" i="10"/>
  <c r="G157" i="10" s="1"/>
  <c r="E252" i="10"/>
  <c r="G252" i="10" s="1"/>
  <c r="E222" i="10"/>
  <c r="G222" i="10" s="1"/>
  <c r="E505" i="10"/>
  <c r="G505" i="10" s="1"/>
  <c r="E25" i="10"/>
  <c r="G25" i="10" s="1"/>
  <c r="E136" i="10"/>
  <c r="G136" i="10" s="1"/>
  <c r="E366" i="10"/>
  <c r="G366" i="10" s="1"/>
  <c r="E430" i="10"/>
  <c r="G430" i="10" s="1"/>
  <c r="E313" i="10"/>
  <c r="G313" i="10" s="1"/>
  <c r="E247" i="10"/>
  <c r="G247" i="10" s="1"/>
  <c r="E381" i="10"/>
  <c r="G381" i="10" s="1"/>
  <c r="E34" i="10"/>
  <c r="G34" i="10" s="1"/>
  <c r="E15" i="10"/>
  <c r="G15" i="10" s="1"/>
  <c r="E62" i="10"/>
  <c r="G62" i="10" s="1"/>
  <c r="E486" i="10"/>
  <c r="G486" i="10" s="1"/>
  <c r="E394" i="10"/>
  <c r="G394" i="10" s="1"/>
  <c r="E203" i="10"/>
  <c r="G203" i="10" s="1"/>
  <c r="E335" i="10"/>
  <c r="G335" i="10" s="1"/>
  <c r="E164" i="10"/>
  <c r="G164" i="10" s="1"/>
  <c r="E132" i="10"/>
  <c r="G132" i="10" s="1"/>
  <c r="E495" i="10"/>
  <c r="G495" i="10" s="1"/>
  <c r="E370" i="10"/>
  <c r="G370" i="10" s="1"/>
  <c r="E298" i="10"/>
  <c r="G298" i="10" s="1"/>
  <c r="E228" i="10"/>
  <c r="G228" i="10" s="1"/>
  <c r="E408" i="10"/>
  <c r="G408" i="10" s="1"/>
  <c r="E57" i="10"/>
  <c r="G57" i="10" s="1"/>
  <c r="E242" i="10"/>
  <c r="G242" i="10" s="1"/>
  <c r="E44" i="10"/>
  <c r="G44" i="10" s="1"/>
  <c r="E280" i="10"/>
  <c r="G280" i="10" s="1"/>
  <c r="E204" i="10"/>
  <c r="G204" i="10" s="1"/>
  <c r="E205" i="10"/>
  <c r="G205" i="10" s="1"/>
  <c r="E263" i="10"/>
  <c r="G263" i="10" s="1"/>
  <c r="E210" i="10"/>
  <c r="G210" i="10" s="1"/>
  <c r="G356" i="10"/>
  <c r="G274" i="10"/>
  <c r="G240" i="10"/>
  <c r="G402" i="10"/>
  <c r="G397" i="10"/>
  <c r="G385" i="10"/>
  <c r="G216" i="10"/>
  <c r="V172" i="10"/>
  <c r="V497" i="10"/>
  <c r="V107" i="10"/>
  <c r="V488" i="10"/>
  <c r="V489" i="10"/>
  <c r="F489" i="10" s="1"/>
  <c r="V7" i="10"/>
  <c r="F7" i="10" s="1"/>
  <c r="V91" i="10"/>
  <c r="V92" i="10"/>
  <c r="V249" i="10"/>
  <c r="V3" i="10"/>
  <c r="V465" i="10"/>
  <c r="V463" i="10"/>
  <c r="V173" i="10"/>
  <c r="V432" i="10"/>
  <c r="V63" i="10"/>
  <c r="F63" i="10" s="1"/>
  <c r="V314" i="10"/>
  <c r="V174" i="10"/>
  <c r="V53" i="10"/>
  <c r="V355" i="10"/>
  <c r="F355" i="10" s="1"/>
  <c r="V42" i="10"/>
  <c r="F42" i="10" s="1"/>
  <c r="V2" i="10"/>
  <c r="V37" i="10"/>
  <c r="V220" i="10"/>
  <c r="V278" i="10"/>
  <c r="V271" i="10"/>
  <c r="V18" i="10"/>
  <c r="V64" i="10"/>
  <c r="V499" i="10"/>
  <c r="V94" i="10"/>
  <c r="V468" i="10"/>
  <c r="V295" i="10"/>
  <c r="V175" i="10"/>
  <c r="V19" i="10"/>
  <c r="V206" i="10"/>
  <c r="V149" i="10"/>
  <c r="F149" i="10" s="1"/>
  <c r="V10" i="10"/>
  <c r="F10" i="10" s="1"/>
  <c r="V134" i="10"/>
  <c r="F134" i="10" s="1"/>
  <c r="V176" i="10"/>
  <c r="F176" i="10" s="1"/>
  <c r="V177" i="10"/>
  <c r="V38" i="10"/>
  <c r="V45" i="10"/>
  <c r="V23" i="10"/>
  <c r="V59" i="10"/>
  <c r="V507" i="10"/>
  <c r="V301" i="10"/>
  <c r="V46" i="10"/>
  <c r="V154" i="10"/>
  <c r="V129" i="10"/>
  <c r="V356" i="10"/>
  <c r="V330" i="10"/>
  <c r="V274" i="10"/>
  <c r="V116" i="10"/>
  <c r="V215" i="10"/>
  <c r="V303" i="10"/>
  <c r="V101" i="10"/>
  <c r="V55" i="10"/>
  <c r="V494" i="10"/>
  <c r="V28" i="10"/>
  <c r="V387" i="10"/>
  <c r="V388" i="10"/>
  <c r="V501" i="10"/>
  <c r="V317" i="10"/>
  <c r="V61" i="10"/>
  <c r="V269" i="10"/>
  <c r="V133" i="10"/>
  <c r="V178" i="10"/>
  <c r="V472" i="10"/>
  <c r="V47" i="10"/>
  <c r="V43" i="10"/>
  <c r="V453" i="10"/>
  <c r="V120" i="10"/>
  <c r="V88" i="10"/>
  <c r="V444" i="10"/>
  <c r="V179" i="10"/>
  <c r="V407" i="10"/>
  <c r="F407" i="10" s="1"/>
  <c r="V334" i="10"/>
  <c r="F334" i="10" s="1"/>
  <c r="V70" i="10"/>
  <c r="F70" i="10" s="1"/>
  <c r="V144" i="10"/>
  <c r="F144" i="10" s="1"/>
  <c r="V65" i="10"/>
  <c r="F65" i="10" s="1"/>
  <c r="V332" i="10"/>
  <c r="V29" i="10"/>
  <c r="V299" i="10"/>
  <c r="V93" i="10"/>
  <c r="V233" i="10"/>
  <c r="V159" i="10"/>
  <c r="V99" i="10"/>
  <c r="V76" i="10"/>
  <c r="V383" i="10"/>
  <c r="V506" i="10"/>
  <c r="V302" i="10"/>
  <c r="V31" i="10"/>
  <c r="V50" i="10"/>
  <c r="V480" i="10"/>
  <c r="F480" i="10" s="1"/>
  <c r="V481" i="10"/>
  <c r="V118" i="10"/>
  <c r="V300" i="10"/>
  <c r="V214" i="10"/>
  <c r="V167" i="10"/>
  <c r="V32" i="10"/>
  <c r="V163" i="10"/>
  <c r="F163" i="10" s="1"/>
  <c r="V447" i="10"/>
  <c r="F447" i="10" s="1"/>
  <c r="V281" i="10"/>
  <c r="F281" i="10" s="1"/>
  <c r="V491" i="10"/>
  <c r="F491" i="10" s="1"/>
  <c r="V170" i="10"/>
  <c r="V145" i="10"/>
  <c r="V327" i="10"/>
  <c r="V267" i="10"/>
  <c r="F267" i="10" s="1"/>
  <c r="V415" i="10"/>
  <c r="V113" i="10"/>
  <c r="V508" i="10"/>
  <c r="V84" i="10"/>
  <c r="V207" i="10"/>
  <c r="V102" i="10"/>
  <c r="V152" i="10"/>
  <c r="V212" i="10"/>
  <c r="V290" i="10"/>
  <c r="V30" i="10"/>
  <c r="V108" i="10"/>
  <c r="F108" i="10" s="1"/>
  <c r="V11" i="10"/>
  <c r="F11" i="10" s="1"/>
  <c r="V504" i="10"/>
  <c r="V171" i="10"/>
  <c r="V80" i="10"/>
  <c r="V48" i="10"/>
  <c r="F48" i="10" s="1"/>
  <c r="V510" i="10"/>
  <c r="F510" i="10" s="1"/>
  <c r="V318" i="10"/>
  <c r="F318" i="10" s="1"/>
  <c r="V398" i="10"/>
  <c r="F398" i="10" s="1"/>
  <c r="V343" i="10"/>
  <c r="V123" i="10"/>
  <c r="V12" i="10"/>
  <c r="V369" i="10"/>
  <c r="V310" i="10"/>
  <c r="V58" i="10"/>
  <c r="V26" i="10"/>
  <c r="V103" i="10"/>
  <c r="V484" i="10"/>
  <c r="V496" i="10"/>
  <c r="V502" i="10"/>
  <c r="V81" i="10"/>
  <c r="V221" i="10"/>
  <c r="V477" i="10"/>
  <c r="V360" i="10"/>
  <c r="V39" i="10"/>
  <c r="V122" i="10"/>
  <c r="V349" i="10"/>
  <c r="V146" i="10"/>
  <c r="V498" i="10"/>
  <c r="V232" i="10"/>
  <c r="V372" i="10"/>
  <c r="V258" i="10"/>
  <c r="V511" i="10"/>
  <c r="V49" i="10"/>
  <c r="F49" i="10" s="1"/>
  <c r="V111" i="10"/>
  <c r="V393" i="10"/>
  <c r="V373" i="10"/>
  <c r="V466" i="10"/>
  <c r="F466" i="10" s="1"/>
  <c r="V482" i="10"/>
  <c r="F482" i="10" s="1"/>
  <c r="V180" i="10"/>
  <c r="F180" i="10" s="1"/>
  <c r="V13" i="10"/>
  <c r="F13" i="10" s="1"/>
  <c r="V181" i="10"/>
  <c r="F181" i="10" s="1"/>
  <c r="V182" i="10"/>
  <c r="F182" i="10" s="1"/>
  <c r="V248" i="10"/>
  <c r="F248" i="10" s="1"/>
  <c r="V183" i="10"/>
  <c r="V66" i="10"/>
  <c r="V35" i="10"/>
  <c r="V346" i="10"/>
  <c r="V309" i="10"/>
  <c r="V296" i="10"/>
  <c r="V416" i="10"/>
  <c r="F416" i="10" s="1"/>
  <c r="V112" i="10"/>
  <c r="F112" i="10" s="1"/>
  <c r="V95" i="10"/>
  <c r="V312" i="10"/>
  <c r="V211" i="10"/>
  <c r="V27" i="10"/>
  <c r="V184" i="10"/>
  <c r="V9" i="10"/>
  <c r="V85" i="10"/>
  <c r="F85" i="10" s="1"/>
  <c r="V283" i="10"/>
  <c r="V417" i="10"/>
  <c r="V14" i="10"/>
  <c r="V162" i="10"/>
  <c r="V160" i="10"/>
  <c r="V96" i="10"/>
  <c r="V185" i="10"/>
  <c r="F185" i="10" s="1"/>
  <c r="V20" i="10"/>
  <c r="V186" i="10"/>
  <c r="V155" i="10"/>
  <c r="V187" i="10"/>
  <c r="V119" i="10"/>
  <c r="V169" i="10"/>
  <c r="V509" i="10"/>
  <c r="F509" i="10" s="1"/>
  <c r="V161" i="10"/>
  <c r="V341" i="10"/>
  <c r="V106" i="10"/>
  <c r="V208" i="10"/>
  <c r="V36" i="10"/>
  <c r="V104" i="10"/>
  <c r="V79" i="10"/>
  <c r="V98" i="10"/>
  <c r="F98" i="10" s="1"/>
  <c r="V347" i="10"/>
  <c r="F347" i="10" s="1"/>
  <c r="V209" i="10"/>
  <c r="V5" i="10"/>
  <c r="V250" i="10"/>
  <c r="F250" i="10" s="1"/>
  <c r="V434" i="10"/>
  <c r="F434" i="10" s="1"/>
  <c r="V89" i="10"/>
  <c r="V22" i="10"/>
  <c r="V150" i="10"/>
  <c r="V147" i="10"/>
  <c r="V86" i="10"/>
  <c r="V433" i="10"/>
  <c r="V223" i="10"/>
  <c r="V188" i="10"/>
  <c r="V124" i="10"/>
  <c r="V237" i="10"/>
  <c r="V261" i="10"/>
  <c r="V487" i="10"/>
  <c r="V471" i="10"/>
  <c r="V316" i="10"/>
  <c r="V476" i="10"/>
  <c r="V73" i="10"/>
  <c r="V241" i="10"/>
  <c r="V90" i="10"/>
  <c r="V189" i="10"/>
  <c r="V67" i="10"/>
  <c r="V333" i="10"/>
  <c r="V240" i="10"/>
  <c r="V402" i="10"/>
  <c r="V443" i="10"/>
  <c r="V412" i="10"/>
  <c r="V357" i="10"/>
  <c r="V114" i="10"/>
  <c r="F114" i="10" s="1"/>
  <c r="V490" i="10"/>
  <c r="F490" i="10" s="1"/>
  <c r="V440" i="10"/>
  <c r="F440" i="10" s="1"/>
  <c r="V377" i="10"/>
  <c r="F377" i="10" s="1"/>
  <c r="V279" i="10"/>
  <c r="F279" i="10" s="1"/>
  <c r="V348" i="10"/>
  <c r="F348" i="10" s="1"/>
  <c r="V190" i="10"/>
  <c r="F190" i="10" s="1"/>
  <c r="V6" i="10"/>
  <c r="V16" i="10"/>
  <c r="V378" i="10"/>
  <c r="V401" i="10"/>
  <c r="V4" i="10"/>
  <c r="V326" i="10"/>
  <c r="V191" i="10"/>
  <c r="V363" i="10"/>
  <c r="V375" i="10"/>
  <c r="V254" i="10"/>
  <c r="F254" i="10" s="1"/>
  <c r="V192" i="10"/>
  <c r="F192" i="10" s="1"/>
  <c r="V238" i="10"/>
  <c r="V165" i="10"/>
  <c r="V469" i="10"/>
  <c r="F469" i="10" s="1"/>
  <c r="V105" i="10"/>
  <c r="F105" i="10" s="1"/>
  <c r="V500" i="10"/>
  <c r="V193" i="10"/>
  <c r="V452" i="10"/>
  <c r="V329" i="10"/>
  <c r="V297" i="10"/>
  <c r="V342" i="10"/>
  <c r="V409" i="10"/>
  <c r="V460" i="10"/>
  <c r="V403" i="10"/>
  <c r="V397" i="10"/>
  <c r="V350" i="10"/>
  <c r="F350" i="10" s="1"/>
  <c r="V425" i="10"/>
  <c r="V364" i="10"/>
  <c r="V56" i="10"/>
  <c r="V54" i="10"/>
  <c r="V51" i="10"/>
  <c r="V323" i="10"/>
  <c r="V286" i="10"/>
  <c r="V464" i="10"/>
  <c r="V87" i="10"/>
  <c r="V427" i="10"/>
  <c r="V385" i="10"/>
  <c r="V493" i="10"/>
  <c r="V365" i="10"/>
  <c r="V266" i="10"/>
  <c r="V449" i="10"/>
  <c r="V376" i="10"/>
  <c r="V324" i="10"/>
  <c r="V194" i="10"/>
  <c r="V456" i="10"/>
  <c r="V287" i="10"/>
  <c r="F287" i="10" s="1"/>
  <c r="V436" i="10"/>
  <c r="F436" i="10" s="1"/>
  <c r="V311" i="10"/>
  <c r="F311" i="10" s="1"/>
  <c r="V371" i="10"/>
  <c r="V483" i="10"/>
  <c r="V272" i="10"/>
  <c r="V353" i="10"/>
  <c r="V125" i="10"/>
  <c r="V399" i="10"/>
  <c r="V445" i="10"/>
  <c r="V270" i="10"/>
  <c r="V374" i="10"/>
  <c r="V474" i="10"/>
  <c r="V405" i="10"/>
  <c r="V437" i="10"/>
  <c r="V195" i="10"/>
  <c r="V345" i="10"/>
  <c r="V196" i="10"/>
  <c r="V428" i="10"/>
  <c r="V340" i="10"/>
  <c r="V336" i="10"/>
  <c r="F336" i="10" s="1"/>
  <c r="V429" i="10"/>
  <c r="F429" i="10" s="1"/>
  <c r="V82" i="10"/>
  <c r="F82" i="10" s="1"/>
  <c r="V328" i="10"/>
  <c r="V275" i="10"/>
  <c r="V455" i="10"/>
  <c r="V418" i="10"/>
  <c r="V257" i="10"/>
  <c r="V244" i="10"/>
  <c r="V143" i="10"/>
  <c r="V454" i="10"/>
  <c r="V282" i="10"/>
  <c r="V139" i="10"/>
  <c r="V71" i="10"/>
  <c r="V135" i="10"/>
  <c r="V339" i="10"/>
  <c r="V337" i="10"/>
  <c r="V69" i="10"/>
  <c r="V362" i="10"/>
  <c r="V423" i="10"/>
  <c r="V457" i="10"/>
  <c r="V321" i="10"/>
  <c r="V410" i="10"/>
  <c r="V421" i="10"/>
  <c r="V392" i="10"/>
  <c r="V379" i="10"/>
  <c r="V359" i="10"/>
  <c r="F359" i="10" s="1"/>
  <c r="V413" i="10"/>
  <c r="F413" i="10" s="1"/>
  <c r="V492" i="10"/>
  <c r="F492" i="10" s="1"/>
  <c r="V351" i="10"/>
  <c r="F351" i="10" s="1"/>
  <c r="V478" i="10"/>
  <c r="V320" i="10"/>
  <c r="V226" i="10"/>
  <c r="V461" i="10"/>
  <c r="V235" i="10"/>
  <c r="V243" i="10"/>
  <c r="V395" i="10"/>
  <c r="V406" i="10"/>
  <c r="V153" i="10"/>
  <c r="V224" i="10"/>
  <c r="V264" i="10"/>
  <c r="F264" i="10" s="1"/>
  <c r="V470" i="10"/>
  <c r="F470" i="10" s="1"/>
  <c r="V78" i="10"/>
  <c r="F78" i="10" s="1"/>
  <c r="V338" i="10"/>
  <c r="F338" i="10" s="1"/>
  <c r="V382" i="10"/>
  <c r="F382" i="10" s="1"/>
  <c r="V262" i="10"/>
  <c r="F262" i="10" s="1"/>
  <c r="V368" i="10"/>
  <c r="V424" i="10"/>
  <c r="V115" i="10"/>
  <c r="V367" i="10"/>
  <c r="V294" i="10"/>
  <c r="F294" i="10" s="1"/>
  <c r="V450" i="10"/>
  <c r="V268" i="10"/>
  <c r="V438" i="10"/>
  <c r="V446" i="10"/>
  <c r="V485" i="10"/>
  <c r="V305" i="10"/>
  <c r="V41" i="10"/>
  <c r="V435" i="10"/>
  <c r="V439" i="10"/>
  <c r="V197" i="10"/>
  <c r="V141" i="10"/>
  <c r="V236" i="10"/>
  <c r="V400" i="10"/>
  <c r="V404" i="10"/>
  <c r="V291" i="10"/>
  <c r="V458" i="10"/>
  <c r="V344" i="10"/>
  <c r="V386" i="10"/>
  <c r="V74" i="10"/>
  <c r="V380" i="10"/>
  <c r="V75" i="10"/>
  <c r="V276" i="10"/>
  <c r="F276" i="10" s="1"/>
  <c r="V358" i="10"/>
  <c r="F358" i="10" s="1"/>
  <c r="V219" i="10"/>
  <c r="F219" i="10" s="1"/>
  <c r="V110" i="10"/>
  <c r="V325" i="10"/>
  <c r="V354" i="10"/>
  <c r="V414" i="10"/>
  <c r="V473" i="10"/>
  <c r="V391" i="10"/>
  <c r="V459" i="10"/>
  <c r="V259" i="10"/>
  <c r="V255" i="10"/>
  <c r="V451" i="10"/>
  <c r="V231" i="10"/>
  <c r="V97" i="10"/>
  <c r="V239" i="10"/>
  <c r="V256" i="10"/>
  <c r="V168" i="10"/>
  <c r="V77" i="10"/>
  <c r="V217" i="10"/>
  <c r="V265" i="10"/>
  <c r="F265" i="10" s="1"/>
  <c r="V225" i="10"/>
  <c r="F225" i="10" s="1"/>
  <c r="V100" i="10"/>
  <c r="V319" i="10"/>
  <c r="V390" i="10"/>
  <c r="V234" i="10"/>
  <c r="V322" i="10"/>
  <c r="F322" i="10" s="1"/>
  <c r="V140" i="10"/>
  <c r="V503" i="10"/>
  <c r="V130" i="10"/>
  <c r="V126" i="10"/>
  <c r="V307" i="10"/>
  <c r="V389" i="10"/>
  <c r="F389" i="10" s="1"/>
  <c r="V156" i="10"/>
  <c r="F156" i="10" s="1"/>
  <c r="V127" i="10"/>
  <c r="F127" i="10" s="1"/>
  <c r="V142" i="10"/>
  <c r="F142" i="10" s="1"/>
  <c r="V277" i="10"/>
  <c r="F277" i="10" s="1"/>
  <c r="V331" i="10"/>
  <c r="F331" i="10" s="1"/>
  <c r="V422" i="10"/>
  <c r="V289" i="10"/>
  <c r="V308" i="10"/>
  <c r="V198" i="10"/>
  <c r="V151" i="10"/>
  <c r="V420" i="10"/>
  <c r="V148" i="10"/>
  <c r="V288" i="10"/>
  <c r="V158" i="10"/>
  <c r="V284" i="10"/>
  <c r="V52" i="10"/>
  <c r="V479" i="10"/>
  <c r="V218" i="10"/>
  <c r="V230" i="10"/>
  <c r="V138" i="10"/>
  <c r="V166" i="10"/>
  <c r="V315" i="10"/>
  <c r="V419" i="10"/>
  <c r="V251" i="10"/>
  <c r="V83" i="10"/>
  <c r="V199" i="10"/>
  <c r="V216" i="10"/>
  <c r="V227" i="10"/>
  <c r="V200" i="10"/>
  <c r="V426" i="10"/>
  <c r="V292" i="10"/>
  <c r="V442" i="10"/>
  <c r="F442" i="10" s="1"/>
  <c r="V285" i="10"/>
  <c r="F285" i="10" s="1"/>
  <c r="V33" i="10"/>
  <c r="F33" i="10" s="1"/>
  <c r="V467" i="10"/>
  <c r="F467" i="10" s="1"/>
  <c r="V213" i="10"/>
  <c r="F213" i="10" s="1"/>
  <c r="V361" i="10"/>
  <c r="F361" i="10" s="1"/>
  <c r="V21" i="10"/>
  <c r="V245" i="10"/>
  <c r="V431" i="10"/>
  <c r="V260" i="10"/>
  <c r="V293" i="10"/>
  <c r="V273" i="10"/>
  <c r="V304" i="10"/>
  <c r="F304" i="10" s="1"/>
  <c r="V72" i="10"/>
  <c r="V201" i="10"/>
  <c r="V411" i="10"/>
  <c r="V448" i="10"/>
  <c r="V131" i="10"/>
  <c r="V462" i="10"/>
  <c r="V60" i="10"/>
  <c r="F60" i="10" s="1"/>
  <c r="V306" i="10"/>
  <c r="F306" i="10" s="1"/>
  <c r="V8" i="10"/>
  <c r="F8" i="10" s="1"/>
  <c r="V24" i="10"/>
  <c r="V475" i="10"/>
  <c r="V68" i="10"/>
  <c r="V396" i="10"/>
  <c r="V109" i="10"/>
  <c r="V352" i="10"/>
  <c r="V246" i="10"/>
  <c r="V441" i="10"/>
  <c r="V40" i="10"/>
  <c r="V137" i="10"/>
  <c r="V202" i="10"/>
  <c r="F202" i="10" s="1"/>
  <c r="V384" i="10"/>
  <c r="F384" i="10" s="1"/>
  <c r="V128" i="10"/>
  <c r="F128" i="10" s="1"/>
  <c r="V253" i="10"/>
  <c r="F253" i="10" s="1"/>
  <c r="V117" i="10"/>
  <c r="F117" i="10" s="1"/>
  <c r="V17" i="10"/>
  <c r="F17" i="10" s="1"/>
  <c r="V229" i="10"/>
  <c r="V121" i="10"/>
  <c r="V157" i="10"/>
  <c r="V252" i="10"/>
  <c r="V222" i="10"/>
  <c r="V505" i="10"/>
  <c r="V25" i="10"/>
  <c r="V136" i="10"/>
  <c r="V366" i="10"/>
  <c r="V430" i="10"/>
  <c r="V313" i="10"/>
  <c r="V247" i="10"/>
  <c r="V381" i="10"/>
  <c r="V34" i="10"/>
  <c r="V15" i="10"/>
  <c r="V62" i="10"/>
  <c r="F62" i="10" s="1"/>
  <c r="V486" i="10"/>
  <c r="V394" i="10"/>
  <c r="V203" i="10"/>
  <c r="V335" i="10"/>
  <c r="V164" i="10"/>
  <c r="V132" i="10"/>
  <c r="F132" i="10" s="1"/>
  <c r="V495" i="10"/>
  <c r="F495" i="10" s="1"/>
  <c r="V370" i="10"/>
  <c r="F370" i="10" s="1"/>
  <c r="V298" i="10"/>
  <c r="F298" i="10" s="1"/>
  <c r="V228" i="10"/>
  <c r="F228" i="10" s="1"/>
  <c r="V408" i="10"/>
  <c r="F408" i="10" s="1"/>
  <c r="V57" i="10"/>
  <c r="F57" i="10" s="1"/>
  <c r="V242" i="10"/>
  <c r="V44" i="10"/>
  <c r="F44" i="10" s="1"/>
  <c r="V280" i="10"/>
  <c r="F280" i="10" s="1"/>
  <c r="V204" i="10"/>
  <c r="V205" i="10"/>
  <c r="V263" i="10"/>
  <c r="V210" i="10"/>
  <c r="AB172" i="10"/>
  <c r="AB497" i="10"/>
  <c r="AB107" i="10"/>
  <c r="AB488" i="10"/>
  <c r="AB7" i="10"/>
  <c r="AB91" i="10"/>
  <c r="AB92" i="10"/>
  <c r="AB3" i="10"/>
  <c r="AB465" i="10"/>
  <c r="AB432" i="10"/>
  <c r="AB63" i="10"/>
  <c r="AB314" i="10"/>
  <c r="AB174" i="10"/>
  <c r="AB42" i="10"/>
  <c r="AB2" i="10"/>
  <c r="AB37" i="10"/>
  <c r="AB278" i="10"/>
  <c r="AB271" i="10"/>
  <c r="AB18" i="10"/>
  <c r="AB64" i="10"/>
  <c r="AB468" i="10"/>
  <c r="AB295" i="10"/>
  <c r="AB175" i="10"/>
  <c r="AB19" i="10"/>
  <c r="AB206" i="10"/>
  <c r="AB149" i="10"/>
  <c r="AB10" i="10"/>
  <c r="AB176" i="10"/>
  <c r="AB177" i="10"/>
  <c r="AB38" i="10"/>
  <c r="AB45" i="10"/>
  <c r="AB23" i="10"/>
  <c r="AB59" i="10"/>
  <c r="AB507" i="10"/>
  <c r="AB301" i="10"/>
  <c r="AB46" i="10"/>
  <c r="AB154" i="10"/>
  <c r="AB356" i="10"/>
  <c r="AB330" i="10"/>
  <c r="AB274" i="10"/>
  <c r="AB116" i="10"/>
  <c r="AB215" i="10"/>
  <c r="AB303" i="10"/>
  <c r="AB101" i="10"/>
  <c r="AB55" i="10"/>
  <c r="AB494" i="10"/>
  <c r="AB28" i="10"/>
  <c r="AB387" i="10"/>
  <c r="AB388" i="10"/>
  <c r="AB501" i="10"/>
  <c r="AB269" i="10"/>
  <c r="AB133" i="10"/>
  <c r="AB178" i="10"/>
  <c r="AB472" i="10"/>
  <c r="AB43" i="10"/>
  <c r="AB453" i="10"/>
  <c r="AB120" i="10"/>
  <c r="AB88" i="10"/>
  <c r="AB179" i="10"/>
  <c r="AB407" i="10"/>
  <c r="AB334" i="10"/>
  <c r="AB70" i="10"/>
  <c r="AB332" i="10"/>
  <c r="AB29" i="10"/>
  <c r="AB299" i="10"/>
  <c r="AB93" i="10"/>
  <c r="AB99" i="10"/>
  <c r="AB76" i="10"/>
  <c r="AB383" i="10"/>
  <c r="AB506" i="10"/>
  <c r="AB302" i="10"/>
  <c r="AB31" i="10"/>
  <c r="AB50" i="10"/>
  <c r="AB118" i="10"/>
  <c r="AB214" i="10"/>
  <c r="AB167" i="10"/>
  <c r="AB32" i="10"/>
  <c r="AB163" i="10"/>
  <c r="AB447" i="10"/>
  <c r="AB281" i="10"/>
  <c r="AB491" i="10"/>
  <c r="AB170" i="10"/>
  <c r="AB145" i="10"/>
  <c r="AB327" i="10"/>
  <c r="AB267" i="10"/>
  <c r="AB415" i="10"/>
  <c r="AB113" i="10"/>
  <c r="AB102" i="10"/>
  <c r="AB152" i="10"/>
  <c r="AB290" i="10"/>
  <c r="AB30" i="10"/>
  <c r="AB108" i="10"/>
  <c r="AB11" i="10"/>
  <c r="AB504" i="10"/>
  <c r="AB171" i="10"/>
  <c r="AB80" i="10"/>
  <c r="AB48" i="10"/>
  <c r="AB510" i="10"/>
  <c r="AB318" i="10"/>
  <c r="AB369" i="10"/>
  <c r="AB58" i="10"/>
  <c r="AB26" i="10"/>
  <c r="AB103" i="10"/>
  <c r="AB496" i="10"/>
  <c r="AB502" i="10"/>
  <c r="AB81" i="10"/>
  <c r="AB477" i="10"/>
  <c r="AB360" i="10"/>
  <c r="AB39" i="10"/>
  <c r="AB122" i="10"/>
  <c r="AB349" i="10"/>
  <c r="AB498" i="10"/>
  <c r="AB372" i="10"/>
  <c r="AB258" i="10"/>
  <c r="AB49" i="10"/>
  <c r="AB393" i="10"/>
  <c r="AB373" i="10"/>
  <c r="AB482" i="10"/>
  <c r="AB180" i="10"/>
  <c r="AB13" i="10"/>
  <c r="AB248" i="10"/>
  <c r="AB183" i="10"/>
  <c r="AB66" i="10"/>
  <c r="AB35" i="10"/>
  <c r="AB309" i="10"/>
  <c r="AB296" i="10"/>
  <c r="AB416" i="10"/>
  <c r="AB112" i="10"/>
  <c r="AB95" i="10"/>
  <c r="AB312" i="10"/>
  <c r="AB211" i="10"/>
  <c r="AB27" i="10"/>
  <c r="AB9" i="10"/>
  <c r="AB85" i="10"/>
  <c r="AB283" i="10"/>
  <c r="AB14" i="10"/>
  <c r="AB160" i="10"/>
  <c r="AB96" i="10"/>
  <c r="AB185" i="10"/>
  <c r="AB20" i="10"/>
  <c r="AB186" i="10"/>
  <c r="AB155" i="10"/>
  <c r="AB187" i="10"/>
  <c r="AB509" i="10"/>
  <c r="AB208" i="10"/>
  <c r="AB36" i="10"/>
  <c r="AB104" i="10"/>
  <c r="AB98" i="10"/>
  <c r="AB347" i="10"/>
  <c r="AB209" i="10"/>
  <c r="AB5" i="10"/>
  <c r="AB250" i="10"/>
  <c r="AB22" i="10"/>
  <c r="AB223" i="10"/>
  <c r="AB188" i="10"/>
  <c r="AB124" i="10"/>
  <c r="AB237" i="10"/>
  <c r="AB261" i="10"/>
  <c r="AB487" i="10"/>
  <c r="AB471" i="10"/>
  <c r="AB316" i="10"/>
  <c r="AB476" i="10"/>
  <c r="AB73" i="10"/>
  <c r="AB241" i="10"/>
  <c r="AB90" i="10"/>
  <c r="AB67" i="10"/>
  <c r="AB333" i="10"/>
  <c r="AB240" i="10"/>
  <c r="AB402" i="10"/>
  <c r="AB443" i="10"/>
  <c r="AB412" i="10"/>
  <c r="AB357" i="10"/>
  <c r="AB114" i="10"/>
  <c r="AB490" i="10"/>
  <c r="AB440" i="10"/>
  <c r="AB377" i="10"/>
  <c r="AB279" i="10"/>
  <c r="AB190" i="10"/>
  <c r="AB6" i="10"/>
  <c r="AB378" i="10"/>
  <c r="AB401" i="10"/>
  <c r="AB4" i="10"/>
  <c r="AB326" i="10"/>
  <c r="AB191" i="10"/>
  <c r="AB363" i="10"/>
  <c r="AB375" i="10"/>
  <c r="AB254" i="10"/>
  <c r="AB192" i="10"/>
  <c r="AB238" i="10"/>
  <c r="AB165" i="10"/>
  <c r="AB469" i="10"/>
  <c r="AB105" i="10"/>
  <c r="AB500" i="10"/>
  <c r="AB193" i="10"/>
  <c r="AB452" i="10"/>
  <c r="AB329" i="10"/>
  <c r="AB297" i="10"/>
  <c r="AB342" i="10"/>
  <c r="AB409" i="10"/>
  <c r="AB460" i="10"/>
  <c r="AB403" i="10"/>
  <c r="AB397" i="10"/>
  <c r="AB350" i="10"/>
  <c r="AB425" i="10"/>
  <c r="AB364" i="10"/>
  <c r="AB56" i="10"/>
  <c r="AB54" i="10"/>
  <c r="AB51" i="10"/>
  <c r="AB323" i="10"/>
  <c r="AB286" i="10"/>
  <c r="AB427" i="10"/>
  <c r="AB385" i="10"/>
  <c r="AB493" i="10"/>
  <c r="AB266" i="10"/>
  <c r="AB449" i="10"/>
  <c r="AB376" i="10"/>
  <c r="AB324" i="10"/>
  <c r="AB194" i="10"/>
  <c r="AB456" i="10"/>
  <c r="AB287" i="10"/>
  <c r="H287" i="10" s="1"/>
  <c r="AB436" i="10"/>
  <c r="AB311" i="10"/>
  <c r="AB371" i="10"/>
  <c r="AB483" i="10"/>
  <c r="AB272" i="10"/>
  <c r="AB353" i="10"/>
  <c r="AB399" i="10"/>
  <c r="AB445" i="10"/>
  <c r="AB270" i="10"/>
  <c r="AB374" i="10"/>
  <c r="AB474" i="10"/>
  <c r="AB405" i="10"/>
  <c r="AB437" i="10"/>
  <c r="AB195" i="10"/>
  <c r="AB345" i="10"/>
  <c r="AB196" i="10"/>
  <c r="AB428" i="10"/>
  <c r="AB340" i="10"/>
  <c r="AB336" i="10"/>
  <c r="AB429" i="10"/>
  <c r="AB82" i="10"/>
  <c r="AB328" i="10"/>
  <c r="AB275" i="10"/>
  <c r="AB455" i="10"/>
  <c r="AB418" i="10"/>
  <c r="AB257" i="10"/>
  <c r="AB244" i="10"/>
  <c r="AB143" i="10"/>
  <c r="AB454" i="10"/>
  <c r="AB282" i="10"/>
  <c r="AB139" i="10"/>
  <c r="AB71" i="10"/>
  <c r="AB339" i="10"/>
  <c r="AB337" i="10"/>
  <c r="AB69" i="10"/>
  <c r="AB362" i="10"/>
  <c r="AB423" i="10"/>
  <c r="AB457" i="10"/>
  <c r="AB321" i="10"/>
  <c r="AB421" i="10"/>
  <c r="AB392" i="10"/>
  <c r="AB379" i="10"/>
  <c r="AB359" i="10"/>
  <c r="AB413" i="10"/>
  <c r="AB492" i="10"/>
  <c r="AB351" i="10"/>
  <c r="AB478" i="10"/>
  <c r="AB320" i="10"/>
  <c r="AB226" i="10"/>
  <c r="AB461" i="10"/>
  <c r="AB235" i="10"/>
  <c r="AB243" i="10"/>
  <c r="AB395" i="10"/>
  <c r="AB406" i="10"/>
  <c r="AB153" i="10"/>
  <c r="AB224" i="10"/>
  <c r="AB264" i="10"/>
  <c r="AB470" i="10"/>
  <c r="AB78" i="10"/>
  <c r="AB338" i="10"/>
  <c r="AB382" i="10"/>
  <c r="H382" i="10" s="1"/>
  <c r="AB262" i="10"/>
  <c r="H262" i="10" s="1"/>
  <c r="AB368" i="10"/>
  <c r="AB424" i="10"/>
  <c r="AB115" i="10"/>
  <c r="AB367" i="10"/>
  <c r="AB294" i="10"/>
  <c r="AB450" i="10"/>
  <c r="AB438" i="10"/>
  <c r="AB446" i="10"/>
  <c r="AB485" i="10"/>
  <c r="AB305" i="10"/>
  <c r="AB41" i="10"/>
  <c r="AB435" i="10"/>
  <c r="AB439" i="10"/>
  <c r="AB197" i="10"/>
  <c r="AB141" i="10"/>
  <c r="AB236" i="10"/>
  <c r="AB400" i="10"/>
  <c r="AB404" i="10"/>
  <c r="AB291" i="10"/>
  <c r="AB386" i="10"/>
  <c r="AB74" i="10"/>
  <c r="AB380" i="10"/>
  <c r="AB75" i="10"/>
  <c r="AB276" i="10"/>
  <c r="AB358" i="10"/>
  <c r="AB219" i="10"/>
  <c r="AB110" i="10"/>
  <c r="AB325" i="10"/>
  <c r="AB354" i="10"/>
  <c r="AB414" i="10"/>
  <c r="AB391" i="10"/>
  <c r="AB459" i="10"/>
  <c r="AB259" i="10"/>
  <c r="AB255" i="10"/>
  <c r="AB451" i="10"/>
  <c r="AB231" i="10"/>
  <c r="AB97" i="10"/>
  <c r="AB239" i="10"/>
  <c r="AB256" i="10"/>
  <c r="AB168" i="10"/>
  <c r="AB77" i="10"/>
  <c r="AB217" i="10"/>
  <c r="AB265" i="10"/>
  <c r="AB225" i="10"/>
  <c r="AB100" i="10"/>
  <c r="AB319" i="10"/>
  <c r="AB390" i="10"/>
  <c r="AB234" i="10"/>
  <c r="AB322" i="10"/>
  <c r="AB140" i="10"/>
  <c r="AB503" i="10"/>
  <c r="AB130" i="10"/>
  <c r="AB126" i="10"/>
  <c r="AB307" i="10"/>
  <c r="AB389" i="10"/>
  <c r="AB156" i="10"/>
  <c r="AB127" i="10"/>
  <c r="AB142" i="10"/>
  <c r="AB277" i="10"/>
  <c r="AB422" i="10"/>
  <c r="AB289" i="10"/>
  <c r="AB308" i="10"/>
  <c r="AB198" i="10"/>
  <c r="AB420" i="10"/>
  <c r="AB148" i="10"/>
  <c r="AB288" i="10"/>
  <c r="AB158" i="10"/>
  <c r="AB284" i="10"/>
  <c r="AB52" i="10"/>
  <c r="AB479" i="10"/>
  <c r="AB218" i="10"/>
  <c r="AB230" i="10"/>
  <c r="AB138" i="10"/>
  <c r="AB166" i="10"/>
  <c r="AB315" i="10"/>
  <c r="AB419" i="10"/>
  <c r="AB251" i="10"/>
  <c r="AB83" i="10"/>
  <c r="AB199" i="10"/>
  <c r="AB216" i="10"/>
  <c r="AB200" i="10"/>
  <c r="AB426" i="10"/>
  <c r="AB292" i="10"/>
  <c r="AB442" i="10"/>
  <c r="AB285" i="10"/>
  <c r="AB33" i="10"/>
  <c r="AB467" i="10"/>
  <c r="AB213" i="10"/>
  <c r="AB361" i="10"/>
  <c r="AB245" i="10"/>
  <c r="AB431" i="10"/>
  <c r="AB260" i="10"/>
  <c r="AB293" i="10"/>
  <c r="AB273" i="10"/>
  <c r="AB304" i="10"/>
  <c r="AB72" i="10"/>
  <c r="AB201" i="10"/>
  <c r="AB411" i="10"/>
  <c r="AB448" i="10"/>
  <c r="AB462" i="10"/>
  <c r="AB60" i="10"/>
  <c r="AB306" i="10"/>
  <c r="AB8" i="10"/>
  <c r="AB475" i="10"/>
  <c r="AB68" i="10"/>
  <c r="AB109" i="10"/>
  <c r="AB352" i="10"/>
  <c r="AB246" i="10"/>
  <c r="AB40" i="10"/>
  <c r="AB137" i="10"/>
  <c r="AB202" i="10"/>
  <c r="AB384" i="10"/>
  <c r="AB128" i="10"/>
  <c r="AB253" i="10"/>
  <c r="AB117" i="10"/>
  <c r="K117" i="10" s="1"/>
  <c r="AB17" i="10"/>
  <c r="K17" i="10" s="1"/>
  <c r="AB229" i="10"/>
  <c r="AB121" i="10"/>
  <c r="AB157" i="10"/>
  <c r="AB252" i="10"/>
  <c r="AB222" i="10"/>
  <c r="AB505" i="10"/>
  <c r="AB25" i="10"/>
  <c r="AB136" i="10"/>
  <c r="AB366" i="10"/>
  <c r="AB430" i="10"/>
  <c r="AB313" i="10"/>
  <c r="AB247" i="10"/>
  <c r="AB381" i="10"/>
  <c r="AB34" i="10"/>
  <c r="AB15" i="10"/>
  <c r="AB62" i="10"/>
  <c r="AB486" i="10"/>
  <c r="AB394" i="10"/>
  <c r="AB203" i="10"/>
  <c r="AB335" i="10"/>
  <c r="AB164" i="10"/>
  <c r="AB132" i="10"/>
  <c r="AB495" i="10"/>
  <c r="AB370" i="10"/>
  <c r="AB298" i="10"/>
  <c r="AB228" i="10"/>
  <c r="AB408" i="10"/>
  <c r="AB57" i="10"/>
  <c r="AB242" i="10"/>
  <c r="AB44" i="10"/>
  <c r="AB280" i="10"/>
  <c r="AB204" i="10"/>
  <c r="AB263" i="10"/>
  <c r="AB210" i="10"/>
  <c r="E745" i="18"/>
  <c r="Z2" i="16"/>
  <c r="Z4" i="16"/>
  <c r="Z5" i="16"/>
  <c r="Z7" i="16"/>
  <c r="Z8" i="16"/>
  <c r="Z9" i="16"/>
  <c r="Z10" i="16"/>
  <c r="Z11" i="16"/>
  <c r="Z13" i="16"/>
  <c r="Z14" i="16"/>
  <c r="Z15" i="16"/>
  <c r="Z17" i="16"/>
  <c r="Z18" i="16"/>
  <c r="Z19" i="16"/>
  <c r="Z20" i="16"/>
  <c r="Z21" i="16"/>
  <c r="Z22" i="16"/>
  <c r="Z23" i="16"/>
  <c r="Z24" i="16"/>
  <c r="Z25" i="16"/>
  <c r="Z26" i="16"/>
  <c r="Z27" i="16"/>
  <c r="Z28" i="16"/>
  <c r="Z29" i="16"/>
  <c r="Z30" i="16"/>
  <c r="Z31" i="16"/>
  <c r="Z32" i="16"/>
  <c r="Z33" i="16"/>
  <c r="Z35" i="16"/>
  <c r="Z36" i="16"/>
  <c r="Z44" i="16"/>
  <c r="Z45" i="16"/>
  <c r="Z46" i="16"/>
  <c r="Z47" i="16"/>
  <c r="Z48" i="16"/>
  <c r="Z49" i="16"/>
  <c r="Z50" i="16"/>
  <c r="Z51" i="16"/>
  <c r="Z52" i="16"/>
  <c r="Z53" i="16"/>
  <c r="Z54" i="16"/>
  <c r="Z55" i="16"/>
  <c r="Z56" i="16"/>
  <c r="Z57" i="16"/>
  <c r="Z58" i="16"/>
  <c r="Z59" i="16"/>
  <c r="Z60" i="16"/>
  <c r="Z61" i="16"/>
  <c r="Z62" i="16"/>
  <c r="Z63" i="16"/>
  <c r="Z64" i="16"/>
  <c r="Z65" i="16"/>
  <c r="Z66" i="16"/>
  <c r="Z67" i="16"/>
  <c r="Z68" i="16"/>
  <c r="Z69" i="16"/>
  <c r="Z70" i="16"/>
  <c r="Z71" i="16"/>
  <c r="Z72" i="16"/>
  <c r="Z73" i="16"/>
  <c r="Z74" i="16"/>
  <c r="Z75" i="16"/>
  <c r="Z76" i="16"/>
  <c r="Z77" i="16"/>
  <c r="Z78" i="16"/>
  <c r="Z79" i="16"/>
  <c r="Z80" i="16"/>
  <c r="Z81" i="16"/>
  <c r="Z82" i="16"/>
  <c r="Z83" i="16"/>
  <c r="Z84" i="16"/>
  <c r="Z85" i="16"/>
  <c r="Z86" i="16"/>
  <c r="Z88" i="16"/>
  <c r="Z89" i="16"/>
  <c r="Z90" i="16"/>
  <c r="Z91" i="16"/>
  <c r="Z92" i="16"/>
  <c r="Z93" i="16"/>
  <c r="Z94" i="16"/>
  <c r="Z95" i="16"/>
  <c r="Z97" i="16"/>
  <c r="Z98" i="16"/>
  <c r="Z99" i="16"/>
  <c r="Z100" i="16"/>
  <c r="Z101" i="16"/>
  <c r="Z102" i="16"/>
  <c r="Z103" i="16"/>
  <c r="Z104" i="16"/>
  <c r="Z105" i="16"/>
  <c r="Z106" i="16"/>
  <c r="Z107" i="16"/>
  <c r="Z108" i="16"/>
  <c r="Z109" i="16"/>
  <c r="Z110" i="16"/>
  <c r="Z111" i="16"/>
  <c r="Z112" i="16"/>
  <c r="Z113" i="16"/>
  <c r="Z114" i="16"/>
  <c r="Z115" i="16"/>
  <c r="Z116" i="16"/>
  <c r="Z117" i="16"/>
  <c r="Z118" i="16"/>
  <c r="Z120" i="16"/>
  <c r="Z121" i="16"/>
  <c r="Z122" i="16"/>
  <c r="Z123" i="16"/>
  <c r="Z124" i="16"/>
  <c r="Z125" i="16"/>
  <c r="Z126" i="16"/>
  <c r="Z127" i="16"/>
  <c r="Z128" i="16"/>
  <c r="Z129" i="16"/>
  <c r="Z130" i="16"/>
  <c r="Z131" i="16"/>
  <c r="Z132" i="16"/>
  <c r="Z134" i="16"/>
  <c r="Z135" i="16"/>
  <c r="Z136" i="16"/>
  <c r="Z137" i="16"/>
  <c r="Z138" i="16"/>
  <c r="Z139" i="16"/>
  <c r="Z140" i="16"/>
  <c r="Z141" i="16"/>
  <c r="Z142" i="16"/>
  <c r="Z143" i="16"/>
  <c r="Z144" i="16"/>
  <c r="Z145" i="16"/>
  <c r="Z146" i="16"/>
  <c r="Z147" i="16"/>
  <c r="Z149" i="16"/>
  <c r="Z151" i="16"/>
  <c r="Z152" i="16"/>
  <c r="Z153" i="16"/>
  <c r="Z154" i="16"/>
  <c r="Z155" i="16"/>
  <c r="Z156" i="16"/>
  <c r="Z157" i="16"/>
  <c r="Z158" i="16"/>
  <c r="Z159" i="16"/>
  <c r="Z160" i="16"/>
  <c r="Z161" i="16"/>
  <c r="Z162" i="16"/>
  <c r="Z163" i="16"/>
  <c r="Z164" i="16"/>
  <c r="Z165" i="16"/>
  <c r="Z166" i="16"/>
  <c r="Z167" i="16"/>
  <c r="Z168" i="16"/>
  <c r="Z169" i="16"/>
  <c r="Z171" i="16"/>
  <c r="Z172" i="16"/>
  <c r="Z173" i="16"/>
  <c r="Z174" i="16"/>
  <c r="Z175" i="16"/>
  <c r="Z176" i="16"/>
  <c r="Z177" i="16"/>
  <c r="Z178" i="16"/>
  <c r="Z179" i="16"/>
  <c r="Z180" i="16"/>
  <c r="Z181" i="16"/>
  <c r="Z182" i="16"/>
  <c r="Z183" i="16"/>
  <c r="Z184" i="16"/>
  <c r="Z185" i="16"/>
  <c r="Z186" i="16"/>
  <c r="Z187" i="16"/>
  <c r="Z189" i="16"/>
  <c r="Z190" i="16"/>
  <c r="Z191" i="16"/>
  <c r="Z192" i="16"/>
  <c r="Z193" i="16"/>
  <c r="Z194" i="16"/>
  <c r="Z195" i="16"/>
  <c r="Z197" i="16"/>
  <c r="Z198" i="16"/>
  <c r="Z199" i="16"/>
  <c r="Z200" i="16"/>
  <c r="Z201" i="16"/>
  <c r="Z202" i="16"/>
  <c r="Z203" i="16"/>
  <c r="Z204" i="16"/>
  <c r="Z205" i="16"/>
  <c r="Z206" i="16"/>
  <c r="Z207" i="16"/>
  <c r="Z208" i="16"/>
  <c r="Z210" i="16"/>
  <c r="Z211" i="16"/>
  <c r="Z212" i="16"/>
  <c r="Z213" i="16"/>
  <c r="Z214" i="16"/>
  <c r="Z215" i="16"/>
  <c r="Z216" i="16"/>
  <c r="Z217" i="16"/>
  <c r="Z218" i="16"/>
  <c r="Z219" i="16"/>
  <c r="Z220" i="16"/>
  <c r="Z221" i="16"/>
  <c r="Z223" i="16"/>
  <c r="Z224" i="16"/>
  <c r="Z225" i="16"/>
  <c r="Z226" i="16"/>
  <c r="Z227" i="16"/>
  <c r="Z228" i="16"/>
  <c r="Z229" i="16"/>
  <c r="Z230" i="16"/>
  <c r="Z231" i="16"/>
  <c r="Z232" i="16"/>
  <c r="Z233" i="16"/>
  <c r="Z234" i="16"/>
  <c r="Z235" i="16"/>
  <c r="Z236" i="16"/>
  <c r="Z237" i="16"/>
  <c r="Z238" i="16"/>
  <c r="Z239" i="16"/>
  <c r="Z240" i="16"/>
  <c r="Z241" i="16"/>
  <c r="Z242" i="16"/>
  <c r="Z243" i="16"/>
  <c r="Z244" i="16"/>
  <c r="Z245" i="16"/>
  <c r="Z246" i="16"/>
  <c r="Z247" i="16"/>
  <c r="Z248" i="16"/>
  <c r="Z249" i="16"/>
  <c r="Z250" i="16"/>
  <c r="Z251" i="16"/>
  <c r="Z252" i="16"/>
  <c r="Z253" i="16"/>
  <c r="Z254" i="16"/>
  <c r="Z255" i="16"/>
  <c r="Z256" i="16"/>
  <c r="Z257" i="16"/>
  <c r="Z258" i="16"/>
  <c r="Z259" i="16"/>
  <c r="Z260" i="16"/>
  <c r="Z261" i="16"/>
  <c r="Z262" i="16"/>
  <c r="Z264" i="16"/>
  <c r="Z265" i="16"/>
  <c r="Z266" i="16"/>
  <c r="Z267" i="16"/>
  <c r="Z268" i="16"/>
  <c r="Z269" i="16"/>
  <c r="Z270" i="16"/>
  <c r="Z271" i="16"/>
  <c r="Z272" i="16"/>
  <c r="Z273" i="16"/>
  <c r="Z274" i="16"/>
  <c r="Z275" i="16"/>
  <c r="Z276" i="16"/>
  <c r="Z277" i="16"/>
  <c r="Z278" i="16"/>
  <c r="Z279" i="16"/>
  <c r="Z280" i="16"/>
  <c r="Z281" i="16"/>
  <c r="Z282" i="16"/>
  <c r="Z283" i="16"/>
  <c r="Z284" i="16"/>
  <c r="Z285" i="16"/>
  <c r="Z286" i="16"/>
  <c r="Z287" i="16"/>
  <c r="Z288" i="16"/>
  <c r="Z289" i="16"/>
  <c r="Z290" i="16"/>
  <c r="Z291" i="16"/>
  <c r="Z292" i="16"/>
  <c r="Z293" i="16"/>
  <c r="Z294" i="16"/>
  <c r="Z295" i="16"/>
  <c r="Z296" i="16"/>
  <c r="Z297" i="16"/>
  <c r="Z298" i="16"/>
  <c r="Z299" i="16"/>
  <c r="Z300" i="16"/>
  <c r="Z301" i="16"/>
  <c r="Z302" i="16"/>
  <c r="Z303" i="16"/>
  <c r="Z304" i="16"/>
  <c r="Z305" i="16"/>
  <c r="Z306" i="16"/>
  <c r="Z307" i="16"/>
  <c r="Z308" i="16"/>
  <c r="Z309" i="16"/>
  <c r="Z310" i="16"/>
  <c r="Z311" i="16"/>
  <c r="Z312" i="16"/>
  <c r="Z313" i="16"/>
  <c r="Z314" i="16"/>
  <c r="Z315" i="16"/>
  <c r="Z316" i="16"/>
  <c r="Z317" i="16"/>
  <c r="Z318" i="16"/>
  <c r="Z319" i="16"/>
  <c r="Z320" i="16"/>
  <c r="Z321" i="16"/>
  <c r="Z322" i="16"/>
  <c r="Z323" i="16"/>
  <c r="Z324" i="16"/>
  <c r="Z325" i="16"/>
  <c r="Z326" i="16"/>
  <c r="Z327" i="16"/>
  <c r="Z328" i="16"/>
  <c r="Z329" i="16"/>
  <c r="Z330" i="16"/>
  <c r="Z331" i="16"/>
  <c r="Z332" i="16"/>
  <c r="Z333" i="16"/>
  <c r="Z334" i="16"/>
  <c r="Z335" i="16"/>
  <c r="Z336" i="16"/>
  <c r="Z337" i="16"/>
  <c r="Z338" i="16"/>
  <c r="Z339" i="16"/>
  <c r="Z340" i="16"/>
  <c r="Z341" i="16"/>
  <c r="Z342" i="16"/>
  <c r="Z343" i="16"/>
  <c r="Z344" i="16"/>
  <c r="Z345" i="16"/>
  <c r="Z346" i="16"/>
  <c r="Z347" i="16"/>
  <c r="Z348" i="16"/>
  <c r="Z349" i="16"/>
  <c r="Z350" i="16"/>
  <c r="Z351" i="16"/>
  <c r="Z352" i="16"/>
  <c r="Z353" i="16"/>
  <c r="Z354" i="16"/>
  <c r="Z355" i="16"/>
  <c r="Z356" i="16"/>
  <c r="Z357" i="16"/>
  <c r="Z358" i="16"/>
  <c r="Z359" i="16"/>
  <c r="Z360" i="16"/>
  <c r="Z361" i="16"/>
  <c r="Z362" i="16"/>
  <c r="Z363" i="16"/>
  <c r="Z364" i="16"/>
  <c r="Z365" i="16"/>
  <c r="Z366" i="16"/>
  <c r="Z367" i="16"/>
  <c r="Z368" i="16"/>
  <c r="Z369" i="16"/>
  <c r="Z370" i="16"/>
  <c r="Z371" i="16"/>
  <c r="Z372" i="16"/>
  <c r="Z373" i="16"/>
  <c r="Z374" i="16"/>
  <c r="Z375" i="16"/>
  <c r="Z376" i="16"/>
  <c r="Z377" i="16"/>
  <c r="Z378" i="16"/>
  <c r="Z379" i="16"/>
  <c r="Z380" i="16"/>
  <c r="Z381" i="16"/>
  <c r="Z382" i="16"/>
  <c r="Z383" i="16"/>
  <c r="Z384" i="16"/>
  <c r="Z385" i="16"/>
  <c r="Z386" i="16"/>
  <c r="Z387" i="16"/>
  <c r="Z388" i="16"/>
  <c r="Z389" i="16"/>
  <c r="Z390" i="16"/>
  <c r="Z391" i="16"/>
  <c r="Z392" i="16"/>
  <c r="Z393" i="16"/>
  <c r="Z394" i="16"/>
  <c r="Z395" i="16"/>
  <c r="Z396" i="16"/>
  <c r="Z397" i="16"/>
  <c r="Z398" i="16"/>
  <c r="Z399" i="16"/>
  <c r="Z400" i="16"/>
  <c r="Z401" i="16"/>
  <c r="Z402" i="16"/>
  <c r="Z403" i="16"/>
  <c r="Z404" i="16"/>
  <c r="Z405" i="16"/>
  <c r="Z406" i="16"/>
  <c r="Z407" i="16"/>
  <c r="Z408" i="16"/>
  <c r="Z409" i="16"/>
  <c r="Z410" i="16"/>
  <c r="Z411" i="16"/>
  <c r="Z412" i="16"/>
  <c r="Z413" i="16"/>
  <c r="Z414" i="16"/>
  <c r="Z415" i="16"/>
  <c r="Z416" i="16"/>
  <c r="Z417" i="16"/>
  <c r="Z418" i="16"/>
  <c r="Z419" i="16"/>
  <c r="Z420" i="16"/>
  <c r="Z421" i="16"/>
  <c r="Z422" i="16"/>
  <c r="Z423" i="16"/>
  <c r="Z424" i="16"/>
  <c r="Z425" i="16"/>
  <c r="Z426" i="16"/>
  <c r="Z427" i="16"/>
  <c r="Z428" i="16"/>
  <c r="Z429" i="16"/>
  <c r="Z430" i="16"/>
  <c r="Z431" i="16"/>
  <c r="Z432" i="16"/>
  <c r="Z433" i="16"/>
  <c r="Z434" i="16"/>
  <c r="Z435" i="16"/>
  <c r="Z436" i="16"/>
  <c r="Z437" i="16"/>
  <c r="Z438" i="16"/>
  <c r="Z439" i="16"/>
  <c r="Z440" i="16"/>
  <c r="Z441" i="16"/>
  <c r="Z442" i="16"/>
  <c r="Z443" i="16"/>
  <c r="Z444" i="16"/>
  <c r="Z445" i="16"/>
  <c r="Z446" i="16"/>
  <c r="Z447" i="16"/>
  <c r="Z448" i="16"/>
  <c r="Z449" i="16"/>
  <c r="Z450" i="16"/>
  <c r="Z451" i="16"/>
  <c r="Z452" i="16"/>
  <c r="Z453" i="16"/>
  <c r="Z454" i="16"/>
  <c r="Z455" i="16"/>
  <c r="Z456" i="16"/>
  <c r="Z457" i="16"/>
  <c r="Z458" i="16"/>
  <c r="Z459" i="16"/>
  <c r="Z460" i="16"/>
  <c r="Z461" i="16"/>
  <c r="Z462" i="16"/>
  <c r="Z463" i="16"/>
  <c r="Z464" i="16"/>
  <c r="Z465" i="16"/>
  <c r="Z466" i="16"/>
  <c r="Z467" i="16"/>
  <c r="Z468" i="16"/>
  <c r="Z469" i="16"/>
  <c r="Z470" i="16"/>
  <c r="Z471" i="16"/>
  <c r="Z472" i="16"/>
  <c r="Z473" i="16"/>
  <c r="Z474" i="16"/>
  <c r="Z475" i="16"/>
  <c r="Z476" i="16"/>
  <c r="Z477" i="16"/>
  <c r="Z478" i="16"/>
  <c r="Z479" i="16"/>
  <c r="Z480" i="16"/>
  <c r="Z481" i="16"/>
  <c r="Z482" i="16"/>
  <c r="Z483" i="16"/>
  <c r="Z484" i="16"/>
  <c r="Z485" i="16"/>
  <c r="Z486" i="16"/>
  <c r="Z487" i="16"/>
  <c r="Z488" i="16"/>
  <c r="Z489" i="16"/>
  <c r="Z490" i="16"/>
  <c r="Z491" i="16"/>
  <c r="Z492" i="16"/>
  <c r="Z493" i="16"/>
  <c r="Z494" i="16"/>
  <c r="Z495" i="16"/>
  <c r="Z496" i="16"/>
  <c r="Z497" i="16"/>
  <c r="Z498" i="16"/>
  <c r="Z499" i="16"/>
  <c r="Z500" i="16"/>
  <c r="Z501" i="16"/>
  <c r="Z502" i="16"/>
  <c r="Z503" i="16"/>
  <c r="Z504" i="16"/>
  <c r="Z505" i="16"/>
  <c r="Z506" i="16"/>
  <c r="Z507" i="16"/>
  <c r="Z508" i="16"/>
  <c r="Z509" i="16"/>
  <c r="Z510" i="16"/>
  <c r="Z511" i="16"/>
  <c r="Z512" i="16"/>
  <c r="Z513" i="16"/>
  <c r="Z514" i="16"/>
  <c r="Z515" i="16"/>
  <c r="Z516" i="16"/>
  <c r="Z517" i="16"/>
  <c r="Z518" i="16"/>
  <c r="Z519" i="16"/>
  <c r="Z520" i="16"/>
  <c r="Z521" i="16"/>
  <c r="Z522" i="16"/>
  <c r="Z523" i="16"/>
  <c r="Z524" i="16"/>
  <c r="Z525" i="16"/>
  <c r="Z526" i="16"/>
  <c r="Z527" i="16"/>
  <c r="Z528" i="16"/>
  <c r="Z529" i="16"/>
  <c r="Z530" i="16"/>
  <c r="Z531" i="16"/>
  <c r="Z532" i="16"/>
  <c r="Z533" i="16"/>
  <c r="Z534" i="16"/>
  <c r="Z535" i="16"/>
  <c r="R13" i="20"/>
  <c r="S13" i="20" s="1"/>
  <c r="T13" i="20"/>
  <c r="U13" i="20"/>
  <c r="B29" i="20"/>
  <c r="C29" i="20" s="1"/>
  <c r="D29" i="20"/>
  <c r="E29" i="20" s="1"/>
  <c r="H29" i="20"/>
  <c r="I29" i="20" s="1"/>
  <c r="J29" i="20"/>
  <c r="K29" i="20" s="1"/>
  <c r="I535" i="16"/>
  <c r="I534" i="16"/>
  <c r="E535" i="16"/>
  <c r="E534" i="16"/>
  <c r="Y535" i="16"/>
  <c r="Y534" i="16"/>
  <c r="D736" i="18"/>
  <c r="D732" i="18"/>
  <c r="H9" i="10" l="1"/>
  <c r="H118" i="10"/>
  <c r="K63" i="10"/>
  <c r="AB189" i="10"/>
  <c r="H252" i="10"/>
  <c r="H83" i="10"/>
  <c r="H291" i="10"/>
  <c r="K429" i="10"/>
  <c r="H157" i="10"/>
  <c r="H308" i="10"/>
  <c r="H404" i="10"/>
  <c r="K336" i="10"/>
  <c r="J336" i="10" s="1"/>
  <c r="K509" i="10"/>
  <c r="J509" i="10" s="1"/>
  <c r="K13" i="10"/>
  <c r="J13" i="10" s="1"/>
  <c r="K495" i="10"/>
  <c r="J495" i="10" s="1"/>
  <c r="K304" i="10"/>
  <c r="J304" i="10" s="1"/>
  <c r="H227" i="10"/>
  <c r="H395" i="10"/>
  <c r="H497" i="10"/>
  <c r="H338" i="10"/>
  <c r="H87" i="10"/>
  <c r="H147" i="10"/>
  <c r="H61" i="10"/>
  <c r="K398" i="10"/>
  <c r="J398" i="10" s="1"/>
  <c r="H481" i="10"/>
  <c r="H317" i="10"/>
  <c r="K181" i="10"/>
  <c r="J181" i="10" s="1"/>
  <c r="K65" i="10"/>
  <c r="J65" i="10" s="1"/>
  <c r="H464" i="10"/>
  <c r="H150" i="10"/>
  <c r="H508" i="10"/>
  <c r="K144" i="10"/>
  <c r="J144" i="10" s="1"/>
  <c r="K480" i="10"/>
  <c r="K190" i="10"/>
  <c r="J190" i="10" s="1"/>
  <c r="K62" i="10"/>
  <c r="J62" i="10" s="1"/>
  <c r="K348" i="10"/>
  <c r="J348" i="10" s="1"/>
  <c r="H182" i="10"/>
  <c r="H180" i="10"/>
  <c r="H466" i="10"/>
  <c r="K279" i="10"/>
  <c r="J279" i="10" s="1"/>
  <c r="H62" i="10"/>
  <c r="H17" i="10"/>
  <c r="I17" i="10" s="1"/>
  <c r="K8" i="10"/>
  <c r="J8" i="10" s="1"/>
  <c r="H351" i="10"/>
  <c r="H436" i="10"/>
  <c r="H348" i="10"/>
  <c r="K48" i="10"/>
  <c r="H407" i="10"/>
  <c r="K253" i="10"/>
  <c r="J253" i="10" s="1"/>
  <c r="K377" i="10"/>
  <c r="J377" i="10" s="1"/>
  <c r="H242" i="10"/>
  <c r="K128" i="10"/>
  <c r="J128" i="10" s="1"/>
  <c r="K33" i="10"/>
  <c r="J33" i="10" s="1"/>
  <c r="K127" i="10"/>
  <c r="J127" i="10" s="1"/>
  <c r="K219" i="10"/>
  <c r="J219" i="10" s="1"/>
  <c r="K78" i="10"/>
  <c r="J78" i="10" s="1"/>
  <c r="K359" i="10"/>
  <c r="J359" i="10" s="1"/>
  <c r="K440" i="10"/>
  <c r="J440" i="10" s="1"/>
  <c r="K416" i="10"/>
  <c r="J416" i="10" s="1"/>
  <c r="D2" i="12"/>
  <c r="D5" i="12"/>
  <c r="D4" i="12"/>
  <c r="D3" i="12"/>
  <c r="H490" i="10"/>
  <c r="H276" i="10"/>
  <c r="H281" i="10"/>
  <c r="H78" i="10"/>
  <c r="K132" i="10"/>
  <c r="H344" i="10"/>
  <c r="H385" i="10"/>
  <c r="K248" i="10"/>
  <c r="J248" i="10" s="1"/>
  <c r="H172" i="10"/>
  <c r="H181" i="10"/>
  <c r="K280" i="10"/>
  <c r="J280" i="10" s="1"/>
  <c r="K322" i="10"/>
  <c r="J322" i="10" s="1"/>
  <c r="H458" i="10"/>
  <c r="K294" i="10"/>
  <c r="J294" i="10" s="1"/>
  <c r="K82" i="10"/>
  <c r="H427" i="10"/>
  <c r="K85" i="10"/>
  <c r="J85" i="10" s="1"/>
  <c r="K182" i="10"/>
  <c r="J182" i="10" s="1"/>
  <c r="H300" i="10"/>
  <c r="H13" i="10"/>
  <c r="H470" i="10"/>
  <c r="H264" i="10"/>
  <c r="H176" i="10"/>
  <c r="H289" i="10"/>
  <c r="H286" i="10"/>
  <c r="H22" i="10"/>
  <c r="K180" i="10"/>
  <c r="J180" i="10" s="1"/>
  <c r="H360" i="10"/>
  <c r="K318" i="10"/>
  <c r="J318" i="10" s="1"/>
  <c r="H113" i="10"/>
  <c r="H480" i="10"/>
  <c r="K70" i="10"/>
  <c r="J70" i="10" s="1"/>
  <c r="H501" i="10"/>
  <c r="H134" i="10"/>
  <c r="F87" i="10"/>
  <c r="K87" i="10" s="1"/>
  <c r="K156" i="10"/>
  <c r="J156" i="10" s="1"/>
  <c r="K202" i="10"/>
  <c r="J202" i="10" s="1"/>
  <c r="H108" i="10"/>
  <c r="K311" i="10"/>
  <c r="J311" i="10" s="1"/>
  <c r="K510" i="10"/>
  <c r="J510" i="10" s="1"/>
  <c r="F464" i="10"/>
  <c r="K464" i="10" s="1"/>
  <c r="K285" i="10"/>
  <c r="J285" i="10" s="1"/>
  <c r="H389" i="10"/>
  <c r="H114" i="10"/>
  <c r="K7" i="10"/>
  <c r="K351" i="10"/>
  <c r="K436" i="10"/>
  <c r="J436" i="10" s="1"/>
  <c r="K267" i="10"/>
  <c r="J267" i="10" s="1"/>
  <c r="K407" i="10"/>
  <c r="J407" i="10" s="1"/>
  <c r="F286" i="10"/>
  <c r="K286" i="10" s="1"/>
  <c r="J286" i="10" s="1"/>
  <c r="H442" i="10"/>
  <c r="K413" i="10"/>
  <c r="J413" i="10" s="1"/>
  <c r="K306" i="10"/>
  <c r="J306" i="10" s="1"/>
  <c r="K213" i="10"/>
  <c r="J213" i="10" s="1"/>
  <c r="K277" i="10"/>
  <c r="J277" i="10" s="1"/>
  <c r="K265" i="10"/>
  <c r="J265" i="10" s="1"/>
  <c r="K382" i="10"/>
  <c r="I382" i="10" s="1"/>
  <c r="K492" i="10"/>
  <c r="J492" i="10" s="1"/>
  <c r="K287" i="10"/>
  <c r="J287" i="10" s="1"/>
  <c r="K384" i="10"/>
  <c r="J384" i="10" s="1"/>
  <c r="H358" i="10"/>
  <c r="H254" i="10"/>
  <c r="K489" i="10"/>
  <c r="J489" i="10" s="1"/>
  <c r="K44" i="10"/>
  <c r="J44" i="10" s="1"/>
  <c r="K60" i="10"/>
  <c r="J60" i="10" s="1"/>
  <c r="K467" i="10"/>
  <c r="J467" i="10" s="1"/>
  <c r="K142" i="10"/>
  <c r="J142" i="10" s="1"/>
  <c r="K338" i="10"/>
  <c r="K112" i="10"/>
  <c r="J112" i="10" s="1"/>
  <c r="H100" i="10"/>
  <c r="H135" i="10"/>
  <c r="H89" i="10"/>
  <c r="K482" i="10"/>
  <c r="J482" i="10" s="1"/>
  <c r="H477" i="10"/>
  <c r="H415" i="10"/>
  <c r="K334" i="10"/>
  <c r="J334" i="10" s="1"/>
  <c r="H388" i="10"/>
  <c r="H336" i="10"/>
  <c r="H144" i="10"/>
  <c r="K331" i="10"/>
  <c r="J331" i="10" s="1"/>
  <c r="K225" i="10"/>
  <c r="J225" i="10" s="1"/>
  <c r="K262" i="10"/>
  <c r="J262" i="10" s="1"/>
  <c r="K105" i="10"/>
  <c r="J105" i="10" s="1"/>
  <c r="H434" i="10"/>
  <c r="K466" i="10"/>
  <c r="I466" i="10" s="1"/>
  <c r="H132" i="10"/>
  <c r="H311" i="10"/>
  <c r="H70" i="10"/>
  <c r="F242" i="10"/>
  <c r="K242" i="10" s="1"/>
  <c r="J242" i="10" s="1"/>
  <c r="F89" i="10"/>
  <c r="K89" i="10" s="1"/>
  <c r="J89" i="10" s="1"/>
  <c r="K469" i="10"/>
  <c r="J469" i="10" s="1"/>
  <c r="K250" i="10"/>
  <c r="J250" i="10" s="1"/>
  <c r="K361" i="10"/>
  <c r="J361" i="10" s="1"/>
  <c r="K434" i="10"/>
  <c r="F497" i="10"/>
  <c r="K497" i="10" s="1"/>
  <c r="H82" i="10"/>
  <c r="H65" i="10"/>
  <c r="F9" i="10"/>
  <c r="K9" i="10" s="1"/>
  <c r="I9" i="10" s="1"/>
  <c r="H33" i="10"/>
  <c r="H190" i="10"/>
  <c r="I190" i="10" s="1"/>
  <c r="H225" i="10"/>
  <c r="H279" i="10"/>
  <c r="F291" i="10"/>
  <c r="K291" i="10" s="1"/>
  <c r="F415" i="10"/>
  <c r="K415" i="10" s="1"/>
  <c r="J415" i="10" s="1"/>
  <c r="H60" i="10"/>
  <c r="H185" i="10"/>
  <c r="H491" i="10"/>
  <c r="H265" i="10"/>
  <c r="I265" i="10" s="1"/>
  <c r="H85" i="10"/>
  <c r="F404" i="10"/>
  <c r="K404" i="10" s="1"/>
  <c r="I404" i="10" s="1"/>
  <c r="K298" i="10"/>
  <c r="J298" i="10" s="1"/>
  <c r="K163" i="10"/>
  <c r="K10" i="10"/>
  <c r="J10" i="10" s="1"/>
  <c r="K42" i="10"/>
  <c r="J42" i="10" s="1"/>
  <c r="H219" i="10"/>
  <c r="F118" i="10"/>
  <c r="K118" i="10" s="1"/>
  <c r="I118" i="10" s="1"/>
  <c r="H429" i="10"/>
  <c r="I429" i="10" s="1"/>
  <c r="H117" i="10"/>
  <c r="H253" i="10"/>
  <c r="K370" i="10"/>
  <c r="J370" i="10" s="1"/>
  <c r="K149" i="10"/>
  <c r="J149" i="10" s="1"/>
  <c r="K355" i="10"/>
  <c r="J355" i="10" s="1"/>
  <c r="H294" i="10"/>
  <c r="H248" i="10"/>
  <c r="I248" i="10" s="1"/>
  <c r="F481" i="10"/>
  <c r="K481" i="10" s="1"/>
  <c r="F410" i="10"/>
  <c r="K410" i="10" s="1"/>
  <c r="H410" i="10"/>
  <c r="K408" i="10"/>
  <c r="K442" i="10"/>
  <c r="J480" i="10"/>
  <c r="H370" i="10"/>
  <c r="K228" i="10"/>
  <c r="F430" i="10"/>
  <c r="K430" i="10" s="1"/>
  <c r="H430" i="10"/>
  <c r="F137" i="10"/>
  <c r="K137" i="10" s="1"/>
  <c r="H137" i="10"/>
  <c r="F411" i="10"/>
  <c r="K411" i="10" s="1"/>
  <c r="H411" i="10"/>
  <c r="F292" i="10"/>
  <c r="K292" i="10" s="1"/>
  <c r="H292" i="10"/>
  <c r="F284" i="10"/>
  <c r="K284" i="10" s="1"/>
  <c r="H284" i="10"/>
  <c r="F307" i="10"/>
  <c r="K307" i="10" s="1"/>
  <c r="H307" i="10"/>
  <c r="F239" i="10"/>
  <c r="K239" i="10" s="1"/>
  <c r="H239" i="10"/>
  <c r="F75" i="10"/>
  <c r="K75" i="10" s="1"/>
  <c r="H75" i="10"/>
  <c r="F485" i="10"/>
  <c r="K485" i="10" s="1"/>
  <c r="H485" i="10"/>
  <c r="F224" i="10"/>
  <c r="K224" i="10" s="1"/>
  <c r="H224" i="10"/>
  <c r="F421" i="10"/>
  <c r="K421" i="10" s="1"/>
  <c r="H421" i="10"/>
  <c r="F257" i="10"/>
  <c r="K257" i="10" s="1"/>
  <c r="H257" i="10"/>
  <c r="F374" i="10"/>
  <c r="K374" i="10" s="1"/>
  <c r="H374" i="10"/>
  <c r="F449" i="10"/>
  <c r="K449" i="10" s="1"/>
  <c r="H449" i="10"/>
  <c r="F397" i="10"/>
  <c r="K397" i="10" s="1"/>
  <c r="H397" i="10"/>
  <c r="F375" i="10"/>
  <c r="K375" i="10" s="1"/>
  <c r="H375" i="10"/>
  <c r="F357" i="10"/>
  <c r="K357" i="10" s="1"/>
  <c r="H357" i="10"/>
  <c r="F237" i="10"/>
  <c r="K237" i="10" s="1"/>
  <c r="H237" i="10"/>
  <c r="F79" i="10"/>
  <c r="K79" i="10" s="1"/>
  <c r="H79" i="10"/>
  <c r="F160" i="10"/>
  <c r="K160" i="10" s="1"/>
  <c r="H160" i="10"/>
  <c r="F346" i="10"/>
  <c r="K346" i="10" s="1"/>
  <c r="H346" i="10"/>
  <c r="F258" i="10"/>
  <c r="K258" i="10" s="1"/>
  <c r="H258" i="10"/>
  <c r="F26" i="10"/>
  <c r="K26" i="10" s="1"/>
  <c r="H26" i="10"/>
  <c r="F30" i="10"/>
  <c r="K30" i="10" s="1"/>
  <c r="H30" i="10"/>
  <c r="K447" i="10"/>
  <c r="F159" i="10"/>
  <c r="K159" i="10" s="1"/>
  <c r="H159" i="10"/>
  <c r="F43" i="10"/>
  <c r="K43" i="10" s="1"/>
  <c r="H43" i="10"/>
  <c r="F215" i="10"/>
  <c r="K215" i="10" s="1"/>
  <c r="H215" i="10"/>
  <c r="K134" i="10"/>
  <c r="H495" i="10"/>
  <c r="F172" i="10"/>
  <c r="K172" i="10" s="1"/>
  <c r="F58" i="10"/>
  <c r="K58" i="10" s="1"/>
  <c r="H58" i="10"/>
  <c r="F231" i="10"/>
  <c r="K231" i="10" s="1"/>
  <c r="H231" i="10"/>
  <c r="F268" i="10"/>
  <c r="K268" i="10" s="1"/>
  <c r="H268" i="10"/>
  <c r="F417" i="10"/>
  <c r="K417" i="10" s="1"/>
  <c r="H417" i="10"/>
  <c r="F146" i="10"/>
  <c r="K146" i="10" s="1"/>
  <c r="H146" i="10"/>
  <c r="F109" i="10"/>
  <c r="K109" i="10" s="1"/>
  <c r="H109" i="10"/>
  <c r="F235" i="10"/>
  <c r="K235" i="10" s="1"/>
  <c r="H235" i="10"/>
  <c r="H333" i="10"/>
  <c r="F333" i="10"/>
  <c r="K333" i="10" s="1"/>
  <c r="H269" i="10"/>
  <c r="F269" i="10"/>
  <c r="K269" i="10" s="1"/>
  <c r="H304" i="10"/>
  <c r="I304" i="10" s="1"/>
  <c r="H355" i="10"/>
  <c r="F458" i="10"/>
  <c r="K458" i="10" s="1"/>
  <c r="F153" i="10"/>
  <c r="K153" i="10" s="1"/>
  <c r="H153" i="10"/>
  <c r="F136" i="10"/>
  <c r="K136" i="10" s="1"/>
  <c r="H136" i="10"/>
  <c r="H399" i="10"/>
  <c r="F399" i="10"/>
  <c r="K399" i="10" s="1"/>
  <c r="F299" i="10"/>
  <c r="K299" i="10" s="1"/>
  <c r="H299" i="10"/>
  <c r="F227" i="10"/>
  <c r="K227" i="10" s="1"/>
  <c r="F19" i="10"/>
  <c r="K19" i="10" s="1"/>
  <c r="H19" i="10"/>
  <c r="J291" i="10"/>
  <c r="F366" i="10"/>
  <c r="K366" i="10" s="1"/>
  <c r="H366" i="10"/>
  <c r="F321" i="10"/>
  <c r="K321" i="10" s="1"/>
  <c r="H321" i="10"/>
  <c r="F32" i="10"/>
  <c r="K32" i="10" s="1"/>
  <c r="H32" i="10"/>
  <c r="F25" i="10"/>
  <c r="K25" i="10" s="1"/>
  <c r="H25" i="10"/>
  <c r="F493" i="10"/>
  <c r="K493" i="10" s="1"/>
  <c r="H493" i="10"/>
  <c r="F167" i="10"/>
  <c r="K167" i="10" s="1"/>
  <c r="H167" i="10"/>
  <c r="H356" i="10"/>
  <c r="F356" i="10"/>
  <c r="K356" i="10" s="1"/>
  <c r="F349" i="10"/>
  <c r="K349" i="10" s="1"/>
  <c r="H349" i="10"/>
  <c r="F201" i="10"/>
  <c r="K201" i="10" s="1"/>
  <c r="H201" i="10"/>
  <c r="F266" i="10"/>
  <c r="K266" i="10" s="1"/>
  <c r="H266" i="10"/>
  <c r="F288" i="10"/>
  <c r="K288" i="10" s="1"/>
  <c r="H288" i="10"/>
  <c r="F191" i="10"/>
  <c r="K191" i="10" s="1"/>
  <c r="H191" i="10"/>
  <c r="H4" i="10"/>
  <c r="F4" i="10"/>
  <c r="K4" i="10" s="1"/>
  <c r="H102" i="10"/>
  <c r="F102" i="10"/>
  <c r="K102" i="10" s="1"/>
  <c r="H222" i="10"/>
  <c r="F222" i="10"/>
  <c r="K222" i="10" s="1"/>
  <c r="J82" i="10"/>
  <c r="I182" i="10"/>
  <c r="F314" i="10"/>
  <c r="K314" i="10" s="1"/>
  <c r="H314" i="10"/>
  <c r="H285" i="10"/>
  <c r="F158" i="10"/>
  <c r="K158" i="10" s="1"/>
  <c r="H158" i="10"/>
  <c r="F290" i="10"/>
  <c r="K290" i="10" s="1"/>
  <c r="H290" i="10"/>
  <c r="F130" i="10"/>
  <c r="K130" i="10" s="1"/>
  <c r="H130" i="10"/>
  <c r="F14" i="10"/>
  <c r="K14" i="10" s="1"/>
  <c r="H14" i="10"/>
  <c r="J117" i="10"/>
  <c r="I117" i="10"/>
  <c r="H10" i="10"/>
  <c r="H498" i="10"/>
  <c r="F498" i="10"/>
  <c r="K498" i="10" s="1"/>
  <c r="H149" i="10"/>
  <c r="F214" i="10"/>
  <c r="K214" i="10" s="1"/>
  <c r="H214" i="10"/>
  <c r="F126" i="10"/>
  <c r="K126" i="10" s="1"/>
  <c r="H126" i="10"/>
  <c r="F363" i="10"/>
  <c r="K363" i="10" s="1"/>
  <c r="H363" i="10"/>
  <c r="F441" i="10"/>
  <c r="K441" i="10" s="1"/>
  <c r="H441" i="10"/>
  <c r="F460" i="10"/>
  <c r="K460" i="10" s="1"/>
  <c r="H460" i="10"/>
  <c r="F310" i="10"/>
  <c r="K310" i="10" s="1"/>
  <c r="H310" i="10"/>
  <c r="F274" i="10"/>
  <c r="K274" i="10" s="1"/>
  <c r="H274" i="10"/>
  <c r="F386" i="10"/>
  <c r="K386" i="10" s="1"/>
  <c r="H386" i="10"/>
  <c r="H326" i="10"/>
  <c r="F326" i="10"/>
  <c r="K326" i="10" s="1"/>
  <c r="F178" i="10"/>
  <c r="K178" i="10" s="1"/>
  <c r="H178" i="10"/>
  <c r="F420" i="10"/>
  <c r="K420" i="10" s="1"/>
  <c r="H420" i="10"/>
  <c r="H328" i="10"/>
  <c r="F328" i="10"/>
  <c r="K328" i="10" s="1"/>
  <c r="F433" i="10"/>
  <c r="K433" i="10" s="1"/>
  <c r="H433" i="10"/>
  <c r="F133" i="10"/>
  <c r="K133" i="10" s="1"/>
  <c r="H133" i="10"/>
  <c r="F344" i="10"/>
  <c r="K344" i="10" s="1"/>
  <c r="F332" i="10"/>
  <c r="K332" i="10" s="1"/>
  <c r="H332" i="10"/>
  <c r="F40" i="10"/>
  <c r="K40" i="10" s="1"/>
  <c r="H40" i="10"/>
  <c r="F380" i="10"/>
  <c r="K380" i="10" s="1"/>
  <c r="H380" i="10"/>
  <c r="F270" i="10"/>
  <c r="K270" i="10" s="1"/>
  <c r="H270" i="10"/>
  <c r="F104" i="10"/>
  <c r="K104" i="10" s="1"/>
  <c r="H104" i="10"/>
  <c r="F35" i="10"/>
  <c r="K35" i="10" s="1"/>
  <c r="H35" i="10"/>
  <c r="F47" i="10"/>
  <c r="K47" i="10" s="1"/>
  <c r="H47" i="10"/>
  <c r="J48" i="10"/>
  <c r="F395" i="10"/>
  <c r="K395" i="10" s="1"/>
  <c r="H156" i="10"/>
  <c r="H322" i="10"/>
  <c r="H447" i="10"/>
  <c r="F300" i="10"/>
  <c r="K300" i="10" s="1"/>
  <c r="F426" i="10"/>
  <c r="K426" i="10" s="1"/>
  <c r="H426" i="10"/>
  <c r="F446" i="10"/>
  <c r="K446" i="10" s="1"/>
  <c r="H446" i="10"/>
  <c r="F403" i="10"/>
  <c r="K403" i="10" s="1"/>
  <c r="H403" i="10"/>
  <c r="F162" i="10"/>
  <c r="K162" i="10" s="1"/>
  <c r="H162" i="10"/>
  <c r="F488" i="10"/>
  <c r="K488" i="10" s="1"/>
  <c r="H488" i="10"/>
  <c r="F72" i="10"/>
  <c r="K72" i="10" s="1"/>
  <c r="H72" i="10"/>
  <c r="F438" i="10"/>
  <c r="K438" i="10" s="1"/>
  <c r="H438" i="10"/>
  <c r="F365" i="10"/>
  <c r="K365" i="10" s="1"/>
  <c r="H365" i="10"/>
  <c r="F36" i="10"/>
  <c r="K36" i="10" s="1"/>
  <c r="H36" i="10"/>
  <c r="F232" i="10"/>
  <c r="K232" i="10" s="1"/>
  <c r="H232" i="10"/>
  <c r="F93" i="10"/>
  <c r="K93" i="10" s="1"/>
  <c r="H93" i="10"/>
  <c r="F503" i="10"/>
  <c r="K503" i="10" s="1"/>
  <c r="H503" i="10"/>
  <c r="F457" i="10"/>
  <c r="K457" i="10" s="1"/>
  <c r="H457" i="10"/>
  <c r="H409" i="10"/>
  <c r="F409" i="10"/>
  <c r="K409" i="10" s="1"/>
  <c r="F223" i="10"/>
  <c r="K223" i="10" s="1"/>
  <c r="H223" i="10"/>
  <c r="H369" i="10"/>
  <c r="F369" i="10"/>
  <c r="K369" i="10" s="1"/>
  <c r="F330" i="10"/>
  <c r="K330" i="10" s="1"/>
  <c r="H330" i="10"/>
  <c r="H352" i="10"/>
  <c r="F352" i="10"/>
  <c r="K352" i="10" s="1"/>
  <c r="F140" i="10"/>
  <c r="K140" i="10" s="1"/>
  <c r="H140" i="10"/>
  <c r="F423" i="10"/>
  <c r="K423" i="10" s="1"/>
  <c r="H423" i="10"/>
  <c r="H342" i="10"/>
  <c r="F342" i="10"/>
  <c r="K342" i="10" s="1"/>
  <c r="F29" i="10"/>
  <c r="K29" i="10" s="1"/>
  <c r="H29" i="10"/>
  <c r="H42" i="10"/>
  <c r="F293" i="10"/>
  <c r="K293" i="10" s="1"/>
  <c r="H293" i="10"/>
  <c r="F362" i="10"/>
  <c r="K362" i="10" s="1"/>
  <c r="H362" i="10"/>
  <c r="H297" i="10"/>
  <c r="F297" i="10"/>
  <c r="K297" i="10" s="1"/>
  <c r="F86" i="10"/>
  <c r="K86" i="10" s="1"/>
  <c r="H86" i="10"/>
  <c r="H123" i="10"/>
  <c r="F123" i="10"/>
  <c r="K123" i="10" s="1"/>
  <c r="H129" i="10"/>
  <c r="F129" i="10"/>
  <c r="K129" i="10" s="1"/>
  <c r="H163" i="10"/>
  <c r="F97" i="10"/>
  <c r="K97" i="10" s="1"/>
  <c r="H97" i="10"/>
  <c r="F418" i="10"/>
  <c r="K418" i="10" s="1"/>
  <c r="H418" i="10"/>
  <c r="F124" i="10"/>
  <c r="K124" i="10" s="1"/>
  <c r="H124" i="10"/>
  <c r="F372" i="10"/>
  <c r="K372" i="10" s="1"/>
  <c r="H372" i="10"/>
  <c r="F233" i="10"/>
  <c r="K233" i="10" s="1"/>
  <c r="H233" i="10"/>
  <c r="F116" i="10"/>
  <c r="K116" i="10" s="1"/>
  <c r="H116" i="10"/>
  <c r="J17" i="10"/>
  <c r="F200" i="10"/>
  <c r="K200" i="10" s="1"/>
  <c r="H200" i="10"/>
  <c r="F406" i="10"/>
  <c r="K406" i="10" s="1"/>
  <c r="H406" i="10"/>
  <c r="F445" i="10"/>
  <c r="K445" i="10" s="1"/>
  <c r="H445" i="10"/>
  <c r="F443" i="10"/>
  <c r="K443" i="10" s="1"/>
  <c r="H443" i="10"/>
  <c r="F66" i="10"/>
  <c r="K66" i="10" s="1"/>
  <c r="H66" i="10"/>
  <c r="F472" i="10"/>
  <c r="K472" i="10" s="1"/>
  <c r="H472" i="10"/>
  <c r="F148" i="10"/>
  <c r="K148" i="10" s="1"/>
  <c r="H148" i="10"/>
  <c r="F53" i="10"/>
  <c r="K53" i="10" s="1"/>
  <c r="H53" i="10"/>
  <c r="H216" i="10"/>
  <c r="F216" i="10"/>
  <c r="K216" i="10" s="1"/>
  <c r="F450" i="10"/>
  <c r="K450" i="10" s="1"/>
  <c r="H450" i="10"/>
  <c r="H283" i="10"/>
  <c r="F283" i="10"/>
  <c r="K283" i="10" s="1"/>
  <c r="F199" i="10"/>
  <c r="K199" i="10" s="1"/>
  <c r="H199" i="10"/>
  <c r="F353" i="10"/>
  <c r="K353" i="10" s="1"/>
  <c r="H353" i="10"/>
  <c r="H401" i="10"/>
  <c r="F401" i="10"/>
  <c r="K401" i="10" s="1"/>
  <c r="F341" i="10"/>
  <c r="K341" i="10" s="1"/>
  <c r="H341" i="10"/>
  <c r="H207" i="10"/>
  <c r="F207" i="10"/>
  <c r="K207" i="10" s="1"/>
  <c r="F175" i="10"/>
  <c r="K175" i="10" s="1"/>
  <c r="H175" i="10"/>
  <c r="H228" i="10"/>
  <c r="F385" i="10"/>
  <c r="K385" i="10" s="1"/>
  <c r="F412" i="10"/>
  <c r="K412" i="10" s="1"/>
  <c r="H412" i="10"/>
  <c r="F74" i="10"/>
  <c r="K74" i="10" s="1"/>
  <c r="H74" i="10"/>
  <c r="F455" i="10"/>
  <c r="K455" i="10" s="1"/>
  <c r="H455" i="10"/>
  <c r="F188" i="10"/>
  <c r="K188" i="10" s="1"/>
  <c r="H188" i="10"/>
  <c r="F212" i="10"/>
  <c r="K212" i="10" s="1"/>
  <c r="H212" i="10"/>
  <c r="F107" i="10"/>
  <c r="K107" i="10" s="1"/>
  <c r="H107" i="10"/>
  <c r="H246" i="10"/>
  <c r="F246" i="10"/>
  <c r="K246" i="10" s="1"/>
  <c r="F451" i="10"/>
  <c r="K451" i="10" s="1"/>
  <c r="H451" i="10"/>
  <c r="F275" i="10"/>
  <c r="K275" i="10" s="1"/>
  <c r="H275" i="10"/>
  <c r="H402" i="10"/>
  <c r="F402" i="10"/>
  <c r="K402" i="10" s="1"/>
  <c r="F208" i="10"/>
  <c r="K208" i="10" s="1"/>
  <c r="H208" i="10"/>
  <c r="H183" i="10"/>
  <c r="F183" i="10"/>
  <c r="K183" i="10" s="1"/>
  <c r="H152" i="10"/>
  <c r="F152" i="10"/>
  <c r="K152" i="10" s="1"/>
  <c r="H206" i="10"/>
  <c r="F206" i="10"/>
  <c r="K206" i="10" s="1"/>
  <c r="H505" i="10"/>
  <c r="F505" i="10"/>
  <c r="K505" i="10" s="1"/>
  <c r="F273" i="10"/>
  <c r="K273" i="10" s="1"/>
  <c r="H273" i="10"/>
  <c r="F255" i="10"/>
  <c r="K255" i="10" s="1"/>
  <c r="H255" i="10"/>
  <c r="H243" i="10"/>
  <c r="F243" i="10"/>
  <c r="K243" i="10" s="1"/>
  <c r="F125" i="10"/>
  <c r="K125" i="10" s="1"/>
  <c r="H125" i="10"/>
  <c r="H240" i="10"/>
  <c r="F240" i="10"/>
  <c r="K240" i="10" s="1"/>
  <c r="F106" i="10"/>
  <c r="K106" i="10" s="1"/>
  <c r="H106" i="10"/>
  <c r="H12" i="10"/>
  <c r="F12" i="10"/>
  <c r="K12" i="10" s="1"/>
  <c r="F174" i="10"/>
  <c r="K174" i="10" s="1"/>
  <c r="H174" i="10"/>
  <c r="F164" i="10"/>
  <c r="K164" i="10" s="1"/>
  <c r="H164" i="10"/>
  <c r="F151" i="10"/>
  <c r="K151" i="10" s="1"/>
  <c r="H151" i="10"/>
  <c r="F259" i="10"/>
  <c r="K259" i="10" s="1"/>
  <c r="H259" i="10"/>
  <c r="J429" i="10"/>
  <c r="K57" i="10"/>
  <c r="H298" i="10"/>
  <c r="F427" i="10"/>
  <c r="K427" i="10" s="1"/>
  <c r="H234" i="10"/>
  <c r="F234" i="10"/>
  <c r="K234" i="10" s="1"/>
  <c r="F461" i="10"/>
  <c r="K461" i="10" s="1"/>
  <c r="H461" i="10"/>
  <c r="F46" i="10"/>
  <c r="K46" i="10" s="1"/>
  <c r="H46" i="10"/>
  <c r="H263" i="10"/>
  <c r="F263" i="10"/>
  <c r="K263" i="10" s="1"/>
  <c r="H394" i="10"/>
  <c r="H121" i="10"/>
  <c r="F121" i="10"/>
  <c r="K121" i="10" s="1"/>
  <c r="H475" i="10"/>
  <c r="F475" i="10"/>
  <c r="K475" i="10" s="1"/>
  <c r="H245" i="10"/>
  <c r="F245" i="10"/>
  <c r="K245" i="10" s="1"/>
  <c r="H419" i="10"/>
  <c r="F419" i="10"/>
  <c r="K419" i="10" s="1"/>
  <c r="H319" i="10"/>
  <c r="F319" i="10"/>
  <c r="K319" i="10" s="1"/>
  <c r="H473" i="10"/>
  <c r="F473" i="10"/>
  <c r="K473" i="10" s="1"/>
  <c r="H400" i="10"/>
  <c r="F400" i="10"/>
  <c r="K400" i="10" s="1"/>
  <c r="H424" i="10"/>
  <c r="F424" i="10"/>
  <c r="K424" i="10" s="1"/>
  <c r="F320" i="10"/>
  <c r="K320" i="10" s="1"/>
  <c r="H320" i="10"/>
  <c r="H339" i="10"/>
  <c r="F339" i="10"/>
  <c r="K339" i="10" s="1"/>
  <c r="F340" i="10"/>
  <c r="K340" i="10" s="1"/>
  <c r="H340" i="10"/>
  <c r="F371" i="10"/>
  <c r="K371" i="10" s="1"/>
  <c r="H371" i="10"/>
  <c r="F193" i="10"/>
  <c r="K193" i="10" s="1"/>
  <c r="H193" i="10"/>
  <c r="H6" i="10"/>
  <c r="F6" i="10"/>
  <c r="K6" i="10" s="1"/>
  <c r="F90" i="10"/>
  <c r="K90" i="10" s="1"/>
  <c r="H90" i="10"/>
  <c r="H169" i="10"/>
  <c r="F169" i="10"/>
  <c r="K169" i="10" s="1"/>
  <c r="F27" i="10"/>
  <c r="K27" i="10" s="1"/>
  <c r="H27" i="10"/>
  <c r="F301" i="10"/>
  <c r="K301" i="10" s="1"/>
  <c r="H301" i="10"/>
  <c r="F94" i="10"/>
  <c r="K94" i="10" s="1"/>
  <c r="H94" i="10"/>
  <c r="H173" i="10"/>
  <c r="F173" i="10"/>
  <c r="K173" i="10" s="1"/>
  <c r="H482" i="10"/>
  <c r="I482" i="10" s="1"/>
  <c r="H334" i="10"/>
  <c r="H63" i="10"/>
  <c r="I63" i="10" s="1"/>
  <c r="F308" i="10"/>
  <c r="K308" i="10" s="1"/>
  <c r="F61" i="10"/>
  <c r="K61" i="10" s="1"/>
  <c r="H396" i="10"/>
  <c r="F396" i="10"/>
  <c r="K396" i="10" s="1"/>
  <c r="F272" i="10"/>
  <c r="K272" i="10" s="1"/>
  <c r="H272" i="10"/>
  <c r="H343" i="10"/>
  <c r="F343" i="10"/>
  <c r="K343" i="10" s="1"/>
  <c r="H391" i="10"/>
  <c r="F391" i="10"/>
  <c r="K391" i="10" s="1"/>
  <c r="F39" i="10"/>
  <c r="K39" i="10" s="1"/>
  <c r="H39" i="10"/>
  <c r="F83" i="10"/>
  <c r="K83" i="10" s="1"/>
  <c r="H205" i="10"/>
  <c r="F205" i="10"/>
  <c r="K205" i="10" s="1"/>
  <c r="H486" i="10"/>
  <c r="F486" i="10"/>
  <c r="K486" i="10" s="1"/>
  <c r="H229" i="10"/>
  <c r="F229" i="10"/>
  <c r="K229" i="10" s="1"/>
  <c r="H24" i="10"/>
  <c r="F24" i="10"/>
  <c r="K24" i="10" s="1"/>
  <c r="H21" i="10"/>
  <c r="F21" i="10"/>
  <c r="K21" i="10" s="1"/>
  <c r="H315" i="10"/>
  <c r="F315" i="10"/>
  <c r="K315" i="10" s="1"/>
  <c r="H422" i="10"/>
  <c r="F422" i="10"/>
  <c r="K422" i="10" s="1"/>
  <c r="H414" i="10"/>
  <c r="F414" i="10"/>
  <c r="K414" i="10" s="1"/>
  <c r="H236" i="10"/>
  <c r="F236" i="10"/>
  <c r="K236" i="10" s="1"/>
  <c r="H368" i="10"/>
  <c r="F368" i="10"/>
  <c r="K368" i="10" s="1"/>
  <c r="F478" i="10"/>
  <c r="K478" i="10" s="1"/>
  <c r="H478" i="10"/>
  <c r="F428" i="10"/>
  <c r="K428" i="10" s="1"/>
  <c r="H428" i="10"/>
  <c r="F323" i="10"/>
  <c r="K323" i="10" s="1"/>
  <c r="H323" i="10"/>
  <c r="F500" i="10"/>
  <c r="K500" i="10" s="1"/>
  <c r="H500" i="10"/>
  <c r="F241" i="10"/>
  <c r="K241" i="10" s="1"/>
  <c r="H241" i="10"/>
  <c r="H119" i="10"/>
  <c r="F119" i="10"/>
  <c r="K119" i="10" s="1"/>
  <c r="F211" i="10"/>
  <c r="K211" i="10" s="1"/>
  <c r="H211" i="10"/>
  <c r="H50" i="10"/>
  <c r="F50" i="10"/>
  <c r="K50" i="10" s="1"/>
  <c r="F507" i="10"/>
  <c r="K507" i="10" s="1"/>
  <c r="H507" i="10"/>
  <c r="H499" i="10"/>
  <c r="F499" i="10"/>
  <c r="K499" i="10" s="1"/>
  <c r="H463" i="10"/>
  <c r="F463" i="10"/>
  <c r="K463" i="10" s="1"/>
  <c r="F394" i="10"/>
  <c r="K394" i="10" s="1"/>
  <c r="F289" i="10"/>
  <c r="K289" i="10" s="1"/>
  <c r="F317" i="10"/>
  <c r="K317" i="10" s="1"/>
  <c r="F295" i="10"/>
  <c r="K295" i="10" s="1"/>
  <c r="H295" i="10"/>
  <c r="H204" i="10"/>
  <c r="F204" i="10"/>
  <c r="K204" i="10" s="1"/>
  <c r="H361" i="10"/>
  <c r="F166" i="10"/>
  <c r="K166" i="10" s="1"/>
  <c r="H166" i="10"/>
  <c r="F354" i="10"/>
  <c r="K354" i="10" s="1"/>
  <c r="H354" i="10"/>
  <c r="F141" i="10"/>
  <c r="K141" i="10" s="1"/>
  <c r="H141" i="10"/>
  <c r="H71" i="10"/>
  <c r="F71" i="10"/>
  <c r="K71" i="10" s="1"/>
  <c r="H196" i="10"/>
  <c r="F196" i="10"/>
  <c r="K196" i="10" s="1"/>
  <c r="F51" i="10"/>
  <c r="K51" i="10" s="1"/>
  <c r="H51" i="10"/>
  <c r="F73" i="10"/>
  <c r="K73" i="10" s="1"/>
  <c r="H73" i="10"/>
  <c r="H187" i="10"/>
  <c r="F187" i="10"/>
  <c r="K187" i="10" s="1"/>
  <c r="F312" i="10"/>
  <c r="K312" i="10" s="1"/>
  <c r="H312" i="10"/>
  <c r="H221" i="10"/>
  <c r="F221" i="10"/>
  <c r="K221" i="10" s="1"/>
  <c r="H267" i="10"/>
  <c r="H31" i="10"/>
  <c r="F31" i="10"/>
  <c r="K31" i="10" s="1"/>
  <c r="F387" i="10"/>
  <c r="K387" i="10" s="1"/>
  <c r="H387" i="10"/>
  <c r="H59" i="10"/>
  <c r="H64" i="10"/>
  <c r="F64" i="10"/>
  <c r="K64" i="10" s="1"/>
  <c r="H465" i="10"/>
  <c r="F465" i="10"/>
  <c r="K465" i="10" s="1"/>
  <c r="H128" i="10"/>
  <c r="H49" i="10"/>
  <c r="F100" i="10"/>
  <c r="K100" i="10" s="1"/>
  <c r="F135" i="10"/>
  <c r="K135" i="10" s="1"/>
  <c r="F360" i="10"/>
  <c r="K360" i="10" s="1"/>
  <c r="F501" i="10"/>
  <c r="K501" i="10" s="1"/>
  <c r="H68" i="10"/>
  <c r="F68" i="10"/>
  <c r="K68" i="10" s="1"/>
  <c r="F226" i="10"/>
  <c r="K226" i="10" s="1"/>
  <c r="H226" i="10"/>
  <c r="F452" i="10"/>
  <c r="K452" i="10" s="1"/>
  <c r="H452" i="10"/>
  <c r="F468" i="10"/>
  <c r="K468" i="10" s="1"/>
  <c r="H468" i="10"/>
  <c r="H280" i="10"/>
  <c r="F15" i="10"/>
  <c r="K15" i="10" s="1"/>
  <c r="H15" i="10"/>
  <c r="H213" i="10"/>
  <c r="I213" i="10" s="1"/>
  <c r="F138" i="10"/>
  <c r="K138" i="10" s="1"/>
  <c r="H138" i="10"/>
  <c r="H325" i="10"/>
  <c r="F197" i="10"/>
  <c r="K197" i="10" s="1"/>
  <c r="H197" i="10"/>
  <c r="H492" i="10"/>
  <c r="H139" i="10"/>
  <c r="F139" i="10"/>
  <c r="K139" i="10" s="1"/>
  <c r="H345" i="10"/>
  <c r="F345" i="10"/>
  <c r="K345" i="10" s="1"/>
  <c r="F54" i="10"/>
  <c r="K54" i="10" s="1"/>
  <c r="H54" i="10"/>
  <c r="F476" i="10"/>
  <c r="K476" i="10" s="1"/>
  <c r="H476" i="10"/>
  <c r="H155" i="10"/>
  <c r="F155" i="10"/>
  <c r="K155" i="10" s="1"/>
  <c r="H95" i="10"/>
  <c r="F95" i="10"/>
  <c r="K95" i="10" s="1"/>
  <c r="H373" i="10"/>
  <c r="F373" i="10"/>
  <c r="K373" i="10" s="1"/>
  <c r="H81" i="10"/>
  <c r="F81" i="10"/>
  <c r="K81" i="10" s="1"/>
  <c r="H80" i="10"/>
  <c r="H327" i="10"/>
  <c r="F327" i="10"/>
  <c r="K327" i="10" s="1"/>
  <c r="H302" i="10"/>
  <c r="F302" i="10"/>
  <c r="K302" i="10" s="1"/>
  <c r="H179" i="10"/>
  <c r="F179" i="10"/>
  <c r="K179" i="10" s="1"/>
  <c r="H28" i="10"/>
  <c r="F28" i="10"/>
  <c r="K28" i="10" s="1"/>
  <c r="H23" i="10"/>
  <c r="H18" i="10"/>
  <c r="F18" i="10"/>
  <c r="K18" i="10" s="1"/>
  <c r="H3" i="10"/>
  <c r="F3" i="10"/>
  <c r="K3" i="10" s="1"/>
  <c r="H384" i="10"/>
  <c r="H250" i="10"/>
  <c r="H398" i="10"/>
  <c r="F477" i="10"/>
  <c r="K477" i="10" s="1"/>
  <c r="F388" i="10"/>
  <c r="K388" i="10" s="1"/>
  <c r="F329" i="10"/>
  <c r="K329" i="10" s="1"/>
  <c r="H329" i="10"/>
  <c r="H84" i="10"/>
  <c r="F84" i="10"/>
  <c r="K84" i="10" s="1"/>
  <c r="H431" i="10"/>
  <c r="F431" i="10"/>
  <c r="K431" i="10" s="1"/>
  <c r="H115" i="10"/>
  <c r="F115" i="10"/>
  <c r="K115" i="10" s="1"/>
  <c r="H189" i="10"/>
  <c r="F189" i="10"/>
  <c r="K189" i="10" s="1"/>
  <c r="H44" i="10"/>
  <c r="F34" i="10"/>
  <c r="K34" i="10" s="1"/>
  <c r="H34" i="10"/>
  <c r="H467" i="10"/>
  <c r="H230" i="10"/>
  <c r="F230" i="10"/>
  <c r="K230" i="10" s="1"/>
  <c r="F217" i="10"/>
  <c r="K217" i="10" s="1"/>
  <c r="H217" i="10"/>
  <c r="H110" i="10"/>
  <c r="F439" i="10"/>
  <c r="K439" i="10" s="1"/>
  <c r="H439" i="10"/>
  <c r="H413" i="10"/>
  <c r="H282" i="10"/>
  <c r="F282" i="10"/>
  <c r="K282" i="10" s="1"/>
  <c r="H195" i="10"/>
  <c r="F195" i="10"/>
  <c r="K195" i="10" s="1"/>
  <c r="H456" i="10"/>
  <c r="F456" i="10"/>
  <c r="K456" i="10" s="1"/>
  <c r="H56" i="10"/>
  <c r="F56" i="10"/>
  <c r="K56" i="10" s="1"/>
  <c r="H165" i="10"/>
  <c r="F165" i="10"/>
  <c r="K165" i="10" s="1"/>
  <c r="H377" i="10"/>
  <c r="H316" i="10"/>
  <c r="F316" i="10"/>
  <c r="K316" i="10" s="1"/>
  <c r="H5" i="10"/>
  <c r="F5" i="10"/>
  <c r="K5" i="10" s="1"/>
  <c r="H186" i="10"/>
  <c r="F186" i="10"/>
  <c r="K186" i="10" s="1"/>
  <c r="H112" i="10"/>
  <c r="H393" i="10"/>
  <c r="F393" i="10"/>
  <c r="K393" i="10" s="1"/>
  <c r="H502" i="10"/>
  <c r="F502" i="10"/>
  <c r="K502" i="10" s="1"/>
  <c r="H171" i="10"/>
  <c r="F171" i="10"/>
  <c r="K171" i="10" s="1"/>
  <c r="H145" i="10"/>
  <c r="F145" i="10"/>
  <c r="K145" i="10" s="1"/>
  <c r="H506" i="10"/>
  <c r="F506" i="10"/>
  <c r="K506" i="10" s="1"/>
  <c r="H444" i="10"/>
  <c r="F444" i="10"/>
  <c r="K444" i="10" s="1"/>
  <c r="H494" i="10"/>
  <c r="F494" i="10"/>
  <c r="K494" i="10" s="1"/>
  <c r="H45" i="10"/>
  <c r="H271" i="10"/>
  <c r="F271" i="10"/>
  <c r="K271" i="10" s="1"/>
  <c r="H249" i="10"/>
  <c r="F249" i="10"/>
  <c r="K249" i="10" s="1"/>
  <c r="H202" i="10"/>
  <c r="H331" i="10"/>
  <c r="H350" i="10"/>
  <c r="H347" i="10"/>
  <c r="H318" i="10"/>
  <c r="F252" i="10"/>
  <c r="K252" i="10" s="1"/>
  <c r="F325" i="10"/>
  <c r="K325" i="10" s="1"/>
  <c r="F59" i="10"/>
  <c r="K59" i="10" s="1"/>
  <c r="F335" i="10"/>
  <c r="K335" i="10" s="1"/>
  <c r="H335" i="10"/>
  <c r="H198" i="10"/>
  <c r="F198" i="10"/>
  <c r="K198" i="10" s="1"/>
  <c r="H367" i="10"/>
  <c r="F367" i="10"/>
  <c r="K367" i="10" s="1"/>
  <c r="F378" i="10"/>
  <c r="K378" i="10" s="1"/>
  <c r="H378" i="10"/>
  <c r="F161" i="10"/>
  <c r="K161" i="10" s="1"/>
  <c r="H161" i="10"/>
  <c r="F122" i="10"/>
  <c r="K122" i="10" s="1"/>
  <c r="H122" i="10"/>
  <c r="F154" i="10"/>
  <c r="K154" i="10" s="1"/>
  <c r="H154" i="10"/>
  <c r="H210" i="10"/>
  <c r="F210" i="10"/>
  <c r="K210" i="10" s="1"/>
  <c r="H251" i="10"/>
  <c r="F251" i="10"/>
  <c r="K251" i="10" s="1"/>
  <c r="H432" i="10"/>
  <c r="F432" i="10"/>
  <c r="K432" i="10" s="1"/>
  <c r="F381" i="10"/>
  <c r="K381" i="10" s="1"/>
  <c r="H381" i="10"/>
  <c r="F462" i="10"/>
  <c r="K462" i="10" s="1"/>
  <c r="H462" i="10"/>
  <c r="H218" i="10"/>
  <c r="F218" i="10"/>
  <c r="K218" i="10" s="1"/>
  <c r="F77" i="10"/>
  <c r="K77" i="10" s="1"/>
  <c r="H77" i="10"/>
  <c r="F435" i="10"/>
  <c r="K435" i="10" s="1"/>
  <c r="H435" i="10"/>
  <c r="H359" i="10"/>
  <c r="H454" i="10"/>
  <c r="F454" i="10"/>
  <c r="K454" i="10" s="1"/>
  <c r="H437" i="10"/>
  <c r="F437" i="10"/>
  <c r="K437" i="10" s="1"/>
  <c r="H194" i="10"/>
  <c r="H364" i="10"/>
  <c r="F364" i="10"/>
  <c r="K364" i="10" s="1"/>
  <c r="H238" i="10"/>
  <c r="F238" i="10"/>
  <c r="K238" i="10" s="1"/>
  <c r="H440" i="10"/>
  <c r="H471" i="10"/>
  <c r="F471" i="10"/>
  <c r="K471" i="10" s="1"/>
  <c r="H209" i="10"/>
  <c r="F209" i="10"/>
  <c r="K209" i="10" s="1"/>
  <c r="H20" i="10"/>
  <c r="F20" i="10"/>
  <c r="K20" i="10" s="1"/>
  <c r="H416" i="10"/>
  <c r="H111" i="10"/>
  <c r="F111" i="10"/>
  <c r="K111" i="10" s="1"/>
  <c r="H496" i="10"/>
  <c r="F496" i="10"/>
  <c r="K496" i="10" s="1"/>
  <c r="H504" i="10"/>
  <c r="F504" i="10"/>
  <c r="K504" i="10" s="1"/>
  <c r="H170" i="10"/>
  <c r="F170" i="10"/>
  <c r="K170" i="10" s="1"/>
  <c r="H383" i="10"/>
  <c r="F383" i="10"/>
  <c r="K383" i="10" s="1"/>
  <c r="H88" i="10"/>
  <c r="F88" i="10"/>
  <c r="K88" i="10" s="1"/>
  <c r="H55" i="10"/>
  <c r="F55" i="10"/>
  <c r="K55" i="10" s="1"/>
  <c r="H38" i="10"/>
  <c r="H278" i="10"/>
  <c r="F278" i="10"/>
  <c r="K278" i="10" s="1"/>
  <c r="H92" i="10"/>
  <c r="F92" i="10"/>
  <c r="K92" i="10" s="1"/>
  <c r="H277" i="10"/>
  <c r="H105" i="10"/>
  <c r="H98" i="10"/>
  <c r="H510" i="10"/>
  <c r="I510" i="10" s="1"/>
  <c r="F157" i="10"/>
  <c r="K157" i="10" s="1"/>
  <c r="F110" i="10"/>
  <c r="K110" i="10" s="1"/>
  <c r="F147" i="10"/>
  <c r="K147" i="10" s="1"/>
  <c r="F80" i="10"/>
  <c r="K80" i="10" s="1"/>
  <c r="F23" i="10"/>
  <c r="K23" i="10" s="1"/>
  <c r="F483" i="10"/>
  <c r="K483" i="10" s="1"/>
  <c r="H483" i="10"/>
  <c r="F16" i="10"/>
  <c r="K16" i="10" s="1"/>
  <c r="H16" i="10"/>
  <c r="F184" i="10"/>
  <c r="K184" i="10" s="1"/>
  <c r="H184" i="10"/>
  <c r="F247" i="10"/>
  <c r="K247" i="10" s="1"/>
  <c r="H247" i="10"/>
  <c r="F131" i="10"/>
  <c r="K131" i="10" s="1"/>
  <c r="H131" i="10"/>
  <c r="F479" i="10"/>
  <c r="K479" i="10" s="1"/>
  <c r="H479" i="10"/>
  <c r="F168" i="10"/>
  <c r="K168" i="10" s="1"/>
  <c r="H168" i="10"/>
  <c r="K358" i="10"/>
  <c r="F41" i="10"/>
  <c r="K41" i="10" s="1"/>
  <c r="H41" i="10"/>
  <c r="K470" i="10"/>
  <c r="F379" i="10"/>
  <c r="K379" i="10" s="1"/>
  <c r="H379" i="10"/>
  <c r="F143" i="10"/>
  <c r="K143" i="10" s="1"/>
  <c r="H143" i="10"/>
  <c r="F405" i="10"/>
  <c r="K405" i="10" s="1"/>
  <c r="H405" i="10"/>
  <c r="F324" i="10"/>
  <c r="K324" i="10" s="1"/>
  <c r="H324" i="10"/>
  <c r="F425" i="10"/>
  <c r="K425" i="10" s="1"/>
  <c r="H425" i="10"/>
  <c r="K192" i="10"/>
  <c r="K490" i="10"/>
  <c r="F487" i="10"/>
  <c r="K487" i="10" s="1"/>
  <c r="H487" i="10"/>
  <c r="K347" i="10"/>
  <c r="K185" i="10"/>
  <c r="F296" i="10"/>
  <c r="K296" i="10" s="1"/>
  <c r="H296" i="10"/>
  <c r="K49" i="10"/>
  <c r="F484" i="10"/>
  <c r="K484" i="10" s="1"/>
  <c r="H484" i="10"/>
  <c r="K11" i="10"/>
  <c r="K491" i="10"/>
  <c r="F76" i="10"/>
  <c r="K76" i="10" s="1"/>
  <c r="H76" i="10"/>
  <c r="F120" i="10"/>
  <c r="K120" i="10" s="1"/>
  <c r="H120" i="10"/>
  <c r="F101" i="10"/>
  <c r="K101" i="10" s="1"/>
  <c r="H101" i="10"/>
  <c r="F177" i="10"/>
  <c r="K177" i="10" s="1"/>
  <c r="H177" i="10"/>
  <c r="F220" i="10"/>
  <c r="K220" i="10" s="1"/>
  <c r="H220" i="10"/>
  <c r="F91" i="10"/>
  <c r="K91" i="10" s="1"/>
  <c r="H91" i="10"/>
  <c r="H57" i="10"/>
  <c r="H8" i="10"/>
  <c r="H142" i="10"/>
  <c r="H469" i="10"/>
  <c r="I469" i="10" s="1"/>
  <c r="H48" i="10"/>
  <c r="F194" i="10"/>
  <c r="K194" i="10" s="1"/>
  <c r="F150" i="10"/>
  <c r="K150" i="10" s="1"/>
  <c r="F508" i="10"/>
  <c r="K508" i="10" s="1"/>
  <c r="F45" i="10"/>
  <c r="K45" i="10" s="1"/>
  <c r="F260" i="10"/>
  <c r="K260" i="10" s="1"/>
  <c r="H260" i="10"/>
  <c r="H459" i="10"/>
  <c r="F459" i="10"/>
  <c r="K459" i="10" s="1"/>
  <c r="F69" i="10"/>
  <c r="K69" i="10" s="1"/>
  <c r="H69" i="10"/>
  <c r="H67" i="10"/>
  <c r="F67" i="10"/>
  <c r="K67" i="10" s="1"/>
  <c r="J63" i="10"/>
  <c r="F203" i="10"/>
  <c r="K203" i="10" s="1"/>
  <c r="H203" i="10"/>
  <c r="H390" i="10"/>
  <c r="F390" i="10"/>
  <c r="K390" i="10" s="1"/>
  <c r="F337" i="10"/>
  <c r="K337" i="10" s="1"/>
  <c r="H337" i="10"/>
  <c r="F313" i="10"/>
  <c r="K313" i="10" s="1"/>
  <c r="H313" i="10"/>
  <c r="F448" i="10"/>
  <c r="K448" i="10" s="1"/>
  <c r="H448" i="10"/>
  <c r="F52" i="10"/>
  <c r="K52" i="10" s="1"/>
  <c r="H52" i="10"/>
  <c r="K389" i="10"/>
  <c r="F256" i="10"/>
  <c r="K256" i="10" s="1"/>
  <c r="H256" i="10"/>
  <c r="K276" i="10"/>
  <c r="F305" i="10"/>
  <c r="K305" i="10" s="1"/>
  <c r="H305" i="10"/>
  <c r="K264" i="10"/>
  <c r="F392" i="10"/>
  <c r="K392" i="10" s="1"/>
  <c r="H392" i="10"/>
  <c r="F244" i="10"/>
  <c r="K244" i="10" s="1"/>
  <c r="H244" i="10"/>
  <c r="F474" i="10"/>
  <c r="K474" i="10" s="1"/>
  <c r="H474" i="10"/>
  <c r="F376" i="10"/>
  <c r="K376" i="10" s="1"/>
  <c r="H376" i="10"/>
  <c r="K350" i="10"/>
  <c r="K254" i="10"/>
  <c r="K114" i="10"/>
  <c r="F261" i="10"/>
  <c r="K261" i="10" s="1"/>
  <c r="H261" i="10"/>
  <c r="K98" i="10"/>
  <c r="F96" i="10"/>
  <c r="K96" i="10" s="1"/>
  <c r="H96" i="10"/>
  <c r="F309" i="10"/>
  <c r="K309" i="10" s="1"/>
  <c r="H309" i="10"/>
  <c r="F511" i="10"/>
  <c r="K511" i="10" s="1"/>
  <c r="H511" i="10"/>
  <c r="F103" i="10"/>
  <c r="K103" i="10" s="1"/>
  <c r="H103" i="10"/>
  <c r="K108" i="10"/>
  <c r="K281" i="10"/>
  <c r="F99" i="10"/>
  <c r="K99" i="10" s="1"/>
  <c r="H99" i="10"/>
  <c r="F453" i="10"/>
  <c r="K453" i="10" s="1"/>
  <c r="H453" i="10"/>
  <c r="F303" i="10"/>
  <c r="K303" i="10" s="1"/>
  <c r="H303" i="10"/>
  <c r="K176" i="10"/>
  <c r="H408" i="10"/>
  <c r="H306" i="10"/>
  <c r="H127" i="10"/>
  <c r="H192" i="10"/>
  <c r="H509" i="10"/>
  <c r="H11" i="10"/>
  <c r="F22" i="10"/>
  <c r="K22" i="10" s="1"/>
  <c r="F113" i="10"/>
  <c r="K113" i="10" s="1"/>
  <c r="F38" i="10"/>
  <c r="K38" i="10" s="1"/>
  <c r="H7" i="10"/>
  <c r="H489" i="10"/>
  <c r="F37" i="10"/>
  <c r="K37" i="10" s="1"/>
  <c r="H37" i="10"/>
  <c r="F2" i="10"/>
  <c r="K2" i="10" s="1"/>
  <c r="H2" i="10"/>
  <c r="D535" i="16"/>
  <c r="D534" i="16"/>
  <c r="Y533" i="16"/>
  <c r="I533" i="16"/>
  <c r="E533" i="16"/>
  <c r="A36" i="14" a="1"/>
  <c r="A36" i="14" s="1"/>
  <c r="J23" i="20"/>
  <c r="K23" i="20" s="1"/>
  <c r="J24" i="20"/>
  <c r="K24" i="20" s="1"/>
  <c r="J25" i="20"/>
  <c r="K25" i="20" s="1"/>
  <c r="J26" i="20"/>
  <c r="K26" i="20" s="1"/>
  <c r="J27" i="20"/>
  <c r="K27" i="20" s="1"/>
  <c r="J28" i="20"/>
  <c r="K28" i="20" s="1"/>
  <c r="J22" i="20"/>
  <c r="K22" i="20" s="1"/>
  <c r="I336" i="10" l="1"/>
  <c r="I10" i="10"/>
  <c r="I291" i="10"/>
  <c r="I219" i="10"/>
  <c r="I13" i="10"/>
  <c r="I181" i="10"/>
  <c r="I277" i="10"/>
  <c r="I8" i="10"/>
  <c r="I416" i="10"/>
  <c r="I348" i="10"/>
  <c r="I85" i="10"/>
  <c r="I253" i="10"/>
  <c r="I62" i="10"/>
  <c r="I509" i="10"/>
  <c r="I464" i="10"/>
  <c r="I286" i="10"/>
  <c r="I495" i="10"/>
  <c r="I267" i="10"/>
  <c r="J466" i="10"/>
  <c r="I48" i="10"/>
  <c r="I44" i="10"/>
  <c r="I87" i="10"/>
  <c r="I398" i="10"/>
  <c r="I65" i="10"/>
  <c r="I480" i="10"/>
  <c r="J382" i="10"/>
  <c r="I481" i="10"/>
  <c r="I351" i="10"/>
  <c r="I33" i="10"/>
  <c r="I338" i="10"/>
  <c r="I78" i="10"/>
  <c r="I242" i="10"/>
  <c r="I132" i="10"/>
  <c r="I370" i="10"/>
  <c r="I279" i="10"/>
  <c r="I359" i="10"/>
  <c r="I127" i="10"/>
  <c r="I287" i="10"/>
  <c r="I492" i="10"/>
  <c r="I440" i="10"/>
  <c r="I384" i="10"/>
  <c r="I311" i="10"/>
  <c r="I322" i="10"/>
  <c r="I497" i="10"/>
  <c r="I144" i="10"/>
  <c r="I413" i="10"/>
  <c r="I128" i="10"/>
  <c r="J338" i="10"/>
  <c r="I42" i="10"/>
  <c r="J9" i="10"/>
  <c r="J132" i="10"/>
  <c r="I434" i="10"/>
  <c r="I7" i="10"/>
  <c r="J87" i="10"/>
  <c r="I112" i="10"/>
  <c r="I306" i="10"/>
  <c r="I415" i="10"/>
  <c r="I467" i="10"/>
  <c r="I60" i="10"/>
  <c r="I331" i="10"/>
  <c r="I250" i="10"/>
  <c r="I156" i="10"/>
  <c r="I377" i="10"/>
  <c r="I202" i="10"/>
  <c r="J118" i="10"/>
  <c r="I407" i="10"/>
  <c r="I142" i="10"/>
  <c r="I89" i="10"/>
  <c r="J434" i="10"/>
  <c r="I355" i="10"/>
  <c r="I280" i="10"/>
  <c r="J404" i="10"/>
  <c r="I180" i="10"/>
  <c r="I70" i="10"/>
  <c r="I361" i="10"/>
  <c r="I436" i="10"/>
  <c r="I294" i="10"/>
  <c r="J351" i="10"/>
  <c r="I149" i="10"/>
  <c r="I285" i="10"/>
  <c r="J7" i="10"/>
  <c r="J464" i="10"/>
  <c r="I163" i="10"/>
  <c r="I489" i="10"/>
  <c r="I318" i="10"/>
  <c r="I82" i="10"/>
  <c r="I262" i="10"/>
  <c r="J481" i="10"/>
  <c r="J163" i="10"/>
  <c r="I105" i="10"/>
  <c r="J497" i="10"/>
  <c r="I298" i="10"/>
  <c r="I334" i="10"/>
  <c r="I225" i="10"/>
  <c r="I204" i="10"/>
  <c r="J204" i="10"/>
  <c r="I61" i="10"/>
  <c r="J61" i="10"/>
  <c r="I263" i="10"/>
  <c r="J263" i="10"/>
  <c r="J240" i="10"/>
  <c r="I240" i="10"/>
  <c r="I183" i="10"/>
  <c r="J183" i="10"/>
  <c r="J353" i="10"/>
  <c r="I353" i="10"/>
  <c r="I472" i="10"/>
  <c r="J472" i="10"/>
  <c r="I233" i="10"/>
  <c r="J233" i="10"/>
  <c r="J86" i="10"/>
  <c r="I86" i="10"/>
  <c r="J423" i="10"/>
  <c r="I423" i="10"/>
  <c r="I457" i="10"/>
  <c r="J457" i="10"/>
  <c r="J438" i="10"/>
  <c r="I438" i="10"/>
  <c r="I32" i="10"/>
  <c r="J32" i="10"/>
  <c r="J333" i="10"/>
  <c r="I333" i="10"/>
  <c r="I172" i="10"/>
  <c r="J172" i="10"/>
  <c r="I447" i="10"/>
  <c r="J447" i="10"/>
  <c r="J357" i="10"/>
  <c r="I357" i="10"/>
  <c r="J485" i="10"/>
  <c r="I485" i="10"/>
  <c r="I430" i="10"/>
  <c r="J430" i="10"/>
  <c r="J511" i="10"/>
  <c r="I511" i="10"/>
  <c r="J244" i="10"/>
  <c r="I244" i="10"/>
  <c r="I260" i="10"/>
  <c r="J260" i="10"/>
  <c r="I296" i="10"/>
  <c r="J296" i="10"/>
  <c r="J379" i="10"/>
  <c r="I379" i="10"/>
  <c r="I210" i="10"/>
  <c r="J210" i="10"/>
  <c r="I59" i="10"/>
  <c r="J59" i="10"/>
  <c r="I316" i="10"/>
  <c r="J316" i="10"/>
  <c r="I465" i="10"/>
  <c r="J465" i="10"/>
  <c r="I236" i="10"/>
  <c r="J236" i="10"/>
  <c r="I205" i="10"/>
  <c r="J205" i="10"/>
  <c r="I308" i="10"/>
  <c r="J308" i="10"/>
  <c r="I400" i="10"/>
  <c r="J400" i="10"/>
  <c r="I188" i="10"/>
  <c r="J188" i="10"/>
  <c r="J297" i="10"/>
  <c r="I297" i="10"/>
  <c r="J300" i="10"/>
  <c r="I300" i="10"/>
  <c r="J47" i="10"/>
  <c r="I47" i="10"/>
  <c r="J420" i="10"/>
  <c r="I420" i="10"/>
  <c r="I130" i="10"/>
  <c r="J130" i="10"/>
  <c r="I266" i="10"/>
  <c r="J266" i="10"/>
  <c r="J299" i="10"/>
  <c r="I299" i="10"/>
  <c r="J228" i="10"/>
  <c r="I228" i="10"/>
  <c r="I335" i="10"/>
  <c r="J335" i="10"/>
  <c r="I372" i="10"/>
  <c r="J372" i="10"/>
  <c r="J321" i="10"/>
  <c r="I321" i="10"/>
  <c r="J30" i="10"/>
  <c r="I30" i="10"/>
  <c r="I375" i="10"/>
  <c r="J375" i="10"/>
  <c r="I75" i="10"/>
  <c r="J75" i="10"/>
  <c r="I309" i="10"/>
  <c r="J309" i="10"/>
  <c r="J392" i="10"/>
  <c r="I392" i="10"/>
  <c r="I390" i="10"/>
  <c r="J390" i="10"/>
  <c r="I347" i="10"/>
  <c r="J347" i="10"/>
  <c r="J55" i="10"/>
  <c r="I55" i="10"/>
  <c r="I252" i="10"/>
  <c r="J252" i="10"/>
  <c r="I217" i="10"/>
  <c r="J217" i="10"/>
  <c r="I329" i="10"/>
  <c r="J329" i="10"/>
  <c r="I345" i="10"/>
  <c r="J345" i="10"/>
  <c r="I468" i="10"/>
  <c r="J468" i="10"/>
  <c r="I64" i="10"/>
  <c r="J64" i="10"/>
  <c r="I295" i="10"/>
  <c r="J295" i="10"/>
  <c r="J119" i="10"/>
  <c r="I119" i="10"/>
  <c r="J414" i="10"/>
  <c r="I414" i="10"/>
  <c r="I83" i="10"/>
  <c r="J83" i="10"/>
  <c r="I6" i="10"/>
  <c r="J6" i="10"/>
  <c r="I473" i="10"/>
  <c r="J473" i="10"/>
  <c r="I46" i="10"/>
  <c r="J46" i="10"/>
  <c r="J125" i="10"/>
  <c r="I125" i="10"/>
  <c r="J208" i="10"/>
  <c r="I208" i="10"/>
  <c r="J455" i="10"/>
  <c r="I455" i="10"/>
  <c r="J352" i="10"/>
  <c r="I352" i="10"/>
  <c r="I35" i="10"/>
  <c r="J35" i="10"/>
  <c r="I178" i="10"/>
  <c r="J178" i="10"/>
  <c r="I363" i="10"/>
  <c r="J363" i="10"/>
  <c r="J290" i="10"/>
  <c r="I290" i="10"/>
  <c r="J222" i="10"/>
  <c r="I222" i="10"/>
  <c r="J201" i="10"/>
  <c r="I201" i="10"/>
  <c r="J235" i="10"/>
  <c r="I235" i="10"/>
  <c r="J444" i="10"/>
  <c r="I444" i="10"/>
  <c r="I90" i="10"/>
  <c r="J90" i="10"/>
  <c r="I488" i="10"/>
  <c r="J488" i="10"/>
  <c r="I326" i="10"/>
  <c r="J326" i="10"/>
  <c r="J26" i="10"/>
  <c r="I26" i="10"/>
  <c r="I397" i="10"/>
  <c r="J397" i="10"/>
  <c r="J239" i="10"/>
  <c r="I239" i="10"/>
  <c r="I220" i="10"/>
  <c r="J220" i="10"/>
  <c r="J140" i="10"/>
  <c r="I140" i="10"/>
  <c r="I209" i="10"/>
  <c r="J209" i="10"/>
  <c r="J88" i="10"/>
  <c r="I88" i="10"/>
  <c r="I74" i="10"/>
  <c r="J74" i="10"/>
  <c r="J109" i="10"/>
  <c r="I109" i="10"/>
  <c r="I84" i="10"/>
  <c r="J84" i="10"/>
  <c r="I16" i="10"/>
  <c r="J16" i="10"/>
  <c r="J72" i="10"/>
  <c r="I72" i="10"/>
  <c r="I388" i="10"/>
  <c r="J388" i="10"/>
  <c r="I402" i="10"/>
  <c r="J402" i="10"/>
  <c r="J259" i="10"/>
  <c r="I259" i="10"/>
  <c r="I283" i="10"/>
  <c r="J283" i="10"/>
  <c r="I2" i="10"/>
  <c r="J2" i="10"/>
  <c r="I98" i="10"/>
  <c r="J98" i="10"/>
  <c r="J305" i="10"/>
  <c r="I305" i="10"/>
  <c r="I203" i="10"/>
  <c r="J203" i="10"/>
  <c r="I150" i="10"/>
  <c r="J150" i="10"/>
  <c r="I101" i="10"/>
  <c r="J101" i="10"/>
  <c r="J490" i="10"/>
  <c r="I490" i="10"/>
  <c r="I80" i="10"/>
  <c r="J80" i="10"/>
  <c r="I471" i="10"/>
  <c r="J471" i="10"/>
  <c r="I77" i="10"/>
  <c r="J77" i="10"/>
  <c r="I122" i="10"/>
  <c r="J122" i="10"/>
  <c r="I171" i="10"/>
  <c r="J171" i="10"/>
  <c r="I56" i="10"/>
  <c r="J56" i="10"/>
  <c r="I394" i="10"/>
  <c r="J394" i="10"/>
  <c r="I241" i="10"/>
  <c r="J241" i="10"/>
  <c r="I39" i="10"/>
  <c r="J39" i="10"/>
  <c r="J193" i="10"/>
  <c r="I193" i="10"/>
  <c r="I234" i="10"/>
  <c r="J234" i="10"/>
  <c r="I445" i="10"/>
  <c r="J445" i="10"/>
  <c r="J418" i="10"/>
  <c r="I418" i="10"/>
  <c r="J293" i="10"/>
  <c r="I293" i="10"/>
  <c r="J349" i="10"/>
  <c r="I349" i="10"/>
  <c r="I366" i="10"/>
  <c r="J366" i="10"/>
  <c r="I136" i="10"/>
  <c r="J136" i="10"/>
  <c r="I258" i="10"/>
  <c r="J258" i="10"/>
  <c r="I449" i="10"/>
  <c r="J449" i="10"/>
  <c r="I307" i="10"/>
  <c r="J307" i="10"/>
  <c r="J211" i="10"/>
  <c r="I211" i="10"/>
  <c r="J503" i="10"/>
  <c r="I503" i="10"/>
  <c r="I154" i="10"/>
  <c r="J154" i="10"/>
  <c r="I176" i="10"/>
  <c r="J176" i="10"/>
  <c r="I139" i="10"/>
  <c r="J139" i="10"/>
  <c r="I387" i="10"/>
  <c r="J387" i="10"/>
  <c r="J278" i="10"/>
  <c r="I278" i="10"/>
  <c r="I66" i="10"/>
  <c r="J66" i="10"/>
  <c r="I483" i="10"/>
  <c r="J483" i="10"/>
  <c r="I317" i="10"/>
  <c r="J317" i="10"/>
  <c r="J243" i="10"/>
  <c r="I243" i="10"/>
  <c r="I96" i="10"/>
  <c r="J96" i="10"/>
  <c r="I422" i="10"/>
  <c r="J422" i="10"/>
  <c r="J218" i="10"/>
  <c r="I218" i="10"/>
  <c r="I71" i="10"/>
  <c r="J71" i="10"/>
  <c r="J255" i="10"/>
  <c r="I255" i="10"/>
  <c r="I356" i="10"/>
  <c r="J356" i="10"/>
  <c r="I37" i="10"/>
  <c r="J37" i="10"/>
  <c r="J110" i="10"/>
  <c r="I110" i="10"/>
  <c r="J385" i="10"/>
  <c r="I385" i="10"/>
  <c r="I175" i="10"/>
  <c r="J175" i="10"/>
  <c r="J450" i="10"/>
  <c r="I450" i="10"/>
  <c r="J406" i="10"/>
  <c r="I406" i="10"/>
  <c r="J97" i="10"/>
  <c r="I97" i="10"/>
  <c r="J330" i="10"/>
  <c r="I330" i="10"/>
  <c r="I93" i="10"/>
  <c r="J93" i="10"/>
  <c r="I162" i="10"/>
  <c r="J162" i="10"/>
  <c r="I332" i="10"/>
  <c r="J332" i="10"/>
  <c r="I153" i="10"/>
  <c r="J153" i="10"/>
  <c r="I346" i="10"/>
  <c r="J346" i="10"/>
  <c r="I374" i="10"/>
  <c r="J374" i="10"/>
  <c r="I284" i="10"/>
  <c r="J284" i="10"/>
  <c r="I313" i="10"/>
  <c r="J313" i="10"/>
  <c r="I179" i="10"/>
  <c r="J179" i="10"/>
  <c r="I54" i="10"/>
  <c r="J54" i="10"/>
  <c r="I145" i="10"/>
  <c r="J145" i="10"/>
  <c r="I443" i="10"/>
  <c r="J443" i="10"/>
  <c r="I358" i="10"/>
  <c r="J358" i="10"/>
  <c r="J275" i="10"/>
  <c r="I275" i="10"/>
  <c r="J238" i="10"/>
  <c r="I238" i="10"/>
  <c r="I3" i="10"/>
  <c r="J3" i="10"/>
  <c r="I463" i="10"/>
  <c r="J463" i="10"/>
  <c r="J21" i="10"/>
  <c r="I21" i="10"/>
  <c r="I245" i="10"/>
  <c r="J245" i="10"/>
  <c r="J164" i="10"/>
  <c r="I164" i="10"/>
  <c r="J273" i="10"/>
  <c r="I273" i="10"/>
  <c r="J451" i="10"/>
  <c r="I451" i="10"/>
  <c r="J207" i="10"/>
  <c r="I207" i="10"/>
  <c r="J216" i="10"/>
  <c r="I216" i="10"/>
  <c r="I369" i="10"/>
  <c r="J369" i="10"/>
  <c r="I380" i="10"/>
  <c r="J380" i="10"/>
  <c r="J344" i="10"/>
  <c r="I344" i="10"/>
  <c r="J274" i="10"/>
  <c r="I274" i="10"/>
  <c r="I498" i="10"/>
  <c r="J498" i="10"/>
  <c r="I417" i="10"/>
  <c r="J417" i="10"/>
  <c r="I134" i="10"/>
  <c r="J134" i="10"/>
  <c r="I442" i="10"/>
  <c r="J442" i="10"/>
  <c r="I454" i="10"/>
  <c r="J454" i="10"/>
  <c r="J325" i="10"/>
  <c r="I325" i="10"/>
  <c r="J41" i="10"/>
  <c r="I41" i="10"/>
  <c r="J51" i="10"/>
  <c r="I51" i="10"/>
  <c r="I124" i="10"/>
  <c r="J124" i="10"/>
  <c r="I487" i="10"/>
  <c r="J487" i="10"/>
  <c r="J196" i="10"/>
  <c r="I196" i="10"/>
  <c r="J104" i="10"/>
  <c r="I104" i="10"/>
  <c r="I303" i="10"/>
  <c r="J303" i="10"/>
  <c r="J192" i="10"/>
  <c r="I192" i="10"/>
  <c r="J315" i="10"/>
  <c r="I315" i="10"/>
  <c r="I4" i="10"/>
  <c r="J4" i="10"/>
  <c r="J120" i="10"/>
  <c r="I120" i="10"/>
  <c r="I456" i="10"/>
  <c r="J456" i="10"/>
  <c r="J371" i="10"/>
  <c r="I371" i="10"/>
  <c r="I425" i="10"/>
  <c r="J425" i="10"/>
  <c r="J197" i="10"/>
  <c r="I197" i="10"/>
  <c r="I254" i="10"/>
  <c r="J254" i="10"/>
  <c r="I389" i="10"/>
  <c r="J389" i="10"/>
  <c r="I67" i="10"/>
  <c r="J67" i="10"/>
  <c r="I76" i="10"/>
  <c r="J76" i="10"/>
  <c r="J462" i="10"/>
  <c r="I462" i="10"/>
  <c r="I378" i="10"/>
  <c r="J378" i="10"/>
  <c r="I393" i="10"/>
  <c r="J393" i="10"/>
  <c r="I195" i="10"/>
  <c r="J195" i="10"/>
  <c r="I189" i="10"/>
  <c r="J189" i="10"/>
  <c r="I501" i="10"/>
  <c r="J501" i="10"/>
  <c r="J141" i="10"/>
  <c r="I141" i="10"/>
  <c r="J323" i="10"/>
  <c r="I323" i="10"/>
  <c r="I343" i="10"/>
  <c r="J343" i="10"/>
  <c r="I94" i="10"/>
  <c r="J94" i="10"/>
  <c r="I340" i="10"/>
  <c r="J340" i="10"/>
  <c r="J505" i="10"/>
  <c r="I505" i="10"/>
  <c r="I246" i="10"/>
  <c r="J246" i="10"/>
  <c r="J200" i="10"/>
  <c r="I200" i="10"/>
  <c r="I29" i="10"/>
  <c r="J29" i="10"/>
  <c r="I232" i="10"/>
  <c r="J232" i="10"/>
  <c r="I403" i="10"/>
  <c r="J403" i="10"/>
  <c r="J167" i="10"/>
  <c r="I167" i="10"/>
  <c r="I160" i="10"/>
  <c r="J160" i="10"/>
  <c r="J257" i="10"/>
  <c r="I257" i="10"/>
  <c r="I292" i="10"/>
  <c r="J292" i="10"/>
  <c r="J408" i="10"/>
  <c r="I408" i="10"/>
  <c r="J476" i="10"/>
  <c r="I476" i="10"/>
  <c r="I20" i="10"/>
  <c r="J20" i="10"/>
  <c r="I73" i="10"/>
  <c r="J73" i="10"/>
  <c r="I327" i="10"/>
  <c r="J327" i="10"/>
  <c r="J362" i="10"/>
  <c r="I362" i="10"/>
  <c r="I452" i="10"/>
  <c r="J452" i="10"/>
  <c r="I147" i="10"/>
  <c r="J147" i="10"/>
  <c r="I81" i="10"/>
  <c r="J81" i="10"/>
  <c r="I146" i="10"/>
  <c r="J146" i="10"/>
  <c r="I261" i="10"/>
  <c r="J261" i="10"/>
  <c r="J31" i="10"/>
  <c r="I31" i="10"/>
  <c r="I157" i="10"/>
  <c r="J157" i="10"/>
  <c r="I373" i="10"/>
  <c r="J373" i="10"/>
  <c r="I99" i="10"/>
  <c r="J99" i="10"/>
  <c r="J271" i="10"/>
  <c r="I271" i="10"/>
  <c r="I221" i="10"/>
  <c r="J221" i="10"/>
  <c r="I499" i="10"/>
  <c r="J499" i="10"/>
  <c r="I24" i="10"/>
  <c r="J24" i="10"/>
  <c r="I174" i="10"/>
  <c r="J174" i="10"/>
  <c r="I129" i="10"/>
  <c r="J129" i="10"/>
  <c r="I40" i="10"/>
  <c r="J40" i="10"/>
  <c r="I133" i="10"/>
  <c r="J133" i="10"/>
  <c r="J310" i="10"/>
  <c r="I310" i="10"/>
  <c r="J458" i="10"/>
  <c r="I458" i="10"/>
  <c r="J268" i="10"/>
  <c r="I268" i="10"/>
  <c r="I215" i="10"/>
  <c r="J215" i="10"/>
  <c r="J506" i="10"/>
  <c r="I506" i="10"/>
  <c r="J199" i="10"/>
  <c r="I199" i="10"/>
  <c r="I264" i="10"/>
  <c r="J264" i="10"/>
  <c r="I289" i="10"/>
  <c r="J289" i="10"/>
  <c r="I102" i="10"/>
  <c r="J102" i="10"/>
  <c r="I194" i="10"/>
  <c r="J194" i="10"/>
  <c r="I391" i="10"/>
  <c r="J391" i="10"/>
  <c r="I412" i="10"/>
  <c r="J412" i="10"/>
  <c r="I270" i="10"/>
  <c r="J270" i="10"/>
  <c r="I161" i="10"/>
  <c r="J161" i="10"/>
  <c r="I68" i="10"/>
  <c r="J68" i="10"/>
  <c r="I170" i="10"/>
  <c r="J170" i="10"/>
  <c r="I350" i="10"/>
  <c r="J350" i="10"/>
  <c r="I491" i="10"/>
  <c r="J491" i="10"/>
  <c r="I504" i="10"/>
  <c r="J504" i="10"/>
  <c r="J95" i="10"/>
  <c r="I95" i="10"/>
  <c r="I475" i="10"/>
  <c r="J475" i="10"/>
  <c r="J113" i="10"/>
  <c r="I113" i="10"/>
  <c r="I281" i="10"/>
  <c r="J281" i="10"/>
  <c r="I52" i="10"/>
  <c r="J52" i="10"/>
  <c r="I11" i="10"/>
  <c r="J11" i="10"/>
  <c r="J381" i="10"/>
  <c r="I381" i="10"/>
  <c r="I282" i="10"/>
  <c r="J282" i="10"/>
  <c r="I115" i="10"/>
  <c r="J115" i="10"/>
  <c r="J138" i="10"/>
  <c r="I138" i="10"/>
  <c r="I135" i="10"/>
  <c r="J135" i="10"/>
  <c r="J354" i="10"/>
  <c r="I354" i="10"/>
  <c r="I428" i="10"/>
  <c r="J428" i="10"/>
  <c r="J301" i="10"/>
  <c r="I301" i="10"/>
  <c r="I12" i="10"/>
  <c r="J12" i="10"/>
  <c r="J206" i="10"/>
  <c r="I206" i="10"/>
  <c r="J341" i="10"/>
  <c r="I341" i="10"/>
  <c r="J53" i="10"/>
  <c r="I53" i="10"/>
  <c r="I223" i="10"/>
  <c r="J223" i="10"/>
  <c r="J36" i="10"/>
  <c r="I36" i="10"/>
  <c r="J446" i="10"/>
  <c r="I446" i="10"/>
  <c r="I191" i="10"/>
  <c r="J191" i="10"/>
  <c r="J493" i="10"/>
  <c r="I493" i="10"/>
  <c r="I79" i="10"/>
  <c r="J79" i="10"/>
  <c r="J421" i="10"/>
  <c r="I421" i="10"/>
  <c r="J411" i="10"/>
  <c r="I411" i="10"/>
  <c r="J410" i="10"/>
  <c r="I410" i="10"/>
  <c r="I184" i="10"/>
  <c r="J184" i="10"/>
  <c r="I470" i="10"/>
  <c r="J470" i="10"/>
  <c r="J302" i="10"/>
  <c r="I302" i="10"/>
  <c r="I399" i="10"/>
  <c r="J399" i="10"/>
  <c r="I177" i="10"/>
  <c r="J177" i="10"/>
  <c r="J165" i="10"/>
  <c r="I165" i="10"/>
  <c r="I23" i="10"/>
  <c r="J23" i="10"/>
  <c r="I477" i="10"/>
  <c r="J477" i="10"/>
  <c r="I276" i="10"/>
  <c r="J276" i="10"/>
  <c r="I168" i="10"/>
  <c r="J168" i="10"/>
  <c r="I173" i="10"/>
  <c r="J173" i="10"/>
  <c r="J151" i="10"/>
  <c r="I151" i="10"/>
  <c r="J34" i="10"/>
  <c r="I34" i="10"/>
  <c r="J427" i="10"/>
  <c r="I427" i="10"/>
  <c r="J114" i="10"/>
  <c r="I114" i="10"/>
  <c r="J131" i="10"/>
  <c r="I131" i="10"/>
  <c r="I367" i="10"/>
  <c r="J367" i="10"/>
  <c r="I360" i="10"/>
  <c r="J360" i="10"/>
  <c r="I339" i="10"/>
  <c r="J339" i="10"/>
  <c r="J22" i="10"/>
  <c r="I22" i="10"/>
  <c r="I108" i="10"/>
  <c r="J108" i="10"/>
  <c r="I376" i="10"/>
  <c r="J376" i="10"/>
  <c r="I69" i="10"/>
  <c r="J69" i="10"/>
  <c r="I405" i="10"/>
  <c r="J405" i="10"/>
  <c r="J247" i="10"/>
  <c r="I247" i="10"/>
  <c r="J496" i="10"/>
  <c r="I496" i="10"/>
  <c r="I432" i="10"/>
  <c r="J432" i="10"/>
  <c r="I198" i="10"/>
  <c r="J198" i="10"/>
  <c r="I186" i="10"/>
  <c r="J186" i="10"/>
  <c r="I155" i="10"/>
  <c r="J155" i="10"/>
  <c r="J100" i="10"/>
  <c r="I100" i="10"/>
  <c r="J229" i="10"/>
  <c r="I229" i="10"/>
  <c r="I272" i="10"/>
  <c r="J272" i="10"/>
  <c r="I121" i="10"/>
  <c r="J121" i="10"/>
  <c r="I107" i="10"/>
  <c r="J107" i="10"/>
  <c r="I401" i="10"/>
  <c r="J401" i="10"/>
  <c r="J123" i="10"/>
  <c r="I123" i="10"/>
  <c r="I342" i="10"/>
  <c r="J342" i="10"/>
  <c r="I409" i="10"/>
  <c r="J409" i="10"/>
  <c r="I395" i="10"/>
  <c r="J395" i="10"/>
  <c r="I433" i="10"/>
  <c r="J433" i="10"/>
  <c r="I460" i="10"/>
  <c r="J460" i="10"/>
  <c r="J231" i="10"/>
  <c r="I231" i="10"/>
  <c r="J43" i="10"/>
  <c r="I43" i="10"/>
  <c r="I185" i="10"/>
  <c r="J185" i="10"/>
  <c r="I45" i="10"/>
  <c r="J45" i="10"/>
  <c r="J230" i="10"/>
  <c r="I230" i="10"/>
  <c r="I508" i="10"/>
  <c r="J508" i="10"/>
  <c r="I319" i="10"/>
  <c r="J319" i="10"/>
  <c r="I126" i="10"/>
  <c r="J126" i="10"/>
  <c r="I419" i="10"/>
  <c r="J419" i="10"/>
  <c r="I386" i="10"/>
  <c r="J386" i="10"/>
  <c r="I256" i="10"/>
  <c r="J256" i="10"/>
  <c r="I249" i="10"/>
  <c r="J249" i="10"/>
  <c r="I38" i="10"/>
  <c r="J38" i="10"/>
  <c r="I324" i="10"/>
  <c r="J324" i="10"/>
  <c r="J18" i="10"/>
  <c r="I18" i="10"/>
  <c r="J448" i="10"/>
  <c r="I448" i="10"/>
  <c r="J484" i="10"/>
  <c r="I484" i="10"/>
  <c r="I92" i="10"/>
  <c r="J92" i="10"/>
  <c r="I437" i="10"/>
  <c r="J437" i="10"/>
  <c r="J494" i="10"/>
  <c r="I494" i="10"/>
  <c r="I431" i="10"/>
  <c r="J431" i="10"/>
  <c r="I28" i="10"/>
  <c r="J28" i="10"/>
  <c r="J312" i="10"/>
  <c r="I312" i="10"/>
  <c r="J166" i="10"/>
  <c r="I166" i="10"/>
  <c r="J507" i="10"/>
  <c r="I507" i="10"/>
  <c r="I478" i="10"/>
  <c r="J478" i="10"/>
  <c r="I396" i="10"/>
  <c r="J396" i="10"/>
  <c r="J27" i="10"/>
  <c r="I27" i="10"/>
  <c r="I320" i="10"/>
  <c r="J320" i="10"/>
  <c r="J152" i="10"/>
  <c r="I152" i="10"/>
  <c r="I148" i="10"/>
  <c r="J148" i="10"/>
  <c r="J116" i="10"/>
  <c r="I116" i="10"/>
  <c r="I365" i="10"/>
  <c r="J365" i="10"/>
  <c r="J426" i="10"/>
  <c r="I426" i="10"/>
  <c r="J328" i="10"/>
  <c r="I328" i="10"/>
  <c r="I314" i="10"/>
  <c r="J314" i="10"/>
  <c r="I288" i="10"/>
  <c r="J288" i="10"/>
  <c r="I25" i="10"/>
  <c r="J25" i="10"/>
  <c r="I19" i="10"/>
  <c r="J19" i="10"/>
  <c r="I269" i="10"/>
  <c r="J269" i="10"/>
  <c r="I237" i="10"/>
  <c r="J237" i="10"/>
  <c r="I224" i="10"/>
  <c r="J224" i="10"/>
  <c r="J137" i="10"/>
  <c r="I137" i="10"/>
  <c r="I91" i="10"/>
  <c r="J91" i="10"/>
  <c r="J439" i="10"/>
  <c r="I439" i="10"/>
  <c r="I337" i="10"/>
  <c r="J337" i="10"/>
  <c r="J435" i="10"/>
  <c r="I435" i="10"/>
  <c r="I461" i="10"/>
  <c r="J461" i="10"/>
  <c r="I158" i="10"/>
  <c r="J158" i="10"/>
  <c r="J383" i="10"/>
  <c r="I383" i="10"/>
  <c r="I226" i="10"/>
  <c r="J226" i="10"/>
  <c r="I214" i="10"/>
  <c r="J214" i="10"/>
  <c r="I502" i="10"/>
  <c r="J502" i="10"/>
  <c r="J500" i="10"/>
  <c r="I500" i="10"/>
  <c r="J453" i="10"/>
  <c r="I453" i="10"/>
  <c r="J479" i="10"/>
  <c r="I479" i="10"/>
  <c r="I364" i="10"/>
  <c r="J364" i="10"/>
  <c r="I459" i="10"/>
  <c r="J459" i="10"/>
  <c r="J103" i="10"/>
  <c r="I103" i="10"/>
  <c r="I474" i="10"/>
  <c r="J474" i="10"/>
  <c r="I49" i="10"/>
  <c r="J49" i="10"/>
  <c r="I143" i="10"/>
  <c r="J143" i="10"/>
  <c r="I111" i="10"/>
  <c r="J111" i="10"/>
  <c r="I251" i="10"/>
  <c r="J251" i="10"/>
  <c r="I5" i="10"/>
  <c r="J5" i="10"/>
  <c r="J15" i="10"/>
  <c r="I15" i="10"/>
  <c r="I187" i="10"/>
  <c r="J187" i="10"/>
  <c r="I50" i="10"/>
  <c r="J50" i="10"/>
  <c r="I368" i="10"/>
  <c r="J368" i="10"/>
  <c r="J486" i="10"/>
  <c r="I486" i="10"/>
  <c r="J169" i="10"/>
  <c r="I169" i="10"/>
  <c r="I424" i="10"/>
  <c r="J424" i="10"/>
  <c r="J57" i="10"/>
  <c r="I57" i="10"/>
  <c r="I106" i="10"/>
  <c r="J106" i="10"/>
  <c r="J212" i="10"/>
  <c r="I212" i="10"/>
  <c r="I441" i="10"/>
  <c r="J441" i="10"/>
  <c r="I14" i="10"/>
  <c r="J14" i="10"/>
  <c r="J227" i="10"/>
  <c r="I227" i="10"/>
  <c r="J58" i="10"/>
  <c r="I58" i="10"/>
  <c r="I159" i="10"/>
  <c r="J159" i="10"/>
  <c r="J32" i="20"/>
  <c r="D533" i="16"/>
  <c r="R30" i="20"/>
  <c r="B34" i="14"/>
  <c r="B20" i="14"/>
  <c r="B21" i="14"/>
  <c r="B22" i="14"/>
  <c r="B23" i="14"/>
  <c r="B24" i="14"/>
  <c r="B25" i="14"/>
  <c r="B26" i="14"/>
  <c r="B27" i="14"/>
  <c r="B28" i="14"/>
  <c r="B29" i="14"/>
  <c r="B30" i="14"/>
  <c r="B31" i="14"/>
  <c r="B32" i="14"/>
  <c r="B19" i="14"/>
  <c r="B36" i="14"/>
  <c r="H26" i="20"/>
  <c r="I26" i="20" s="1"/>
  <c r="H27" i="20"/>
  <c r="I27" i="20" s="1"/>
  <c r="H28" i="20"/>
  <c r="I28" i="20" s="1"/>
  <c r="H25" i="20"/>
  <c r="I25" i="20" s="1"/>
  <c r="F23" i="20"/>
  <c r="G23" i="20" s="1"/>
  <c r="F24" i="20"/>
  <c r="G24" i="20" s="1"/>
  <c r="F25" i="20"/>
  <c r="G25" i="20" s="1"/>
  <c r="F26" i="20"/>
  <c r="G26" i="20" s="1"/>
  <c r="F27" i="20"/>
  <c r="G27" i="20" s="1"/>
  <c r="F22" i="20"/>
  <c r="G22" i="20" s="1"/>
  <c r="D22" i="20"/>
  <c r="E22" i="20" s="1"/>
  <c r="D23" i="20"/>
  <c r="E23" i="20" s="1"/>
  <c r="D24" i="20"/>
  <c r="E24" i="20" s="1"/>
  <c r="D25" i="20"/>
  <c r="E25" i="20" s="1"/>
  <c r="D26" i="20"/>
  <c r="E26" i="20" s="1"/>
  <c r="D27" i="20"/>
  <c r="E27" i="20" s="1"/>
  <c r="D28" i="20"/>
  <c r="E28" i="20" s="1"/>
  <c r="D21" i="20"/>
  <c r="E21" i="20" s="1"/>
  <c r="D20" i="20"/>
  <c r="E20" i="20" s="1"/>
  <c r="B22" i="20"/>
  <c r="C22" i="20" s="1"/>
  <c r="B23" i="20"/>
  <c r="C23" i="20" s="1"/>
  <c r="B24" i="20"/>
  <c r="C24" i="20" s="1"/>
  <c r="B25" i="20"/>
  <c r="C25" i="20" s="1"/>
  <c r="B26" i="20"/>
  <c r="C26" i="20" s="1"/>
  <c r="B27" i="20"/>
  <c r="C27" i="20" s="1"/>
  <c r="B21" i="20"/>
  <c r="C21" i="20" s="1"/>
  <c r="B20" i="20"/>
  <c r="C20" i="20" s="1"/>
  <c r="B28" i="20"/>
  <c r="C28" i="20" s="1"/>
  <c r="C12" i="20"/>
  <c r="U4" i="20"/>
  <c r="U5" i="20"/>
  <c r="U6" i="20"/>
  <c r="U7" i="20"/>
  <c r="U8" i="20"/>
  <c r="U9" i="20"/>
  <c r="U10" i="20"/>
  <c r="U11" i="20"/>
  <c r="U12" i="20"/>
  <c r="U3" i="20"/>
  <c r="T12" i="20"/>
  <c r="R12" i="20"/>
  <c r="R29" i="20" s="1"/>
  <c r="S29" i="20" s="1"/>
  <c r="T29" i="20" s="1"/>
  <c r="U29" i="20" s="1"/>
  <c r="T10" i="20"/>
  <c r="T9" i="20"/>
  <c r="T8" i="20"/>
  <c r="T7" i="20"/>
  <c r="T6" i="20"/>
  <c r="T5" i="20"/>
  <c r="T4" i="20"/>
  <c r="T3" i="20"/>
  <c r="T11" i="20"/>
  <c r="R10" i="20"/>
  <c r="S10" i="20" s="1"/>
  <c r="R9" i="20"/>
  <c r="S9" i="20" s="1"/>
  <c r="R8" i="20"/>
  <c r="S8" i="20" s="1"/>
  <c r="R7" i="20"/>
  <c r="S7" i="20" s="1"/>
  <c r="R6" i="20"/>
  <c r="R23" i="20" s="1"/>
  <c r="S23" i="20" s="1"/>
  <c r="T23" i="20" s="1"/>
  <c r="U23" i="20" s="1"/>
  <c r="R5" i="20"/>
  <c r="S5" i="20" s="1"/>
  <c r="R4" i="20"/>
  <c r="S4" i="20" s="1"/>
  <c r="R3" i="20"/>
  <c r="S3" i="20" s="1"/>
  <c r="R11" i="20"/>
  <c r="S11" i="20" s="1"/>
  <c r="F28" i="20" l="1"/>
  <c r="G28" i="20" s="1"/>
  <c r="F29" i="20"/>
  <c r="G29" i="20" s="1"/>
  <c r="D32" i="20"/>
  <c r="H32" i="20"/>
  <c r="B32" i="20"/>
  <c r="F32" i="20"/>
  <c r="B33" i="14"/>
  <c r="B40" i="14"/>
  <c r="B104" i="14"/>
  <c r="B88" i="14"/>
  <c r="B72" i="14"/>
  <c r="B56" i="14"/>
  <c r="B103" i="14"/>
  <c r="B87" i="14"/>
  <c r="B71" i="14"/>
  <c r="B55" i="14"/>
  <c r="B39" i="14"/>
  <c r="B101" i="14"/>
  <c r="B85" i="14"/>
  <c r="B69" i="14"/>
  <c r="B53" i="14"/>
  <c r="B37" i="14"/>
  <c r="B100" i="14"/>
  <c r="B84" i="14"/>
  <c r="B68" i="14"/>
  <c r="B52" i="14"/>
  <c r="B102" i="14"/>
  <c r="B99" i="14"/>
  <c r="B83" i="14"/>
  <c r="B67" i="14"/>
  <c r="B51" i="14"/>
  <c r="B50" i="14"/>
  <c r="B54" i="14"/>
  <c r="B113" i="14"/>
  <c r="B97" i="14"/>
  <c r="B81" i="14"/>
  <c r="B65" i="14"/>
  <c r="B49" i="14"/>
  <c r="B38" i="14"/>
  <c r="B66" i="14"/>
  <c r="B112" i="14"/>
  <c r="B96" i="14"/>
  <c r="B80" i="14"/>
  <c r="B64" i="14"/>
  <c r="B48" i="14"/>
  <c r="B111" i="14"/>
  <c r="B95" i="14"/>
  <c r="B79" i="14"/>
  <c r="B63" i="14"/>
  <c r="B47" i="14"/>
  <c r="B82" i="14"/>
  <c r="B110" i="14"/>
  <c r="B94" i="14"/>
  <c r="B78" i="14"/>
  <c r="B46" i="14"/>
  <c r="B98" i="14"/>
  <c r="B62" i="14"/>
  <c r="B109" i="14"/>
  <c r="B93" i="14"/>
  <c r="B77" i="14"/>
  <c r="B61" i="14"/>
  <c r="B45" i="14"/>
  <c r="B70" i="14"/>
  <c r="B114" i="14"/>
  <c r="B108" i="14"/>
  <c r="B92" i="14"/>
  <c r="B76" i="14"/>
  <c r="B60" i="14"/>
  <c r="B44" i="14"/>
  <c r="B75" i="14"/>
  <c r="B86" i="14"/>
  <c r="B59" i="14"/>
  <c r="B106" i="14"/>
  <c r="B90" i="14"/>
  <c r="B74" i="14"/>
  <c r="B58" i="14"/>
  <c r="B42" i="14"/>
  <c r="B107" i="14"/>
  <c r="B91" i="14"/>
  <c r="B43" i="14"/>
  <c r="B105" i="14"/>
  <c r="B89" i="14"/>
  <c r="B73" i="14"/>
  <c r="B57" i="14"/>
  <c r="B41" i="14"/>
  <c r="S12" i="20"/>
  <c r="R28" i="20"/>
  <c r="S28" i="20" s="1"/>
  <c r="T28" i="20" s="1"/>
  <c r="U28" i="20" s="1"/>
  <c r="R31" i="20"/>
  <c r="S31" i="20" s="1"/>
  <c r="T31" i="20" s="1"/>
  <c r="U31" i="20" s="1"/>
  <c r="S30" i="20"/>
  <c r="T30" i="20" s="1"/>
  <c r="U30" i="20" s="1"/>
  <c r="R20" i="20"/>
  <c r="S20" i="20" s="1"/>
  <c r="T20" i="20" s="1"/>
  <c r="U20" i="20" s="1"/>
  <c r="R21" i="20"/>
  <c r="S21" i="20" s="1"/>
  <c r="T21" i="20" s="1"/>
  <c r="U21" i="20" s="1"/>
  <c r="R22" i="20"/>
  <c r="S22" i="20" s="1"/>
  <c r="T22" i="20" s="1"/>
  <c r="U22" i="20" s="1"/>
  <c r="R24" i="20"/>
  <c r="S24" i="20" s="1"/>
  <c r="T24" i="20" s="1"/>
  <c r="U24" i="20" s="1"/>
  <c r="R25" i="20"/>
  <c r="S25" i="20" s="1"/>
  <c r="T25" i="20" s="1"/>
  <c r="U25" i="20" s="1"/>
  <c r="R26" i="20"/>
  <c r="S26" i="20" s="1"/>
  <c r="T26" i="20" s="1"/>
  <c r="U26" i="20" s="1"/>
  <c r="S6" i="20"/>
  <c r="R27" i="20"/>
  <c r="S27" i="20" s="1"/>
  <c r="T27" i="20" s="1"/>
  <c r="U27" i="20" s="1"/>
  <c r="M16" i="1" l="1"/>
  <c r="Y530" i="16"/>
  <c r="I530" i="16"/>
  <c r="E530" i="16"/>
  <c r="Y531" i="16"/>
  <c r="Y532" i="16"/>
  <c r="I532" i="16"/>
  <c r="E532" i="16"/>
  <c r="I531" i="16"/>
  <c r="E531" i="16"/>
  <c r="D532" i="16" l="1"/>
  <c r="D531" i="16"/>
  <c r="D530" i="16"/>
  <c r="Y525" i="16" l="1"/>
  <c r="I525" i="16"/>
  <c r="E525" i="16"/>
  <c r="Y526" i="16"/>
  <c r="Y524" i="16"/>
  <c r="I524" i="16"/>
  <c r="E524" i="16"/>
  <c r="I526" i="16"/>
  <c r="E526" i="16"/>
  <c r="Y528" i="16"/>
  <c r="Y529" i="16"/>
  <c r="Y527" i="16"/>
  <c r="I527" i="16"/>
  <c r="E527" i="16"/>
  <c r="I529" i="16"/>
  <c r="E529" i="16"/>
  <c r="I528" i="16"/>
  <c r="E528" i="16"/>
  <c r="D615" i="18"/>
  <c r="Y361" i="16"/>
  <c r="Y331" i="16"/>
  <c r="Y377" i="16"/>
  <c r="Y392" i="16"/>
  <c r="Y299" i="16"/>
  <c r="Y437" i="16"/>
  <c r="Y338" i="16"/>
  <c r="Y394" i="16"/>
  <c r="Y324" i="16"/>
  <c r="Y389" i="16"/>
  <c r="Y358" i="16"/>
  <c r="Y353" i="16"/>
  <c r="Y369" i="16"/>
  <c r="Y285" i="16"/>
  <c r="Y281" i="16"/>
  <c r="Y330" i="16"/>
  <c r="Y503" i="16"/>
  <c r="Y344" i="16"/>
  <c r="Y382" i="16"/>
  <c r="Y336" i="16"/>
  <c r="Y283" i="16"/>
  <c r="Y333" i="16"/>
  <c r="Y466" i="16"/>
  <c r="Y370" i="16"/>
  <c r="Y373" i="16"/>
  <c r="Y325" i="16"/>
  <c r="Y335" i="16"/>
  <c r="Y349" i="16"/>
  <c r="Y294" i="16"/>
  <c r="Y334" i="16"/>
  <c r="Y282" i="16"/>
  <c r="Y313" i="16"/>
  <c r="Y314" i="16"/>
  <c r="Y298" i="16"/>
  <c r="Y366" i="16"/>
  <c r="Y367" i="16"/>
  <c r="Y291" i="16"/>
  <c r="Y312" i="16"/>
  <c r="Y293" i="16"/>
  <c r="Y326" i="16"/>
  <c r="Y301" i="16"/>
  <c r="Y348" i="16"/>
  <c r="Y307" i="16"/>
  <c r="Y478" i="16"/>
  <c r="Y289" i="16"/>
  <c r="Y287" i="16"/>
  <c r="Y347" i="16"/>
  <c r="Y300" i="16"/>
  <c r="Y318" i="16"/>
  <c r="Y308" i="16"/>
  <c r="Y297" i="16"/>
  <c r="Y360" i="16"/>
  <c r="Y391" i="16"/>
  <c r="Y317" i="16"/>
  <c r="Y374" i="16"/>
  <c r="Y315" i="16"/>
  <c r="Y296" i="16"/>
  <c r="Y280" i="16"/>
  <c r="Y385" i="16"/>
  <c r="Y302" i="16"/>
  <c r="Y328" i="16"/>
  <c r="Y393" i="16"/>
  <c r="Y484" i="16"/>
  <c r="Y304" i="16"/>
  <c r="Y332" i="16"/>
  <c r="Y448" i="16"/>
  <c r="Y286" i="16"/>
  <c r="Y364" i="16"/>
  <c r="Y288" i="16"/>
  <c r="Y406" i="16"/>
  <c r="Y306" i="16"/>
  <c r="Y357" i="16"/>
  <c r="Y311" i="16"/>
  <c r="Y316" i="16"/>
  <c r="Y319" i="16"/>
  <c r="Y295" i="16"/>
  <c r="I295" i="16"/>
  <c r="E295" i="16"/>
  <c r="I319" i="16"/>
  <c r="E319" i="16"/>
  <c r="I316" i="16"/>
  <c r="E316" i="16"/>
  <c r="I311" i="16"/>
  <c r="E311" i="16"/>
  <c r="I357" i="16"/>
  <c r="E357" i="16"/>
  <c r="I306" i="16"/>
  <c r="E306" i="16"/>
  <c r="I406" i="16"/>
  <c r="E406" i="16"/>
  <c r="I288" i="16"/>
  <c r="E288" i="16"/>
  <c r="I364" i="16"/>
  <c r="E364" i="16"/>
  <c r="I286" i="16"/>
  <c r="E286" i="16"/>
  <c r="I448" i="16"/>
  <c r="E448" i="16"/>
  <c r="I332" i="16"/>
  <c r="E332" i="16"/>
  <c r="I304" i="16"/>
  <c r="E304" i="16"/>
  <c r="I484" i="16"/>
  <c r="E484" i="16"/>
  <c r="I393" i="16"/>
  <c r="E393" i="16"/>
  <c r="I328" i="16"/>
  <c r="E328" i="16"/>
  <c r="I302" i="16"/>
  <c r="E302" i="16"/>
  <c r="I385" i="16"/>
  <c r="E385" i="16"/>
  <c r="I280" i="16"/>
  <c r="E280" i="16"/>
  <c r="I296" i="16"/>
  <c r="E296" i="16"/>
  <c r="I315" i="16"/>
  <c r="E315" i="16"/>
  <c r="I374" i="16"/>
  <c r="E374" i="16"/>
  <c r="I317" i="16"/>
  <c r="E317" i="16"/>
  <c r="I391" i="16"/>
  <c r="E391" i="16"/>
  <c r="I360" i="16"/>
  <c r="E360" i="16"/>
  <c r="I297" i="16"/>
  <c r="E297" i="16"/>
  <c r="I308" i="16"/>
  <c r="E308" i="16"/>
  <c r="I318" i="16"/>
  <c r="E318" i="16"/>
  <c r="I300" i="16"/>
  <c r="E300" i="16"/>
  <c r="I347" i="16"/>
  <c r="E347" i="16"/>
  <c r="I287" i="16"/>
  <c r="E287" i="16"/>
  <c r="I289" i="16"/>
  <c r="E289" i="16"/>
  <c r="I478" i="16"/>
  <c r="E478" i="16"/>
  <c r="I307" i="16"/>
  <c r="E307" i="16"/>
  <c r="I348" i="16"/>
  <c r="E348" i="16"/>
  <c r="I301" i="16"/>
  <c r="E301" i="16"/>
  <c r="I326" i="16"/>
  <c r="E326" i="16"/>
  <c r="I293" i="16"/>
  <c r="E293" i="16"/>
  <c r="I312" i="16"/>
  <c r="E312" i="16"/>
  <c r="I291" i="16"/>
  <c r="E291" i="16"/>
  <c r="I367" i="16"/>
  <c r="E367" i="16"/>
  <c r="I366" i="16"/>
  <c r="E366" i="16"/>
  <c r="I298" i="16"/>
  <c r="E298" i="16"/>
  <c r="I314" i="16"/>
  <c r="E314" i="16"/>
  <c r="I313" i="16"/>
  <c r="E313" i="16"/>
  <c r="I282" i="16"/>
  <c r="E282" i="16"/>
  <c r="I334" i="16"/>
  <c r="E334" i="16"/>
  <c r="I294" i="16"/>
  <c r="E294" i="16"/>
  <c r="I349" i="16"/>
  <c r="E349" i="16"/>
  <c r="I335" i="16"/>
  <c r="E335" i="16"/>
  <c r="I325" i="16"/>
  <c r="E325" i="16"/>
  <c r="I373" i="16"/>
  <c r="E373" i="16"/>
  <c r="I370" i="16"/>
  <c r="E370" i="16"/>
  <c r="I466" i="16"/>
  <c r="E466" i="16"/>
  <c r="I333" i="16"/>
  <c r="E333" i="16"/>
  <c r="I283" i="16"/>
  <c r="E283" i="16"/>
  <c r="I336" i="16"/>
  <c r="E336" i="16"/>
  <c r="I382" i="16"/>
  <c r="E382" i="16"/>
  <c r="I344" i="16"/>
  <c r="E344" i="16"/>
  <c r="I503" i="16"/>
  <c r="E503" i="16"/>
  <c r="I330" i="16"/>
  <c r="E330" i="16"/>
  <c r="I281" i="16"/>
  <c r="E281" i="16"/>
  <c r="I285" i="16"/>
  <c r="E285" i="16"/>
  <c r="I369" i="16"/>
  <c r="E369" i="16"/>
  <c r="I353" i="16"/>
  <c r="E353" i="16"/>
  <c r="I358" i="16"/>
  <c r="E358" i="16"/>
  <c r="I389" i="16"/>
  <c r="E389" i="16"/>
  <c r="I324" i="16"/>
  <c r="E324" i="16"/>
  <c r="I394" i="16"/>
  <c r="E394" i="16"/>
  <c r="I338" i="16"/>
  <c r="E338" i="16"/>
  <c r="I437" i="16"/>
  <c r="E437" i="16"/>
  <c r="I299" i="16"/>
  <c r="E299" i="16"/>
  <c r="I392" i="16"/>
  <c r="E392" i="16"/>
  <c r="I377" i="16"/>
  <c r="E377" i="16"/>
  <c r="I331" i="16"/>
  <c r="E331" i="16"/>
  <c r="I361" i="16"/>
  <c r="E361" i="16"/>
  <c r="I342" i="16"/>
  <c r="E342" i="16"/>
  <c r="I292" i="16"/>
  <c r="E292" i="16"/>
  <c r="I365" i="16"/>
  <c r="E365" i="16"/>
  <c r="I461" i="16"/>
  <c r="E461" i="16"/>
  <c r="I371" i="16"/>
  <c r="E371" i="16"/>
  <c r="I423" i="16"/>
  <c r="E423" i="16"/>
  <c r="I303" i="16"/>
  <c r="E303" i="16"/>
  <c r="I401" i="16"/>
  <c r="E401" i="16"/>
  <c r="I345" i="16"/>
  <c r="E345" i="16"/>
  <c r="I379" i="16"/>
  <c r="E379" i="16"/>
  <c r="I359" i="16"/>
  <c r="E359" i="16"/>
  <c r="I290" i="16"/>
  <c r="E290" i="16"/>
  <c r="I284" i="16"/>
  <c r="E284" i="16"/>
  <c r="I424" i="16"/>
  <c r="E424" i="16"/>
  <c r="I372" i="16"/>
  <c r="E372" i="16"/>
  <c r="I346" i="16"/>
  <c r="E346" i="16"/>
  <c r="I386" i="16"/>
  <c r="E386" i="16"/>
  <c r="I415" i="16"/>
  <c r="E415" i="16"/>
  <c r="I491" i="16"/>
  <c r="E491" i="16"/>
  <c r="I422" i="16"/>
  <c r="E422" i="16"/>
  <c r="I442" i="16"/>
  <c r="E442" i="16"/>
  <c r="I352" i="16"/>
  <c r="E352" i="16"/>
  <c r="I320" i="16"/>
  <c r="E320" i="16"/>
  <c r="I407" i="16"/>
  <c r="E407" i="16"/>
  <c r="I413" i="16"/>
  <c r="E413" i="16"/>
  <c r="I432" i="16"/>
  <c r="E432" i="16"/>
  <c r="I400" i="16"/>
  <c r="E400" i="16"/>
  <c r="I396" i="16"/>
  <c r="E396" i="16"/>
  <c r="I363" i="16"/>
  <c r="E363" i="16"/>
  <c r="I388" i="16"/>
  <c r="E388" i="16"/>
  <c r="I362" i="16"/>
  <c r="E362" i="16"/>
  <c r="I383" i="16"/>
  <c r="E383" i="16"/>
  <c r="I433" i="16"/>
  <c r="E433" i="16"/>
  <c r="I337" i="16"/>
  <c r="E337" i="16"/>
  <c r="I403" i="16"/>
  <c r="E403" i="16"/>
  <c r="I376" i="16"/>
  <c r="E376" i="16"/>
  <c r="I435" i="16"/>
  <c r="E435" i="16"/>
  <c r="I431" i="16"/>
  <c r="E431" i="16"/>
  <c r="I354" i="16"/>
  <c r="E354" i="16"/>
  <c r="I426" i="16"/>
  <c r="E426" i="16"/>
  <c r="I395" i="16"/>
  <c r="E395" i="16"/>
  <c r="I421" i="16"/>
  <c r="E421" i="16"/>
  <c r="I378" i="16"/>
  <c r="E378" i="16"/>
  <c r="I496" i="16"/>
  <c r="E496" i="16"/>
  <c r="I404" i="16"/>
  <c r="E404" i="16"/>
  <c r="I390" i="16"/>
  <c r="E390" i="16"/>
  <c r="I419" i="16"/>
  <c r="E419" i="16"/>
  <c r="I343" i="16"/>
  <c r="E343" i="16"/>
  <c r="I470" i="16"/>
  <c r="E470" i="16"/>
  <c r="I384" i="16"/>
  <c r="E384" i="16"/>
  <c r="I414" i="16"/>
  <c r="E414" i="16"/>
  <c r="I380" i="16"/>
  <c r="E380" i="16"/>
  <c r="I429" i="16"/>
  <c r="E429" i="16"/>
  <c r="I443" i="16"/>
  <c r="E443" i="16"/>
  <c r="I447" i="16"/>
  <c r="E447" i="16"/>
  <c r="I428" i="16"/>
  <c r="E428" i="16"/>
  <c r="I416" i="16"/>
  <c r="E416" i="16"/>
  <c r="I455" i="16"/>
  <c r="E455" i="16"/>
  <c r="I402" i="16"/>
  <c r="E402" i="16"/>
  <c r="I445" i="16"/>
  <c r="E445" i="16"/>
  <c r="I444" i="16"/>
  <c r="E444" i="16"/>
  <c r="I483" i="16"/>
  <c r="E483" i="16"/>
  <c r="I420" i="16"/>
  <c r="E420" i="16"/>
  <c r="I472" i="16"/>
  <c r="E472" i="16"/>
  <c r="I351" i="16"/>
  <c r="E351" i="16"/>
  <c r="I387" i="16"/>
  <c r="E387" i="16"/>
  <c r="I418" i="16"/>
  <c r="E418" i="16"/>
  <c r="I436" i="16"/>
  <c r="E436" i="16"/>
  <c r="I399" i="16"/>
  <c r="E399" i="16"/>
  <c r="I451" i="16"/>
  <c r="E451" i="16"/>
  <c r="I453" i="16"/>
  <c r="E453" i="16"/>
  <c r="I434" i="16"/>
  <c r="E434" i="16"/>
  <c r="I480" i="16"/>
  <c r="E480" i="16"/>
  <c r="I463" i="16"/>
  <c r="E463" i="16"/>
  <c r="I474" i="16"/>
  <c r="E474" i="16"/>
  <c r="I405" i="16"/>
  <c r="E405" i="16"/>
  <c r="I410" i="16"/>
  <c r="E410" i="16"/>
  <c r="I375" i="16"/>
  <c r="E375" i="16"/>
  <c r="I476" i="16"/>
  <c r="E476" i="16"/>
  <c r="I440" i="16"/>
  <c r="E440" i="16"/>
  <c r="I464" i="16"/>
  <c r="E464" i="16"/>
  <c r="I430" i="16"/>
  <c r="E430" i="16"/>
  <c r="I309" i="16"/>
  <c r="E309" i="16"/>
  <c r="I456" i="16"/>
  <c r="E456" i="16"/>
  <c r="I339" i="16"/>
  <c r="E339" i="16"/>
  <c r="I439" i="16"/>
  <c r="E439" i="16"/>
  <c r="I520" i="16"/>
  <c r="E520" i="16"/>
  <c r="I458" i="16"/>
  <c r="E458" i="16"/>
  <c r="I417" i="16"/>
  <c r="E417" i="16"/>
  <c r="I497" i="16"/>
  <c r="E497" i="16"/>
  <c r="I452" i="16"/>
  <c r="E452" i="16"/>
  <c r="I488" i="16"/>
  <c r="E488" i="16"/>
  <c r="I471" i="16"/>
  <c r="E471" i="16"/>
  <c r="I518" i="16"/>
  <c r="E518" i="16"/>
  <c r="I459" i="16"/>
  <c r="E459" i="16"/>
  <c r="I468" i="16"/>
  <c r="E468" i="16"/>
  <c r="I329" i="16"/>
  <c r="E329" i="16"/>
  <c r="I479" i="16"/>
  <c r="E479" i="16"/>
  <c r="I473" i="16"/>
  <c r="E473" i="16"/>
  <c r="I477" i="16"/>
  <c r="E477" i="16"/>
  <c r="I512" i="16"/>
  <c r="E512" i="16"/>
  <c r="I425" i="16"/>
  <c r="E425" i="16"/>
  <c r="I504" i="16"/>
  <c r="E504" i="16"/>
  <c r="I454" i="16"/>
  <c r="E454" i="16"/>
  <c r="I482" i="16"/>
  <c r="E482" i="16"/>
  <c r="I457" i="16"/>
  <c r="E457" i="16"/>
  <c r="I467" i="16"/>
  <c r="E467" i="16"/>
  <c r="I487" i="16"/>
  <c r="E487" i="16"/>
  <c r="I501" i="16"/>
  <c r="E501" i="16"/>
  <c r="I490" i="16"/>
  <c r="E490" i="16"/>
  <c r="I409" i="16"/>
  <c r="E409" i="16"/>
  <c r="I465" i="16"/>
  <c r="E465" i="16"/>
  <c r="I489" i="16"/>
  <c r="E489" i="16"/>
  <c r="I499" i="16"/>
  <c r="E499" i="16"/>
  <c r="I486" i="16"/>
  <c r="E486" i="16"/>
  <c r="I438" i="16"/>
  <c r="E438" i="16"/>
  <c r="I450" i="16"/>
  <c r="E450" i="16"/>
  <c r="I462" i="16"/>
  <c r="E462" i="16"/>
  <c r="I495" i="16"/>
  <c r="E495" i="16"/>
  <c r="I350" i="16"/>
  <c r="E350" i="16"/>
  <c r="I509" i="16"/>
  <c r="E509" i="16"/>
  <c r="I498" i="16"/>
  <c r="E498" i="16"/>
  <c r="I511" i="16"/>
  <c r="E511" i="16"/>
  <c r="I327" i="16"/>
  <c r="E327" i="16"/>
  <c r="I368" i="16"/>
  <c r="E368" i="16"/>
  <c r="I310" i="16"/>
  <c r="E310" i="16"/>
  <c r="I502" i="16"/>
  <c r="E502" i="16"/>
  <c r="I475" i="16"/>
  <c r="E475" i="16"/>
  <c r="I493" i="16"/>
  <c r="E493" i="16"/>
  <c r="I494" i="16"/>
  <c r="E494" i="16"/>
  <c r="I507" i="16"/>
  <c r="E507" i="16"/>
  <c r="I305" i="16"/>
  <c r="E305" i="16"/>
  <c r="I505" i="16"/>
  <c r="E505" i="16"/>
  <c r="I510" i="16"/>
  <c r="E510" i="16"/>
  <c r="I412" i="16"/>
  <c r="E412" i="16"/>
  <c r="I356" i="16"/>
  <c r="E356" i="16"/>
  <c r="I446" i="16"/>
  <c r="E446" i="16"/>
  <c r="I508" i="16"/>
  <c r="E508" i="16"/>
  <c r="I481" i="16"/>
  <c r="E481" i="16"/>
  <c r="I427" i="16"/>
  <c r="E427" i="16"/>
  <c r="I397" i="16"/>
  <c r="E397" i="16"/>
  <c r="I517" i="16"/>
  <c r="E517" i="16"/>
  <c r="I516" i="16"/>
  <c r="E516" i="16"/>
  <c r="I500" i="16"/>
  <c r="E500" i="16"/>
  <c r="I519" i="16"/>
  <c r="E519" i="16"/>
  <c r="I341" i="16"/>
  <c r="E341" i="16"/>
  <c r="I449" i="16"/>
  <c r="E449" i="16"/>
  <c r="I522" i="16"/>
  <c r="E522" i="16"/>
  <c r="I411" i="16"/>
  <c r="E411" i="16"/>
  <c r="I492" i="16"/>
  <c r="E492" i="16"/>
  <c r="I515" i="16"/>
  <c r="E515" i="16"/>
  <c r="I323" i="16"/>
  <c r="E323" i="16"/>
  <c r="I355" i="16"/>
  <c r="E355" i="16"/>
  <c r="I441" i="16"/>
  <c r="E441" i="16"/>
  <c r="I506" i="16"/>
  <c r="E506" i="16"/>
  <c r="I469" i="16"/>
  <c r="E469" i="16"/>
  <c r="I485" i="16"/>
  <c r="E485" i="16"/>
  <c r="I523" i="16"/>
  <c r="E523" i="16"/>
  <c r="I340" i="16"/>
  <c r="E340" i="16"/>
  <c r="I460" i="16"/>
  <c r="E460" i="16"/>
  <c r="I408" i="16"/>
  <c r="E408" i="16"/>
  <c r="I322" i="16"/>
  <c r="E322" i="16"/>
  <c r="I321" i="16"/>
  <c r="E321" i="16"/>
  <c r="I398" i="16"/>
  <c r="E398" i="16"/>
  <c r="I514" i="16"/>
  <c r="E514" i="16"/>
  <c r="I521" i="16"/>
  <c r="I513" i="16"/>
  <c r="I381" i="16"/>
  <c r="I279" i="16"/>
  <c r="E133" i="16"/>
  <c r="E209" i="16"/>
  <c r="E222" i="16"/>
  <c r="E37" i="16"/>
  <c r="E6" i="16"/>
  <c r="E20" i="16"/>
  <c r="E22" i="16"/>
  <c r="E12" i="16"/>
  <c r="E5" i="16"/>
  <c r="E15" i="16"/>
  <c r="E24" i="16"/>
  <c r="E31" i="16"/>
  <c r="E32" i="16"/>
  <c r="E34" i="16"/>
  <c r="E16" i="16"/>
  <c r="E19" i="16"/>
  <c r="E11" i="16"/>
  <c r="E13" i="16"/>
  <c r="E9" i="16"/>
  <c r="E18" i="16"/>
  <c r="E7" i="16"/>
  <c r="E14" i="16"/>
  <c r="E17" i="16"/>
  <c r="E35" i="16"/>
  <c r="E23" i="16"/>
  <c r="E33" i="16"/>
  <c r="E30" i="16"/>
  <c r="E3" i="16"/>
  <c r="E26" i="16"/>
  <c r="E28" i="16"/>
  <c r="E4" i="16"/>
  <c r="E21" i="16"/>
  <c r="E27" i="16"/>
  <c r="E10" i="16"/>
  <c r="E25" i="16"/>
  <c r="E29" i="16"/>
  <c r="E8" i="16"/>
  <c r="E2" i="16"/>
  <c r="E36" i="16"/>
  <c r="E233" i="16"/>
  <c r="E51" i="16"/>
  <c r="E234" i="16"/>
  <c r="E259" i="16"/>
  <c r="E67" i="16"/>
  <c r="E91" i="16"/>
  <c r="E181" i="16"/>
  <c r="E110" i="16"/>
  <c r="E264" i="16"/>
  <c r="E175" i="16"/>
  <c r="E255" i="16"/>
  <c r="E146" i="16"/>
  <c r="E117" i="16"/>
  <c r="E217" i="16"/>
  <c r="E216" i="16"/>
  <c r="E128" i="16"/>
  <c r="E84" i="16"/>
  <c r="E105" i="16"/>
  <c r="E177" i="16"/>
  <c r="E122" i="16"/>
  <c r="E260" i="16"/>
  <c r="E147" i="16"/>
  <c r="E256" i="16"/>
  <c r="E214" i="16"/>
  <c r="E237" i="16"/>
  <c r="E191" i="16"/>
  <c r="E111" i="16"/>
  <c r="E244" i="16"/>
  <c r="E265" i="16"/>
  <c r="E248" i="16"/>
  <c r="E66" i="16"/>
  <c r="E77" i="16"/>
  <c r="E170" i="16"/>
  <c r="E98" i="16"/>
  <c r="E230" i="16"/>
  <c r="E183" i="16"/>
  <c r="E58" i="16"/>
  <c r="E138" i="16"/>
  <c r="E68" i="16"/>
  <c r="E193" i="16"/>
  <c r="E204" i="16"/>
  <c r="E186" i="16"/>
  <c r="E247" i="16"/>
  <c r="E148" i="16"/>
  <c r="E223" i="16"/>
  <c r="E156" i="16"/>
  <c r="E205" i="16"/>
  <c r="E254" i="16"/>
  <c r="E69" i="16"/>
  <c r="E261" i="16"/>
  <c r="E194" i="16"/>
  <c r="E96" i="16"/>
  <c r="E82" i="16"/>
  <c r="E206" i="16"/>
  <c r="E198" i="16"/>
  <c r="E195" i="16"/>
  <c r="E173" i="16"/>
  <c r="E207" i="16"/>
  <c r="E178" i="16"/>
  <c r="E134" i="16"/>
  <c r="E140" i="16"/>
  <c r="E59" i="16"/>
  <c r="E73" i="16"/>
  <c r="E43" i="16"/>
  <c r="E200" i="16"/>
  <c r="E262" i="16"/>
  <c r="E239" i="16"/>
  <c r="E152" i="16"/>
  <c r="E55" i="16"/>
  <c r="E187" i="16"/>
  <c r="E172" i="16"/>
  <c r="E97" i="16"/>
  <c r="E246" i="16"/>
  <c r="E163" i="16"/>
  <c r="E257" i="16"/>
  <c r="E100" i="16"/>
  <c r="E240" i="16"/>
  <c r="E249" i="16"/>
  <c r="E94" i="16"/>
  <c r="E150" i="16"/>
  <c r="E57" i="16"/>
  <c r="E242" i="16"/>
  <c r="E126" i="16"/>
  <c r="E167" i="16"/>
  <c r="E79" i="16"/>
  <c r="E135" i="16"/>
  <c r="E44" i="16"/>
  <c r="E56" i="16"/>
  <c r="E125" i="16"/>
  <c r="E87" i="16"/>
  <c r="E245" i="16"/>
  <c r="E212" i="16"/>
  <c r="E166" i="16"/>
  <c r="E252" i="16"/>
  <c r="E74" i="16"/>
  <c r="E164" i="16"/>
  <c r="E92" i="16"/>
  <c r="E141" i="16"/>
  <c r="E253" i="16"/>
  <c r="E143" i="16"/>
  <c r="E114" i="16"/>
  <c r="E218" i="16"/>
  <c r="E47" i="16"/>
  <c r="E229" i="16"/>
  <c r="E231" i="16"/>
  <c r="E235" i="16"/>
  <c r="E211" i="16"/>
  <c r="E85" i="16"/>
  <c r="E171" i="16"/>
  <c r="E86" i="16"/>
  <c r="E199" i="16"/>
  <c r="E221" i="16"/>
  <c r="E208" i="16"/>
  <c r="E50" i="16"/>
  <c r="E104" i="16"/>
  <c r="E99" i="16"/>
  <c r="E109" i="16"/>
  <c r="E83" i="16"/>
  <c r="E112" i="16"/>
  <c r="E103" i="16"/>
  <c r="E132" i="16"/>
  <c r="E174" i="16"/>
  <c r="E188" i="16"/>
  <c r="E70" i="16"/>
  <c r="E118" i="16"/>
  <c r="E48" i="16"/>
  <c r="E197" i="16"/>
  <c r="E108" i="16"/>
  <c r="E131" i="16"/>
  <c r="E219" i="16"/>
  <c r="E123" i="16"/>
  <c r="E168" i="16"/>
  <c r="E215" i="16"/>
  <c r="E169" i="16"/>
  <c r="E64" i="16"/>
  <c r="E157" i="16"/>
  <c r="E119" i="16"/>
  <c r="E40" i="16"/>
  <c r="E159" i="16"/>
  <c r="E54" i="16"/>
  <c r="E192" i="16"/>
  <c r="E203" i="16"/>
  <c r="E52" i="16"/>
  <c r="E106" i="16"/>
  <c r="E154" i="16"/>
  <c r="E251" i="16"/>
  <c r="E224" i="16"/>
  <c r="E130" i="16"/>
  <c r="E62" i="16"/>
  <c r="E263" i="16"/>
  <c r="E190" i="16"/>
  <c r="E238" i="16"/>
  <c r="E120" i="16"/>
  <c r="E144" i="16"/>
  <c r="E63" i="16"/>
  <c r="E101" i="16"/>
  <c r="E90" i="16"/>
  <c r="E220" i="16"/>
  <c r="E61" i="16"/>
  <c r="E60" i="16"/>
  <c r="E210" i="16"/>
  <c r="E184" i="16"/>
  <c r="E129" i="16"/>
  <c r="E127" i="16"/>
  <c r="E226" i="16"/>
  <c r="E107" i="16"/>
  <c r="E38" i="16"/>
  <c r="E267" i="16"/>
  <c r="E124" i="16"/>
  <c r="E136" i="16"/>
  <c r="E71" i="16"/>
  <c r="E76" i="16"/>
  <c r="E189" i="16"/>
  <c r="E243" i="16"/>
  <c r="E202" i="16"/>
  <c r="E182" i="16"/>
  <c r="E88" i="16"/>
  <c r="E49" i="16"/>
  <c r="E89" i="16"/>
  <c r="E93" i="16"/>
  <c r="E158" i="16"/>
  <c r="E65" i="16"/>
  <c r="E153" i="16"/>
  <c r="E72" i="16"/>
  <c r="E42" i="16"/>
  <c r="E155" i="16"/>
  <c r="E258" i="16"/>
  <c r="E236" i="16"/>
  <c r="E102" i="16"/>
  <c r="E201" i="16"/>
  <c r="E266" i="16"/>
  <c r="E176" i="16"/>
  <c r="E121" i="16"/>
  <c r="E241" i="16"/>
  <c r="E116" i="16"/>
  <c r="E227" i="16"/>
  <c r="E250" i="16"/>
  <c r="E45" i="16"/>
  <c r="E180" i="16"/>
  <c r="E41" i="16"/>
  <c r="E179" i="16"/>
  <c r="E80" i="16"/>
  <c r="E81" i="16"/>
  <c r="E39" i="16"/>
  <c r="E162" i="16"/>
  <c r="E145" i="16"/>
  <c r="E161" i="16"/>
  <c r="E139" i="16"/>
  <c r="E225" i="16"/>
  <c r="E149" i="16"/>
  <c r="E75" i="16"/>
  <c r="E232" i="16"/>
  <c r="E115" i="16"/>
  <c r="E151" i="16"/>
  <c r="E95" i="16"/>
  <c r="E142" i="16"/>
  <c r="E185" i="16"/>
  <c r="E196" i="16"/>
  <c r="E213" i="16"/>
  <c r="E160" i="16"/>
  <c r="E137" i="16"/>
  <c r="E53" i="16"/>
  <c r="E46" i="16"/>
  <c r="E228" i="16"/>
  <c r="E165" i="16"/>
  <c r="E78" i="16"/>
  <c r="E113" i="16"/>
  <c r="E268" i="16"/>
  <c r="E269" i="16"/>
  <c r="E274" i="16"/>
  <c r="E278" i="16"/>
  <c r="E271" i="16"/>
  <c r="E272" i="16"/>
  <c r="E276" i="16"/>
  <c r="E277" i="16"/>
  <c r="E273" i="16"/>
  <c r="E275" i="16"/>
  <c r="E270" i="16"/>
  <c r="E521" i="16"/>
  <c r="E513" i="16"/>
  <c r="E381" i="16"/>
  <c r="E279" i="16"/>
  <c r="F2" i="19"/>
  <c r="G2" i="19"/>
  <c r="I27" i="16"/>
  <c r="I30" i="16"/>
  <c r="I16" i="16"/>
  <c r="I25" i="16"/>
  <c r="I21" i="16"/>
  <c r="I36" i="16"/>
  <c r="I34" i="16"/>
  <c r="I29" i="16"/>
  <c r="I20" i="16"/>
  <c r="I22" i="16"/>
  <c r="I19" i="16"/>
  <c r="I28" i="16"/>
  <c r="I35" i="16"/>
  <c r="I24" i="16"/>
  <c r="I32" i="16"/>
  <c r="I26" i="16"/>
  <c r="I12" i="16"/>
  <c r="I15" i="16"/>
  <c r="I33" i="16"/>
  <c r="I23" i="16"/>
  <c r="I10" i="16"/>
  <c r="I13" i="16"/>
  <c r="I17" i="16"/>
  <c r="I6" i="16"/>
  <c r="I14" i="16"/>
  <c r="I3" i="16"/>
  <c r="I4" i="16"/>
  <c r="I18" i="16"/>
  <c r="I11" i="16"/>
  <c r="I8" i="16"/>
  <c r="I2" i="16"/>
  <c r="I9" i="16"/>
  <c r="I7" i="16"/>
  <c r="I31" i="16"/>
  <c r="I5" i="16"/>
  <c r="I184" i="16"/>
  <c r="I140" i="16"/>
  <c r="I55" i="16"/>
  <c r="I53" i="16"/>
  <c r="I59" i="16"/>
  <c r="I256" i="16"/>
  <c r="I50" i="16"/>
  <c r="I267" i="16"/>
  <c r="I253" i="16"/>
  <c r="I249" i="16"/>
  <c r="I161" i="16"/>
  <c r="I151" i="16"/>
  <c r="I221" i="16"/>
  <c r="I264" i="16"/>
  <c r="I198" i="16"/>
  <c r="I237" i="16"/>
  <c r="I265" i="16"/>
  <c r="I248" i="16"/>
  <c r="I134" i="16"/>
  <c r="I162" i="16"/>
  <c r="I236" i="16"/>
  <c r="I211" i="16"/>
  <c r="I78" i="16"/>
  <c r="I56" i="16"/>
  <c r="I114" i="16"/>
  <c r="I254" i="16"/>
  <c r="I164" i="16"/>
  <c r="I192" i="16"/>
  <c r="I230" i="16"/>
  <c r="I160" i="16"/>
  <c r="I81" i="16"/>
  <c r="I157" i="16"/>
  <c r="I117" i="16"/>
  <c r="I113" i="16"/>
  <c r="I228" i="16"/>
  <c r="I174" i="16"/>
  <c r="I244" i="16"/>
  <c r="I76" i="16"/>
  <c r="I127" i="16"/>
  <c r="I65" i="16"/>
  <c r="I257" i="16"/>
  <c r="I90" i="16"/>
  <c r="I136" i="16"/>
  <c r="I214" i="16"/>
  <c r="I92" i="16"/>
  <c r="I121" i="16"/>
  <c r="I99" i="16"/>
  <c r="I203" i="16"/>
  <c r="I199" i="16"/>
  <c r="I48" i="16"/>
  <c r="I128" i="16"/>
  <c r="I91" i="16"/>
  <c r="I262" i="16"/>
  <c r="I125" i="16"/>
  <c r="I94" i="16"/>
  <c r="I260" i="16"/>
  <c r="I106" i="16"/>
  <c r="I193" i="16"/>
  <c r="I111" i="16"/>
  <c r="I229" i="16"/>
  <c r="I101" i="16"/>
  <c r="I189" i="16"/>
  <c r="I61" i="16"/>
  <c r="I163" i="16"/>
  <c r="I218" i="16"/>
  <c r="I64" i="16"/>
  <c r="I130" i="16"/>
  <c r="I44" i="16"/>
  <c r="I135" i="16"/>
  <c r="I97" i="16"/>
  <c r="I147" i="16"/>
  <c r="I112" i="16"/>
  <c r="I258" i="16"/>
  <c r="I173" i="16"/>
  <c r="I60" i="16"/>
  <c r="I58" i="16"/>
  <c r="I124" i="16"/>
  <c r="I242" i="16"/>
  <c r="I268" i="16"/>
  <c r="I129" i="16"/>
  <c r="I188" i="16"/>
  <c r="I119" i="16"/>
  <c r="I263" i="16"/>
  <c r="I172" i="16"/>
  <c r="I85" i="16"/>
  <c r="I80" i="16"/>
  <c r="I145" i="16"/>
  <c r="I234" i="16"/>
  <c r="I86" i="16"/>
  <c r="I110" i="16"/>
  <c r="I142" i="16"/>
  <c r="I205" i="16"/>
  <c r="I43" i="16"/>
  <c r="I144" i="16"/>
  <c r="I69" i="16"/>
  <c r="I216" i="16"/>
  <c r="I208" i="16"/>
  <c r="I224" i="16"/>
  <c r="I196" i="16"/>
  <c r="I100" i="16"/>
  <c r="I232" i="16"/>
  <c r="I190" i="16"/>
  <c r="I148" i="16"/>
  <c r="I72" i="16"/>
  <c r="I166" i="16"/>
  <c r="I204" i="16"/>
  <c r="I75" i="16"/>
  <c r="I231" i="16"/>
  <c r="I103" i="16"/>
  <c r="I167" i="16"/>
  <c r="I207" i="16"/>
  <c r="I215" i="16"/>
  <c r="I217" i="16"/>
  <c r="I186" i="16"/>
  <c r="I63" i="16"/>
  <c r="I115" i="16"/>
  <c r="I168" i="16"/>
  <c r="I202" i="16"/>
  <c r="I259" i="16"/>
  <c r="I247" i="16"/>
  <c r="I195" i="16"/>
  <c r="I73" i="16"/>
  <c r="I47" i="16"/>
  <c r="I219" i="16"/>
  <c r="I210" i="16"/>
  <c r="I266" i="16"/>
  <c r="I45" i="16"/>
  <c r="I133" i="16"/>
  <c r="I181" i="16"/>
  <c r="I209" i="16"/>
  <c r="I52" i="16"/>
  <c r="I132" i="16"/>
  <c r="I238" i="16"/>
  <c r="I185" i="16"/>
  <c r="I222" i="16"/>
  <c r="I158" i="16"/>
  <c r="I139" i="16"/>
  <c r="I79" i="16"/>
  <c r="I84" i="16"/>
  <c r="I225" i="16"/>
  <c r="I149" i="16"/>
  <c r="I250" i="16"/>
  <c r="I187" i="16"/>
  <c r="I77" i="16"/>
  <c r="I62" i="16"/>
  <c r="I255" i="16"/>
  <c r="I68" i="16"/>
  <c r="I150" i="16"/>
  <c r="I123" i="16"/>
  <c r="I105" i="16"/>
  <c r="I251" i="16"/>
  <c r="I120" i="16"/>
  <c r="I245" i="16"/>
  <c r="I39" i="16"/>
  <c r="I54" i="16"/>
  <c r="I243" i="16"/>
  <c r="I194" i="16"/>
  <c r="I122" i="16"/>
  <c r="I177" i="16"/>
  <c r="I178" i="16"/>
  <c r="I89" i="16"/>
  <c r="I233" i="16"/>
  <c r="I182" i="16"/>
  <c r="I116" i="16"/>
  <c r="I220" i="16"/>
  <c r="I212" i="16"/>
  <c r="I191" i="16"/>
  <c r="I38" i="16"/>
  <c r="I93" i="16"/>
  <c r="I180" i="16"/>
  <c r="I154" i="16"/>
  <c r="I152" i="16"/>
  <c r="I223" i="16"/>
  <c r="I227" i="16"/>
  <c r="I235" i="16"/>
  <c r="I201" i="16"/>
  <c r="I241" i="16"/>
  <c r="I170" i="16"/>
  <c r="I143" i="16"/>
  <c r="I206" i="16"/>
  <c r="I83" i="16"/>
  <c r="I246" i="16"/>
  <c r="I159" i="16"/>
  <c r="I74" i="16"/>
  <c r="I138" i="16"/>
  <c r="I239" i="16"/>
  <c r="I41" i="16"/>
  <c r="I252" i="16"/>
  <c r="I131" i="16"/>
  <c r="I213" i="16"/>
  <c r="I156" i="16"/>
  <c r="I107" i="16"/>
  <c r="I126" i="16"/>
  <c r="I51" i="16"/>
  <c r="I102" i="16"/>
  <c r="I96" i="16"/>
  <c r="I104" i="16"/>
  <c r="I66" i="16"/>
  <c r="I165" i="16"/>
  <c r="I141" i="16"/>
  <c r="I176" i="16"/>
  <c r="I67" i="16"/>
  <c r="I98" i="16"/>
  <c r="I82" i="16"/>
  <c r="I49" i="16"/>
  <c r="I109" i="16"/>
  <c r="I108" i="16"/>
  <c r="I42" i="16"/>
  <c r="I153" i="16"/>
  <c r="I171" i="16"/>
  <c r="I179" i="16"/>
  <c r="I46" i="16"/>
  <c r="I197" i="16"/>
  <c r="I87" i="16"/>
  <c r="I71" i="16"/>
  <c r="I200" i="16"/>
  <c r="I226" i="16"/>
  <c r="I118" i="16"/>
  <c r="I137" i="16"/>
  <c r="I261" i="16"/>
  <c r="I240" i="16"/>
  <c r="I40" i="16"/>
  <c r="I155" i="16"/>
  <c r="I70" i="16"/>
  <c r="I183" i="16"/>
  <c r="I169" i="16"/>
  <c r="I88" i="16"/>
  <c r="I146" i="16"/>
  <c r="I57" i="16"/>
  <c r="I37" i="16"/>
  <c r="I175" i="16"/>
  <c r="I95" i="16"/>
  <c r="I269" i="16"/>
  <c r="I275" i="16"/>
  <c r="I274" i="16"/>
  <c r="I273" i="16"/>
  <c r="I278" i="16"/>
  <c r="I276" i="16"/>
  <c r="I270" i="16"/>
  <c r="I271" i="16"/>
  <c r="I277" i="16"/>
  <c r="I272" i="16"/>
  <c r="Y381" i="16"/>
  <c r="Y481" i="16"/>
  <c r="Y513" i="16"/>
  <c r="Y446" i="16"/>
  <c r="Y356" i="16"/>
  <c r="Y508" i="16"/>
  <c r="Y279" i="16"/>
  <c r="Y412" i="16"/>
  <c r="Y510" i="16"/>
  <c r="Y521" i="16"/>
  <c r="Y290" i="16"/>
  <c r="Y518" i="16"/>
  <c r="Y512" i="16"/>
  <c r="Y476" i="16"/>
  <c r="Y284" i="16"/>
  <c r="Y440" i="16"/>
  <c r="Y474" i="16"/>
  <c r="Y303" i="16"/>
  <c r="Y410" i="16"/>
  <c r="Y322" i="16"/>
  <c r="Y471" i="16"/>
  <c r="Y477" i="16"/>
  <c r="Y435" i="16"/>
  <c r="Y520" i="16"/>
  <c r="Y351" i="16"/>
  <c r="Y467" i="16"/>
  <c r="Y386" i="16"/>
  <c r="Y383" i="16"/>
  <c r="Y452" i="16"/>
  <c r="Y380" i="16"/>
  <c r="Y424" i="16"/>
  <c r="Y483" i="16"/>
  <c r="Y499" i="16"/>
  <c r="Y492" i="16"/>
  <c r="Y350" i="16"/>
  <c r="Y482" i="16"/>
  <c r="Y395" i="16"/>
  <c r="Y362" i="16"/>
  <c r="Y498" i="16"/>
  <c r="Y426" i="16"/>
  <c r="Y416" i="16"/>
  <c r="Y413" i="16"/>
  <c r="Y501" i="16"/>
  <c r="Y519" i="16"/>
  <c r="Y455" i="16"/>
  <c r="Y372" i="16"/>
  <c r="Y522" i="16"/>
  <c r="Y431" i="16"/>
  <c r="Y403" i="16"/>
  <c r="Y472" i="16"/>
  <c r="Y432" i="16"/>
  <c r="Y404" i="16"/>
  <c r="Y496" i="16"/>
  <c r="Y462" i="16"/>
  <c r="Y415" i="16"/>
  <c r="Y400" i="16"/>
  <c r="Y453" i="16"/>
  <c r="Y365" i="16"/>
  <c r="Y480" i="16"/>
  <c r="Y401" i="16"/>
  <c r="Y507" i="16"/>
  <c r="Y511" i="16"/>
  <c r="Y421" i="16"/>
  <c r="Y494" i="16"/>
  <c r="Y461" i="16"/>
  <c r="Y359" i="16"/>
  <c r="Y420" i="16"/>
  <c r="Y491" i="16"/>
  <c r="Y451" i="16"/>
  <c r="Y323" i="16"/>
  <c r="Y436" i="16"/>
  <c r="Y320" i="16"/>
  <c r="Y337" i="16"/>
  <c r="Y468" i="16"/>
  <c r="Y409" i="16"/>
  <c r="Y354" i="16"/>
  <c r="Y504" i="16"/>
  <c r="Y396" i="16"/>
  <c r="Y475" i="16"/>
  <c r="Y292" i="16"/>
  <c r="Y490" i="16"/>
  <c r="Y464" i="16"/>
  <c r="Y502" i="16"/>
  <c r="Y447" i="16"/>
  <c r="Y450" i="16"/>
  <c r="Y371" i="16"/>
  <c r="Y505" i="16"/>
  <c r="Y405" i="16"/>
  <c r="Y489" i="16"/>
  <c r="Y495" i="16"/>
  <c r="Y479" i="16"/>
  <c r="Y423" i="16"/>
  <c r="Y388" i="16"/>
  <c r="Y342" i="16"/>
  <c r="Y443" i="16"/>
  <c r="Y407" i="16"/>
  <c r="Y414" i="16"/>
  <c r="Y465" i="16"/>
  <c r="Y352" i="16"/>
  <c r="Y509" i="16"/>
  <c r="Y486" i="16"/>
  <c r="Y343" i="16"/>
  <c r="Y442" i="16"/>
  <c r="Y399" i="16"/>
  <c r="Y456" i="16"/>
  <c r="Y428" i="16"/>
  <c r="Y417" i="16"/>
  <c r="Y384" i="16"/>
  <c r="Y387" i="16"/>
  <c r="Y402" i="16"/>
  <c r="Y488" i="16"/>
  <c r="Y422" i="16"/>
  <c r="Y378" i="16"/>
  <c r="Y441" i="16"/>
  <c r="Y375" i="16"/>
  <c r="Y339" i="16"/>
  <c r="Y487" i="16"/>
  <c r="Y459" i="16"/>
  <c r="Y408" i="16"/>
  <c r="Y368" i="16"/>
  <c r="Y458" i="16"/>
  <c r="Y305" i="16"/>
  <c r="Y516" i="16"/>
  <c r="Y445" i="16"/>
  <c r="Y376" i="16"/>
  <c r="Y454" i="16"/>
  <c r="Y493" i="16"/>
  <c r="Y470" i="16"/>
  <c r="Y397" i="16"/>
  <c r="Y429" i="16"/>
  <c r="Y379" i="16"/>
  <c r="Y438" i="16"/>
  <c r="Y517" i="16"/>
  <c r="Y473" i="16"/>
  <c r="Y523" i="16"/>
  <c r="Y434" i="16"/>
  <c r="Y439" i="16"/>
  <c r="Y460" i="16"/>
  <c r="Y430" i="16"/>
  <c r="Y427" i="16"/>
  <c r="Y497" i="16"/>
  <c r="Y411" i="16"/>
  <c r="Y463" i="16"/>
  <c r="Y390" i="16"/>
  <c r="Y457" i="16"/>
  <c r="Y309" i="16"/>
  <c r="Y329" i="16"/>
  <c r="Y398" i="16"/>
  <c r="Y514" i="16"/>
  <c r="Y444" i="16"/>
  <c r="Y310" i="16"/>
  <c r="Y340" i="16"/>
  <c r="Y449" i="16"/>
  <c r="Y506" i="16"/>
  <c r="Y500" i="16"/>
  <c r="Y425" i="16"/>
  <c r="Y341" i="16"/>
  <c r="Y418" i="16"/>
  <c r="Y469" i="16"/>
  <c r="Y346" i="16"/>
  <c r="Y327" i="16"/>
  <c r="Y485" i="16"/>
  <c r="Y321" i="16"/>
  <c r="Y433" i="16"/>
  <c r="Y419" i="16"/>
  <c r="Y363" i="16"/>
  <c r="Y515" i="16"/>
  <c r="Y345" i="16"/>
  <c r="Y355" i="16"/>
  <c r="Y272" i="16"/>
  <c r="Y277" i="16"/>
  <c r="Y278" i="16"/>
  <c r="Y276" i="16"/>
  <c r="Y271" i="16"/>
  <c r="Y270" i="16"/>
  <c r="Y275" i="16"/>
  <c r="Y274" i="16"/>
  <c r="Y273" i="16"/>
  <c r="I4" i="14" a="1"/>
  <c r="I4" i="14" s="1"/>
  <c r="Y269" i="16"/>
  <c r="C3" i="1"/>
  <c r="E2" i="18"/>
  <c r="E3" i="18" s="1"/>
  <c r="E4" i="18" s="1"/>
  <c r="E5" i="18" s="1"/>
  <c r="E6" i="18" s="1"/>
  <c r="E7" i="18" s="1"/>
  <c r="E8" i="18" s="1"/>
  <c r="E9" i="18" s="1"/>
  <c r="E10" i="18" s="1"/>
  <c r="E11" i="18" s="1"/>
  <c r="E12" i="18" s="1"/>
  <c r="E13" i="18" s="1"/>
  <c r="E14" i="18" s="1"/>
  <c r="E15" i="18" s="1"/>
  <c r="E16" i="18" s="1"/>
  <c r="E17" i="18" s="1"/>
  <c r="E18" i="18" s="1"/>
  <c r="E19" i="18" s="1"/>
  <c r="E20" i="18" s="1"/>
  <c r="E21" i="18" s="1"/>
  <c r="E22" i="18" s="1"/>
  <c r="E23" i="18" s="1"/>
  <c r="E24" i="18" s="1"/>
  <c r="E25" i="18" s="1"/>
  <c r="E26" i="18" s="1"/>
  <c r="E27" i="18" s="1"/>
  <c r="E28" i="18" s="1"/>
  <c r="E29" i="18" s="1"/>
  <c r="E30" i="18" s="1"/>
  <c r="E31" i="18" s="1"/>
  <c r="E32" i="18" s="1"/>
  <c r="E33" i="18" s="1"/>
  <c r="E34" i="18" s="1"/>
  <c r="E35" i="18" s="1"/>
  <c r="E36" i="18" s="1"/>
  <c r="E37" i="18" s="1"/>
  <c r="E38" i="18" s="1"/>
  <c r="E39" i="18" s="1"/>
  <c r="E40" i="18" s="1"/>
  <c r="E41" i="18" s="1"/>
  <c r="E42" i="18" s="1"/>
  <c r="E43" i="18" s="1"/>
  <c r="E44" i="18" s="1"/>
  <c r="D45" i="18" s="1"/>
  <c r="D6" i="14"/>
  <c r="D7" i="14"/>
  <c r="D8" i="14"/>
  <c r="D9" i="14"/>
  <c r="D11" i="14"/>
  <c r="D14" i="14"/>
  <c r="D15" i="14"/>
  <c r="D16" i="14"/>
  <c r="D5" i="14"/>
  <c r="J2" i="13"/>
  <c r="J3" i="13"/>
  <c r="J4" i="13"/>
  <c r="Y20" i="16"/>
  <c r="Y22" i="16"/>
  <c r="Y12" i="16"/>
  <c r="Y5" i="16"/>
  <c r="Y15" i="16"/>
  <c r="Y6" i="16"/>
  <c r="Y24" i="16"/>
  <c r="Y31" i="16"/>
  <c r="Y32" i="16"/>
  <c r="Y34" i="16"/>
  <c r="Y16" i="16"/>
  <c r="Y19" i="16"/>
  <c r="Y11" i="16"/>
  <c r="Y13" i="16"/>
  <c r="Y9" i="16"/>
  <c r="Y18" i="16"/>
  <c r="Y7" i="16"/>
  <c r="Y14" i="16"/>
  <c r="Y17" i="16"/>
  <c r="Y35" i="16"/>
  <c r="Y23" i="16"/>
  <c r="Y33" i="16"/>
  <c r="Y30" i="16"/>
  <c r="Y3" i="16"/>
  <c r="Y26" i="16"/>
  <c r="Y28" i="16"/>
  <c r="Y4" i="16"/>
  <c r="Y21" i="16"/>
  <c r="Y27" i="16"/>
  <c r="Y10" i="16"/>
  <c r="Y25" i="16"/>
  <c r="Y29" i="16"/>
  <c r="Y8" i="16"/>
  <c r="Y2" i="16"/>
  <c r="Y36" i="16"/>
  <c r="Y175" i="16"/>
  <c r="Y95" i="16"/>
  <c r="Y261" i="16"/>
  <c r="Y146" i="16"/>
  <c r="Y169" i="16"/>
  <c r="Y183" i="16"/>
  <c r="Y57" i="16"/>
  <c r="Y240" i="16"/>
  <c r="Y88" i="16"/>
  <c r="Y226" i="16"/>
  <c r="Y155" i="16"/>
  <c r="Y268" i="16"/>
  <c r="Y200" i="16"/>
  <c r="Y137" i="16"/>
  <c r="Y70" i="16"/>
  <c r="Y197" i="16"/>
  <c r="Y40" i="16"/>
  <c r="Y118" i="16"/>
  <c r="Y266" i="16"/>
  <c r="Y263" i="16"/>
  <c r="Y171" i="16"/>
  <c r="Y252" i="16"/>
  <c r="Y267" i="16"/>
  <c r="Y264" i="16"/>
  <c r="Y246" i="16"/>
  <c r="Y255" i="16"/>
  <c r="Y259" i="16"/>
  <c r="Y265" i="16"/>
  <c r="Y153" i="16"/>
  <c r="Y179" i="16"/>
  <c r="Y260" i="16"/>
  <c r="Y258" i="16"/>
  <c r="Y71" i="16"/>
  <c r="Y262" i="16"/>
  <c r="Y251" i="16"/>
  <c r="Y245" i="16"/>
  <c r="Y239" i="16"/>
  <c r="Y241" i="16"/>
  <c r="Y213" i="16"/>
  <c r="Y247" i="16"/>
  <c r="Y235" i="16"/>
  <c r="Y250" i="16"/>
  <c r="Y257" i="16"/>
  <c r="Y254" i="16"/>
  <c r="Y87" i="16"/>
  <c r="Y165" i="16"/>
  <c r="Y223" i="16"/>
  <c r="Y233" i="16"/>
  <c r="Y176" i="16"/>
  <c r="Y234" i="16"/>
  <c r="Y231" i="16"/>
  <c r="Y227" i="16"/>
  <c r="Y243" i="16"/>
  <c r="Y232" i="16"/>
  <c r="Y225" i="16"/>
  <c r="Y238" i="16"/>
  <c r="Y242" i="16"/>
  <c r="Y224" i="16"/>
  <c r="Y108" i="16"/>
  <c r="Y206" i="16"/>
  <c r="Y220" i="16"/>
  <c r="Y212" i="16"/>
  <c r="Y141" i="16"/>
  <c r="Y109" i="16"/>
  <c r="Y248" i="16"/>
  <c r="Y244" i="16"/>
  <c r="Y229" i="16"/>
  <c r="Y201" i="16"/>
  <c r="Y215" i="16"/>
  <c r="Y219" i="16"/>
  <c r="Y217" i="16"/>
  <c r="Y216" i="16"/>
  <c r="Y207" i="16"/>
  <c r="Y218" i="16"/>
  <c r="Y236" i="16"/>
  <c r="Y249" i="16"/>
  <c r="Y208" i="16"/>
  <c r="Y191" i="16"/>
  <c r="Y209" i="16"/>
  <c r="Y194" i="16"/>
  <c r="Y46" i="16"/>
  <c r="Y210" i="16"/>
  <c r="Y204" i="16"/>
  <c r="Y230" i="16"/>
  <c r="Y205" i="16"/>
  <c r="Y253" i="16"/>
  <c r="Y237" i="16"/>
  <c r="Y256" i="16"/>
  <c r="Y202" i="16"/>
  <c r="Y98" i="16"/>
  <c r="Y156" i="16"/>
  <c r="Y228" i="16"/>
  <c r="Y104" i="16"/>
  <c r="Y195" i="16"/>
  <c r="Y182" i="16"/>
  <c r="Y82" i="16"/>
  <c r="Y221" i="16"/>
  <c r="Y187" i="16"/>
  <c r="Y159" i="16"/>
  <c r="Y196" i="16"/>
  <c r="Y102" i="16"/>
  <c r="Y185" i="16"/>
  <c r="Y186" i="16"/>
  <c r="Y138" i="16"/>
  <c r="Y131" i="16"/>
  <c r="Y126" i="16"/>
  <c r="Y181" i="16"/>
  <c r="Y170" i="16"/>
  <c r="Y168" i="16"/>
  <c r="Y203" i="16"/>
  <c r="Y167" i="16"/>
  <c r="Y193" i="16"/>
  <c r="Y211" i="16"/>
  <c r="Y152" i="16"/>
  <c r="Y199" i="16"/>
  <c r="Y188" i="16"/>
  <c r="Y189" i="16"/>
  <c r="Y42" i="16"/>
  <c r="Y96" i="16"/>
  <c r="Y214" i="16"/>
  <c r="Y166" i="16"/>
  <c r="Y190" i="16"/>
  <c r="Y150" i="16"/>
  <c r="Y154" i="16"/>
  <c r="Y172" i="16"/>
  <c r="Y192" i="16"/>
  <c r="Y107" i="16"/>
  <c r="Y177" i="16"/>
  <c r="Y158" i="16"/>
  <c r="Y143" i="16"/>
  <c r="Y178" i="16"/>
  <c r="Y180" i="16"/>
  <c r="Y149" i="16"/>
  <c r="Y198" i="16"/>
  <c r="Y173" i="16"/>
  <c r="Y49" i="16"/>
  <c r="Y139" i="16"/>
  <c r="Y132" i="16"/>
  <c r="Y163" i="16"/>
  <c r="Y120" i="16"/>
  <c r="Y174" i="16"/>
  <c r="Y67" i="16"/>
  <c r="Y66" i="16"/>
  <c r="Y122" i="16"/>
  <c r="Y160" i="16"/>
  <c r="Y142" i="16"/>
  <c r="Y135" i="16"/>
  <c r="Y123" i="16"/>
  <c r="Y144" i="16"/>
  <c r="Y116" i="16"/>
  <c r="Y129" i="16"/>
  <c r="Y145" i="16"/>
  <c r="Y162" i="16"/>
  <c r="Y147" i="16"/>
  <c r="Y136" i="16"/>
  <c r="Y119" i="16"/>
  <c r="Y130" i="16"/>
  <c r="Y124" i="16"/>
  <c r="Y105" i="16"/>
  <c r="Y83" i="16"/>
  <c r="Y161" i="16"/>
  <c r="Y103" i="16"/>
  <c r="Y134" i="16"/>
  <c r="Y89" i="16"/>
  <c r="Y157" i="16"/>
  <c r="Y74" i="16"/>
  <c r="Y164" i="16"/>
  <c r="Y100" i="16"/>
  <c r="Y151" i="16"/>
  <c r="Y121" i="16"/>
  <c r="Y125" i="16"/>
  <c r="Y93" i="16"/>
  <c r="Y110" i="16"/>
  <c r="Y115" i="16"/>
  <c r="Y101" i="16"/>
  <c r="Y127" i="16"/>
  <c r="Y97" i="16"/>
  <c r="Y112" i="16"/>
  <c r="Y117" i="16"/>
  <c r="Y51" i="16"/>
  <c r="Y68" i="16"/>
  <c r="Y106" i="16"/>
  <c r="Y84" i="16"/>
  <c r="Y128" i="16"/>
  <c r="Y111" i="16"/>
  <c r="Y41" i="16"/>
  <c r="Y73" i="16"/>
  <c r="Y69" i="16"/>
  <c r="Y85" i="16"/>
  <c r="Y86" i="16"/>
  <c r="Y72" i="16"/>
  <c r="Y99" i="16"/>
  <c r="Y113" i="16"/>
  <c r="Y63" i="16"/>
  <c r="Y77" i="16"/>
  <c r="Y75" i="16"/>
  <c r="Y91" i="16"/>
  <c r="Y90" i="16"/>
  <c r="Y79" i="16"/>
  <c r="Y92" i="16"/>
  <c r="Y114" i="16"/>
  <c r="Y38" i="16"/>
  <c r="Y94" i="16"/>
  <c r="Y62" i="16"/>
  <c r="Y52" i="16"/>
  <c r="Y80" i="16"/>
  <c r="Y54" i="16"/>
  <c r="Y64" i="16"/>
  <c r="Y58" i="16"/>
  <c r="Y39" i="16"/>
  <c r="Y45" i="16"/>
  <c r="Y47" i="16"/>
  <c r="Y60" i="16"/>
  <c r="Y184" i="16"/>
  <c r="Y76" i="16"/>
  <c r="Y61" i="16"/>
  <c r="Y78" i="16"/>
  <c r="Y65" i="16"/>
  <c r="Y44" i="16"/>
  <c r="Y81" i="16"/>
  <c r="Y43" i="16"/>
  <c r="Y140" i="16"/>
  <c r="Y48" i="16"/>
  <c r="Y56" i="16"/>
  <c r="Y59" i="16"/>
  <c r="Y50" i="16"/>
  <c r="Y53" i="16"/>
  <c r="Y55" i="16"/>
  <c r="M17" i="1" l="1"/>
  <c r="M18" i="1" s="1"/>
  <c r="D528" i="16"/>
  <c r="D527" i="16"/>
  <c r="D526" i="16"/>
  <c r="D529" i="16"/>
  <c r="D524" i="16"/>
  <c r="D525" i="16"/>
  <c r="D482" i="16"/>
  <c r="D432" i="16"/>
  <c r="D439" i="16"/>
  <c r="D352" i="16"/>
  <c r="D417" i="16"/>
  <c r="D347" i="16"/>
  <c r="D374" i="16"/>
  <c r="D375" i="16"/>
  <c r="D366" i="16"/>
  <c r="D474" i="16"/>
  <c r="D306" i="16"/>
  <c r="D456" i="16"/>
  <c r="D405" i="16"/>
  <c r="D495" i="16"/>
  <c r="D346" i="16"/>
  <c r="D301" i="16"/>
  <c r="D323" i="16"/>
  <c r="D500" i="16"/>
  <c r="D434" i="16"/>
  <c r="D450" i="16"/>
  <c r="D458" i="16"/>
  <c r="D340" i="16"/>
  <c r="D412" i="16"/>
  <c r="D370" i="16"/>
  <c r="D426" i="16"/>
  <c r="D368" i="16"/>
  <c r="D449" i="16"/>
  <c r="D435" i="16"/>
  <c r="D442" i="16"/>
  <c r="D295" i="16"/>
  <c r="D509" i="16"/>
  <c r="D414" i="16"/>
  <c r="D378" i="16"/>
  <c r="D403" i="16"/>
  <c r="D491" i="16"/>
  <c r="D359" i="16"/>
  <c r="D355" i="16"/>
  <c r="D430" i="16"/>
  <c r="D422" i="16"/>
  <c r="D369" i="16"/>
  <c r="D291" i="16"/>
  <c r="D459" i="16"/>
  <c r="D394" i="16"/>
  <c r="D427" i="16"/>
  <c r="D305" i="16"/>
  <c r="D362" i="16"/>
  <c r="D320" i="16"/>
  <c r="D303" i="16"/>
  <c r="D344" i="16"/>
  <c r="D353" i="16"/>
  <c r="D350" i="16"/>
  <c r="D455" i="16"/>
  <c r="D384" i="16"/>
  <c r="D391" i="16"/>
  <c r="D494" i="16"/>
  <c r="D322" i="16"/>
  <c r="D398" i="16"/>
  <c r="D331" i="16"/>
  <c r="D311" i="16"/>
  <c r="D446" i="16"/>
  <c r="D499" i="16"/>
  <c r="D457" i="16"/>
  <c r="D496" i="16"/>
  <c r="D371" i="16"/>
  <c r="D523" i="16"/>
  <c r="D310" i="16"/>
  <c r="D292" i="16"/>
  <c r="D317" i="16"/>
  <c r="D386" i="16"/>
  <c r="D293" i="16"/>
  <c r="D522" i="16"/>
  <c r="D425" i="16"/>
  <c r="D321" i="16"/>
  <c r="D506" i="16"/>
  <c r="D419" i="16"/>
  <c r="D503" i="16"/>
  <c r="D315" i="16"/>
  <c r="D318" i="16"/>
  <c r="D408" i="16"/>
  <c r="D473" i="16"/>
  <c r="D377" i="16"/>
  <c r="D462" i="16"/>
  <c r="D395" i="16"/>
  <c r="D337" i="16"/>
  <c r="D290" i="16"/>
  <c r="D332" i="16"/>
  <c r="D518" i="16"/>
  <c r="D299" i="16"/>
  <c r="D519" i="16"/>
  <c r="D447" i="16"/>
  <c r="D415" i="16"/>
  <c r="D280" i="16"/>
  <c r="D477" i="16"/>
  <c r="D383" i="16"/>
  <c r="D379" i="16"/>
  <c r="D294" i="16"/>
  <c r="D297" i="16"/>
  <c r="D316" i="16"/>
  <c r="D390" i="16"/>
  <c r="D397" i="16"/>
  <c r="D418" i="16"/>
  <c r="D393" i="16"/>
  <c r="D515" i="16"/>
  <c r="D475" i="16"/>
  <c r="D429" i="16"/>
  <c r="D431" i="16"/>
  <c r="D342" i="16"/>
  <c r="D466" i="16"/>
  <c r="D489" i="16"/>
  <c r="D401" i="16"/>
  <c r="D517" i="16"/>
  <c r="D436" i="16"/>
  <c r="D380" i="16"/>
  <c r="D388" i="16"/>
  <c r="D361" i="16"/>
  <c r="D287" i="16"/>
  <c r="D328" i="16"/>
  <c r="D288" i="16"/>
  <c r="D2" i="19"/>
  <c r="E2" i="19" s="1"/>
  <c r="D343" i="16"/>
  <c r="D492" i="16"/>
  <c r="D452" i="16"/>
  <c r="D413" i="16"/>
  <c r="D373" i="16"/>
  <c r="D465" i="16"/>
  <c r="D399" i="16"/>
  <c r="D444" i="16"/>
  <c r="D354" i="16"/>
  <c r="D407" i="16"/>
  <c r="D382" i="16"/>
  <c r="D326" i="16"/>
  <c r="D300" i="16"/>
  <c r="D454" i="16"/>
  <c r="D409" i="16"/>
  <c r="D481" i="16"/>
  <c r="D504" i="16"/>
  <c r="D464" i="16"/>
  <c r="D285" i="16"/>
  <c r="D490" i="16"/>
  <c r="D508" i="16"/>
  <c r="D507" i="16"/>
  <c r="D333" i="16"/>
  <c r="D516" i="16"/>
  <c r="D511" i="16"/>
  <c r="D487" i="16"/>
  <c r="D351" i="16"/>
  <c r="D416" i="16"/>
  <c r="D396" i="16"/>
  <c r="D424" i="16"/>
  <c r="D478" i="16"/>
  <c r="D470" i="16"/>
  <c r="D498" i="16"/>
  <c r="D467" i="16"/>
  <c r="D471" i="16"/>
  <c r="D324" i="16"/>
  <c r="D282" i="16"/>
  <c r="D289" i="16"/>
  <c r="D286" i="16"/>
  <c r="D283" i="16"/>
  <c r="D486" i="16"/>
  <c r="D445" i="16"/>
  <c r="D349" i="16"/>
  <c r="D510" i="16"/>
  <c r="D502" i="16"/>
  <c r="D520" i="16"/>
  <c r="D480" i="16"/>
  <c r="D402" i="16"/>
  <c r="D330" i="16"/>
  <c r="D348" i="16"/>
  <c r="D308" i="16"/>
  <c r="D296" i="16"/>
  <c r="D404" i="16"/>
  <c r="D319" i="16"/>
  <c r="D341" i="16"/>
  <c r="D461" i="16"/>
  <c r="D334" i="16"/>
  <c r="D357" i="16"/>
  <c r="D339" i="16"/>
  <c r="D453" i="16"/>
  <c r="D360" i="16"/>
  <c r="D443" i="16"/>
  <c r="D336" i="16"/>
  <c r="D298" i="16"/>
  <c r="D501" i="16"/>
  <c r="D479" i="16"/>
  <c r="D472" i="16"/>
  <c r="D428" i="16"/>
  <c r="D376" i="16"/>
  <c r="D363" i="16"/>
  <c r="D345" i="16"/>
  <c r="D365" i="16"/>
  <c r="D448" i="16"/>
  <c r="D476" i="16"/>
  <c r="D302" i="16"/>
  <c r="D335" i="16"/>
  <c r="D389" i="16"/>
  <c r="D485" i="16"/>
  <c r="D327" i="16"/>
  <c r="D497" i="16"/>
  <c r="D410" i="16"/>
  <c r="D420" i="16"/>
  <c r="D421" i="16"/>
  <c r="D372" i="16"/>
  <c r="D437" i="16"/>
  <c r="D438" i="16"/>
  <c r="D469" i="16"/>
  <c r="D356" i="16"/>
  <c r="D468" i="16"/>
  <c r="D309" i="16"/>
  <c r="D483" i="16"/>
  <c r="D338" i="16"/>
  <c r="D325" i="16"/>
  <c r="D314" i="16"/>
  <c r="D505" i="16"/>
  <c r="D329" i="16"/>
  <c r="D392" i="16"/>
  <c r="D304" i="16"/>
  <c r="D406" i="16"/>
  <c r="D385" i="16"/>
  <c r="D411" i="16"/>
  <c r="D284" i="16"/>
  <c r="D460" i="16"/>
  <c r="D441" i="16"/>
  <c r="D512" i="16"/>
  <c r="D387" i="16"/>
  <c r="D367" i="16"/>
  <c r="D423" i="16"/>
  <c r="D307" i="16"/>
  <c r="D514" i="16"/>
  <c r="D493" i="16"/>
  <c r="D313" i="16"/>
  <c r="D312" i="16"/>
  <c r="D358" i="16"/>
  <c r="D451" i="16"/>
  <c r="D364" i="16"/>
  <c r="D488" i="16"/>
  <c r="D440" i="16"/>
  <c r="D463" i="16"/>
  <c r="D281" i="16"/>
  <c r="D433" i="16"/>
  <c r="D400" i="16"/>
  <c r="D484" i="16"/>
  <c r="D279" i="16"/>
  <c r="D381" i="16"/>
  <c r="D521" i="16"/>
  <c r="D513" i="16"/>
  <c r="M6" i="1"/>
  <c r="D263" i="16"/>
  <c r="Z263" i="16" s="1"/>
  <c r="D149" i="16"/>
  <c r="D199" i="16"/>
  <c r="D45" i="16"/>
  <c r="D74" i="16"/>
  <c r="D42" i="16"/>
  <c r="Z42" i="16" s="1"/>
  <c r="D250" i="16"/>
  <c r="D40" i="16"/>
  <c r="Z40" i="16" s="1"/>
  <c r="D155" i="16"/>
  <c r="D249" i="16"/>
  <c r="D38" i="16"/>
  <c r="Z38" i="16" s="1"/>
  <c r="D20" i="16"/>
  <c r="D206" i="16"/>
  <c r="D19" i="16"/>
  <c r="D180" i="16"/>
  <c r="D153" i="16"/>
  <c r="D100" i="16"/>
  <c r="D82" i="16"/>
  <c r="D172" i="16"/>
  <c r="D251" i="16"/>
  <c r="D205" i="16"/>
  <c r="D234" i="16"/>
  <c r="D72" i="16"/>
  <c r="D227" i="16"/>
  <c r="D31" i="16"/>
  <c r="D60" i="16"/>
  <c r="D272" i="16"/>
  <c r="D195" i="16"/>
  <c r="D224" i="16"/>
  <c r="D240" i="16"/>
  <c r="D17" i="16"/>
  <c r="D75" i="16"/>
  <c r="D175" i="16"/>
  <c r="D262" i="16"/>
  <c r="D276" i="16"/>
  <c r="D77" i="16"/>
  <c r="D111" i="16"/>
  <c r="D80" i="16"/>
  <c r="D222" i="16"/>
  <c r="D70" i="16"/>
  <c r="D90" i="16"/>
  <c r="D108" i="16"/>
  <c r="D119" i="16"/>
  <c r="Z119" i="16" s="1"/>
  <c r="D144" i="16"/>
  <c r="D157" i="16"/>
  <c r="D185" i="16"/>
  <c r="D198" i="16"/>
  <c r="D5" i="16"/>
  <c r="D226" i="16"/>
  <c r="D256" i="16"/>
  <c r="D33" i="16"/>
  <c r="D187" i="16"/>
  <c r="D278" i="16"/>
  <c r="D105" i="16"/>
  <c r="D259" i="16"/>
  <c r="D274" i="16"/>
  <c r="D48" i="16"/>
  <c r="D59" i="16"/>
  <c r="D79" i="16"/>
  <c r="D87" i="16"/>
  <c r="Z87" i="16" s="1"/>
  <c r="D125" i="16"/>
  <c r="D141" i="16"/>
  <c r="D156" i="16"/>
  <c r="D176" i="16"/>
  <c r="D186" i="16"/>
  <c r="D202" i="16"/>
  <c r="D216" i="16"/>
  <c r="D229" i="16"/>
  <c r="D244" i="16"/>
  <c r="D12" i="16"/>
  <c r="Z12" i="16" s="1"/>
  <c r="D22" i="16"/>
  <c r="D267" i="16"/>
  <c r="D107" i="16"/>
  <c r="D277" i="16"/>
  <c r="D37" i="16"/>
  <c r="D170" i="16"/>
  <c r="Z170" i="16" s="1"/>
  <c r="D275" i="16"/>
  <c r="D50" i="16"/>
  <c r="D58" i="16"/>
  <c r="D73" i="16"/>
  <c r="D109" i="16"/>
  <c r="D126" i="16"/>
  <c r="D135" i="16"/>
  <c r="D158" i="16"/>
  <c r="D174" i="16"/>
  <c r="D203" i="16"/>
  <c r="D217" i="16"/>
  <c r="D245" i="16"/>
  <c r="D14" i="16"/>
  <c r="D23" i="16"/>
  <c r="D35" i="16"/>
  <c r="D76" i="16"/>
  <c r="D89" i="16"/>
  <c r="D127" i="16"/>
  <c r="D254" i="16"/>
  <c r="D78" i="16"/>
  <c r="D177" i="16"/>
  <c r="D270" i="16"/>
  <c r="D91" i="16"/>
  <c r="D140" i="16"/>
  <c r="D159" i="16"/>
  <c r="D220" i="16"/>
  <c r="D231" i="16"/>
  <c r="D257" i="16"/>
  <c r="D36" i="16"/>
  <c r="D168" i="16"/>
  <c r="D145" i="16"/>
  <c r="D54" i="16"/>
  <c r="D84" i="16"/>
  <c r="D113" i="16"/>
  <c r="D142" i="16"/>
  <c r="D150" i="16"/>
  <c r="Z150" i="16" s="1"/>
  <c r="D3" i="16"/>
  <c r="Z3" i="16" s="1"/>
  <c r="D223" i="16"/>
  <c r="D47" i="16"/>
  <c r="D104" i="16"/>
  <c r="D204" i="16"/>
  <c r="D24" i="16"/>
  <c r="D49" i="16"/>
  <c r="D61" i="16"/>
  <c r="D71" i="16"/>
  <c r="D88" i="16"/>
  <c r="D120" i="16"/>
  <c r="D2" i="16"/>
  <c r="D269" i="16"/>
  <c r="D214" i="16"/>
  <c r="D8" i="16"/>
  <c r="D9" i="16"/>
  <c r="D13" i="16"/>
  <c r="D32" i="16"/>
  <c r="D273" i="16"/>
  <c r="D57" i="16"/>
  <c r="D92" i="16"/>
  <c r="D103" i="16"/>
  <c r="D143" i="16"/>
  <c r="D152" i="16"/>
  <c r="D201" i="16"/>
  <c r="D7" i="16"/>
  <c r="D242" i="16"/>
  <c r="D255" i="16"/>
  <c r="D34" i="16"/>
  <c r="Z34" i="16" s="1"/>
  <c r="D118" i="16"/>
  <c r="D137" i="16"/>
  <c r="D209" i="16"/>
  <c r="Z209" i="16" s="1"/>
  <c r="D11" i="16"/>
  <c r="D28" i="16"/>
  <c r="D271" i="16"/>
  <c r="D44" i="16"/>
  <c r="D63" i="16"/>
  <c r="D68" i="16"/>
  <c r="D99" i="16"/>
  <c r="D128" i="16"/>
  <c r="D134" i="16"/>
  <c r="D160" i="16"/>
  <c r="D219" i="16"/>
  <c r="D232" i="16"/>
  <c r="D268" i="16"/>
  <c r="D64" i="16"/>
  <c r="D129" i="16"/>
  <c r="D264" i="16"/>
  <c r="D115" i="16"/>
  <c r="D167" i="16"/>
  <c r="D211" i="16"/>
  <c r="D237" i="16"/>
  <c r="D66" i="16"/>
  <c r="D193" i="16"/>
  <c r="D67" i="16"/>
  <c r="D238" i="16"/>
  <c r="D213" i="16"/>
  <c r="D241" i="16"/>
  <c r="D163" i="16"/>
  <c r="D207" i="16"/>
  <c r="D53" i="16"/>
  <c r="D121" i="16"/>
  <c r="D146" i="16"/>
  <c r="D178" i="16"/>
  <c r="D114" i="16"/>
  <c r="D139" i="16"/>
  <c r="D117" i="16"/>
  <c r="D161" i="16"/>
  <c r="D221" i="16"/>
  <c r="D253" i="16"/>
  <c r="D191" i="16"/>
  <c r="D52" i="16"/>
  <c r="D225" i="16"/>
  <c r="D247" i="16"/>
  <c r="D192" i="16"/>
  <c r="D39" i="16"/>
  <c r="Z39" i="16" s="1"/>
  <c r="D30" i="16"/>
  <c r="D171" i="16"/>
  <c r="D164" i="16"/>
  <c r="D239" i="16"/>
  <c r="D96" i="16"/>
  <c r="Z96" i="16" s="1"/>
  <c r="D138" i="16"/>
  <c r="D165" i="16"/>
  <c r="D131" i="16"/>
  <c r="D51" i="16"/>
  <c r="D246" i="16"/>
  <c r="D182" i="16"/>
  <c r="D81" i="16"/>
  <c r="D29" i="16"/>
  <c r="D27" i="16"/>
  <c r="D132" i="16"/>
  <c r="D85" i="16"/>
  <c r="D147" i="16"/>
  <c r="D116" i="16"/>
  <c r="D65" i="16"/>
  <c r="D148" i="16"/>
  <c r="D228" i="16"/>
  <c r="D101" i="16"/>
  <c r="D56" i="16"/>
  <c r="D265" i="16"/>
  <c r="D233" i="16"/>
  <c r="D46" i="16"/>
  <c r="D4" i="16"/>
  <c r="D208" i="16"/>
  <c r="D97" i="16"/>
  <c r="D266" i="16"/>
  <c r="D162" i="16"/>
  <c r="D190" i="16"/>
  <c r="D10" i="16"/>
  <c r="D236" i="16"/>
  <c r="D252" i="16"/>
  <c r="D194" i="16"/>
  <c r="D183" i="16"/>
  <c r="D260" i="16"/>
  <c r="D133" i="16"/>
  <c r="D124" i="16"/>
  <c r="D218" i="16"/>
  <c r="D248" i="16"/>
  <c r="D93" i="16"/>
  <c r="D197" i="16"/>
  <c r="D173" i="16"/>
  <c r="D55" i="16"/>
  <c r="D26" i="16"/>
  <c r="D86" i="16"/>
  <c r="D196" i="16"/>
  <c r="Z196" i="16" s="1"/>
  <c r="D95" i="16"/>
  <c r="D179" i="16"/>
  <c r="D258" i="16"/>
  <c r="D243" i="16"/>
  <c r="D184" i="16"/>
  <c r="D62" i="16"/>
  <c r="D169" i="16"/>
  <c r="D112" i="16"/>
  <c r="D235" i="16"/>
  <c r="D166" i="16"/>
  <c r="D16" i="16"/>
  <c r="Z16" i="16" s="1"/>
  <c r="D200" i="16"/>
  <c r="D261" i="16"/>
  <c r="D230" i="16"/>
  <c r="D15" i="16"/>
  <c r="D110" i="16"/>
  <c r="D21" i="16"/>
  <c r="D154" i="16"/>
  <c r="D123" i="16"/>
  <c r="D188" i="16"/>
  <c r="Z188" i="16" s="1"/>
  <c r="D6" i="16"/>
  <c r="Z6" i="16" s="1"/>
  <c r="D102" i="16"/>
  <c r="D151" i="16"/>
  <c r="D41" i="16"/>
  <c r="Z41" i="16" s="1"/>
  <c r="D25" i="16"/>
  <c r="D189" i="16"/>
  <c r="D210" i="16"/>
  <c r="D130" i="16"/>
  <c r="D215" i="16"/>
  <c r="D83" i="16"/>
  <c r="D18" i="16"/>
  <c r="D212" i="16"/>
  <c r="D94" i="16"/>
  <c r="D43" i="16"/>
  <c r="Z43" i="16" s="1"/>
  <c r="D69" i="16"/>
  <c r="D98" i="16"/>
  <c r="D122" i="16"/>
  <c r="D181" i="16"/>
  <c r="D136" i="16"/>
  <c r="D106" i="16"/>
  <c r="C7" i="1"/>
  <c r="M5" i="1" s="1"/>
  <c r="Y222" i="16"/>
  <c r="Z222" i="16" s="1"/>
  <c r="B4" i="1"/>
  <c r="E33" i="20" s="1"/>
  <c r="E45" i="18"/>
  <c r="E46" i="18" s="1"/>
  <c r="E47" i="18" s="1"/>
  <c r="E48" i="18" s="1"/>
  <c r="E49" i="18" s="1"/>
  <c r="E50" i="18" s="1"/>
  <c r="E51" i="18" s="1"/>
  <c r="E52" i="18" s="1"/>
  <c r="E53" i="18" s="1"/>
  <c r="E54" i="18" s="1"/>
  <c r="E55" i="18" s="1"/>
  <c r="E56" i="18" s="1"/>
  <c r="E57" i="18" s="1"/>
  <c r="E58" i="18" s="1"/>
  <c r="E59" i="18" s="1"/>
  <c r="E60" i="18" s="1"/>
  <c r="E61" i="18" s="1"/>
  <c r="E62" i="18" s="1"/>
  <c r="E63" i="18" s="1"/>
  <c r="E64" i="18" s="1"/>
  <c r="E65" i="18" s="1"/>
  <c r="E66" i="18" s="1"/>
  <c r="E67" i="18" s="1"/>
  <c r="E68" i="18" s="1"/>
  <c r="E69" i="18" s="1"/>
  <c r="E70" i="18" s="1"/>
  <c r="E71" i="18" s="1"/>
  <c r="E72" i="18" s="1"/>
  <c r="E73" i="18" s="1"/>
  <c r="E74" i="18" s="1"/>
  <c r="E75" i="18" s="1"/>
  <c r="E76" i="18" s="1"/>
  <c r="E77" i="18" s="1"/>
  <c r="E78" i="18" s="1"/>
  <c r="E79" i="18" s="1"/>
  <c r="E80" i="18" s="1"/>
  <c r="E81" i="18" s="1"/>
  <c r="E82" i="18" s="1"/>
  <c r="E83" i="18" s="1"/>
  <c r="E84" i="18" s="1"/>
  <c r="E85" i="18" s="1"/>
  <c r="E86" i="18" s="1"/>
  <c r="E87" i="18" s="1"/>
  <c r="E88" i="18" s="1"/>
  <c r="E89" i="18" s="1"/>
  <c r="E90" i="18" s="1"/>
  <c r="E91" i="18" s="1"/>
  <c r="E92" i="18" s="1"/>
  <c r="E93" i="18" s="1"/>
  <c r="E94" i="18" s="1"/>
  <c r="E95" i="18" s="1"/>
  <c r="E96" i="18" s="1"/>
  <c r="E97" i="18" s="1"/>
  <c r="E98" i="18" s="1"/>
  <c r="E99" i="18" s="1"/>
  <c r="E100" i="18" s="1"/>
  <c r="E101" i="18" s="1"/>
  <c r="E102" i="18" s="1"/>
  <c r="E103" i="18" s="1"/>
  <c r="E104" i="18" s="1"/>
  <c r="E105" i="18" s="1"/>
  <c r="E106" i="18" s="1"/>
  <c r="E107" i="18" s="1"/>
  <c r="E108" i="18" s="1"/>
  <c r="E109" i="18" s="1"/>
  <c r="E110" i="18" s="1"/>
  <c r="E111" i="18" s="1"/>
  <c r="E112" i="18" s="1"/>
  <c r="E113" i="18" s="1"/>
  <c r="E114" i="18" s="1"/>
  <c r="E115" i="18" s="1"/>
  <c r="E116" i="18" s="1"/>
  <c r="E117" i="18" s="1"/>
  <c r="E118" i="18" s="1"/>
  <c r="E119" i="18" s="1"/>
  <c r="E120" i="18" s="1"/>
  <c r="E121" i="18" s="1"/>
  <c r="E122" i="18" s="1"/>
  <c r="E123" i="18" s="1"/>
  <c r="E124" i="18" s="1"/>
  <c r="E125" i="18" s="1"/>
  <c r="E126" i="18" s="1"/>
  <c r="E127" i="18" s="1"/>
  <c r="E128" i="18" s="1"/>
  <c r="E129" i="18" s="1"/>
  <c r="E130" i="18" s="1"/>
  <c r="E131" i="18" s="1"/>
  <c r="E132" i="18" s="1"/>
  <c r="E133" i="18" s="1"/>
  <c r="E134" i="18" s="1"/>
  <c r="E135" i="18" s="1"/>
  <c r="E136" i="18" s="1"/>
  <c r="E137" i="18" s="1"/>
  <c r="E138" i="18" s="1"/>
  <c r="E139" i="18" s="1"/>
  <c r="E140" i="18" s="1"/>
  <c r="E141" i="18" s="1"/>
  <c r="E142" i="18" s="1"/>
  <c r="E143" i="18" s="1"/>
  <c r="E144" i="18" s="1"/>
  <c r="E145" i="18" s="1"/>
  <c r="E146" i="18" s="1"/>
  <c r="E147" i="18" s="1"/>
  <c r="E148" i="18" s="1"/>
  <c r="E149" i="18" s="1"/>
  <c r="E150" i="18" s="1"/>
  <c r="E151" i="18" s="1"/>
  <c r="E152" i="18" s="1"/>
  <c r="E153" i="18" s="1"/>
  <c r="E154" i="18" s="1"/>
  <c r="E155" i="18" s="1"/>
  <c r="E156" i="18" s="1"/>
  <c r="E157" i="18" s="1"/>
  <c r="E158" i="18" s="1"/>
  <c r="E159" i="18" s="1"/>
  <c r="E160" i="18" s="1"/>
  <c r="E161" i="18" s="1"/>
  <c r="E162" i="18" s="1"/>
  <c r="E163" i="18" s="1"/>
  <c r="E164" i="18" s="1"/>
  <c r="E165" i="18" s="1"/>
  <c r="E166" i="18" s="1"/>
  <c r="E167" i="18" s="1"/>
  <c r="E168" i="18" s="1"/>
  <c r="E169" i="18" s="1"/>
  <c r="E170" i="18" s="1"/>
  <c r="E171" i="18" s="1"/>
  <c r="E172" i="18" s="1"/>
  <c r="E173" i="18" s="1"/>
  <c r="E174" i="18" s="1"/>
  <c r="E175" i="18" s="1"/>
  <c r="E176" i="18" s="1"/>
  <c r="E177" i="18" s="1"/>
  <c r="E178" i="18" s="1"/>
  <c r="E179" i="18" s="1"/>
  <c r="E180" i="18" s="1"/>
  <c r="E181" i="18" s="1"/>
  <c r="E182" i="18" s="1"/>
  <c r="E183" i="18" s="1"/>
  <c r="E184" i="18" s="1"/>
  <c r="E185" i="18" s="1"/>
  <c r="E186" i="18" s="1"/>
  <c r="E187" i="18" s="1"/>
  <c r="E188" i="18" s="1"/>
  <c r="E189" i="18" s="1"/>
  <c r="E190" i="18" s="1"/>
  <c r="E191" i="18" s="1"/>
  <c r="E192" i="18" s="1"/>
  <c r="E193" i="18" s="1"/>
  <c r="E194" i="18" s="1"/>
  <c r="E195" i="18" s="1"/>
  <c r="E196" i="18" s="1"/>
  <c r="E197" i="18" s="1"/>
  <c r="E198" i="18" s="1"/>
  <c r="E199" i="18" s="1"/>
  <c r="E200" i="18" s="1"/>
  <c r="E201" i="18" s="1"/>
  <c r="E202" i="18" s="1"/>
  <c r="E203" i="18" s="1"/>
  <c r="E204" i="18" s="1"/>
  <c r="E205" i="18" s="1"/>
  <c r="E206" i="18" s="1"/>
  <c r="E207" i="18" s="1"/>
  <c r="E208" i="18" s="1"/>
  <c r="E209" i="18" s="1"/>
  <c r="E210" i="18" s="1"/>
  <c r="E211" i="18" s="1"/>
  <c r="E212" i="18" s="1"/>
  <c r="E213" i="18" s="1"/>
  <c r="E214" i="18" s="1"/>
  <c r="E215" i="18" s="1"/>
  <c r="E216" i="18" s="1"/>
  <c r="E217" i="18" s="1"/>
  <c r="E218" i="18" s="1"/>
  <c r="E219" i="18" s="1"/>
  <c r="E220" i="18" s="1"/>
  <c r="E221" i="18" s="1"/>
  <c r="E222" i="18" s="1"/>
  <c r="E223" i="18" s="1"/>
  <c r="E224" i="18" s="1"/>
  <c r="E225" i="18" s="1"/>
  <c r="E226" i="18" s="1"/>
  <c r="E227" i="18" s="1"/>
  <c r="E228" i="18" s="1"/>
  <c r="E229" i="18" s="1"/>
  <c r="E230" i="18" s="1"/>
  <c r="E231" i="18" s="1"/>
  <c r="E232" i="18" s="1"/>
  <c r="E233" i="18" s="1"/>
  <c r="E234" i="18" s="1"/>
  <c r="E235" i="18" s="1"/>
  <c r="E236" i="18" s="1"/>
  <c r="E237" i="18" s="1"/>
  <c r="E238" i="18" s="1"/>
  <c r="E239" i="18" s="1"/>
  <c r="E240" i="18" s="1"/>
  <c r="E241" i="18" s="1"/>
  <c r="E242" i="18" s="1"/>
  <c r="E243" i="18" s="1"/>
  <c r="E244" i="18" s="1"/>
  <c r="E245" i="18" s="1"/>
  <c r="E246" i="18" s="1"/>
  <c r="E247" i="18" s="1"/>
  <c r="E248" i="18" s="1"/>
  <c r="E249" i="18" s="1"/>
  <c r="E250" i="18" s="1"/>
  <c r="E251" i="18" s="1"/>
  <c r="E252" i="18" s="1"/>
  <c r="E253" i="18" s="1"/>
  <c r="E254" i="18" s="1"/>
  <c r="E255" i="18" s="1"/>
  <c r="E256" i="18" s="1"/>
  <c r="E257" i="18" s="1"/>
  <c r="E258" i="18" s="1"/>
  <c r="E259" i="18" s="1"/>
  <c r="E260" i="18" s="1"/>
  <c r="E261" i="18" s="1"/>
  <c r="E262" i="18" s="1"/>
  <c r="E263" i="18" s="1"/>
  <c r="E264" i="18" s="1"/>
  <c r="E265" i="18" s="1"/>
  <c r="E266" i="18" s="1"/>
  <c r="E267" i="18" s="1"/>
  <c r="E268" i="18" s="1"/>
  <c r="E269" i="18" s="1"/>
  <c r="E270" i="18" s="1"/>
  <c r="E271" i="18" s="1"/>
  <c r="E272" i="18" s="1"/>
  <c r="E273" i="18" s="1"/>
  <c r="E274" i="18" s="1"/>
  <c r="E275" i="18" s="1"/>
  <c r="E276" i="18" s="1"/>
  <c r="E277" i="18" s="1"/>
  <c r="E278" i="18" s="1"/>
  <c r="E279" i="18" s="1"/>
  <c r="E280" i="18" s="1"/>
  <c r="E281" i="18" s="1"/>
  <c r="E282" i="18" s="1"/>
  <c r="E283" i="18" s="1"/>
  <c r="E284" i="18" s="1"/>
  <c r="E285" i="18" s="1"/>
  <c r="E286" i="18" s="1"/>
  <c r="E287" i="18" s="1"/>
  <c r="E288" i="18" s="1"/>
  <c r="E289" i="18" s="1"/>
  <c r="D290" i="18" s="1"/>
  <c r="K4" i="13"/>
  <c r="K3" i="13"/>
  <c r="K2" i="13"/>
  <c r="Y148" i="16" l="1"/>
  <c r="Z148" i="16" s="1"/>
  <c r="D4" i="1" a="1"/>
  <c r="D4" i="1" s="1"/>
  <c r="E290" i="18"/>
  <c r="E291" i="18" s="1"/>
  <c r="E292" i="18" s="1"/>
  <c r="E293" i="18" s="1"/>
  <c r="E294" i="18" s="1"/>
  <c r="E295" i="18" s="1"/>
  <c r="E296" i="18" s="1"/>
  <c r="E297" i="18" s="1"/>
  <c r="E298" i="18" s="1"/>
  <c r="E299" i="18" s="1"/>
  <c r="E300" i="18" s="1"/>
  <c r="E301" i="18" s="1"/>
  <c r="E302" i="18" s="1"/>
  <c r="E303" i="18" s="1"/>
  <c r="E304" i="18" s="1"/>
  <c r="D305" i="18" s="1"/>
  <c r="E305" i="18" s="1"/>
  <c r="E306" i="18" s="1"/>
  <c r="E307" i="18" s="1"/>
  <c r="E308" i="18" s="1"/>
  <c r="E309" i="18" s="1"/>
  <c r="E310" i="18" s="1"/>
  <c r="E311" i="18" s="1"/>
  <c r="E312" i="18" s="1"/>
  <c r="Y37" i="16"/>
  <c r="Z37" i="16" s="1"/>
  <c r="G3" i="13"/>
  <c r="E3" i="13" s="1"/>
  <c r="H3" i="13" s="1"/>
  <c r="I3" i="13" s="1"/>
  <c r="D13" i="14"/>
  <c r="G2" i="13"/>
  <c r="D10" i="14"/>
  <c r="G4" i="13"/>
  <c r="E4" i="13" s="1"/>
  <c r="H4" i="13" s="1"/>
  <c r="I4" i="13" s="1"/>
  <c r="D12" i="14"/>
  <c r="D6" i="1" l="1"/>
  <c r="J6" i="1" s="1"/>
  <c r="I33" i="20"/>
  <c r="Y133" i="16"/>
  <c r="Z133" i="16" s="1"/>
  <c r="E313" i="18"/>
  <c r="E314" i="18" s="1"/>
  <c r="E315" i="18" s="1"/>
  <c r="E316" i="18" s="1"/>
  <c r="E317" i="18" s="1"/>
  <c r="D318" i="18" s="1"/>
  <c r="E2" i="13"/>
  <c r="C4" i="1" s="1"/>
  <c r="G33" i="20" s="1"/>
  <c r="C5" i="1"/>
  <c r="B3" i="1"/>
  <c r="C33" i="20" s="1"/>
  <c r="B7" i="1"/>
  <c r="D4" i="14"/>
  <c r="C14" i="14"/>
  <c r="C11" i="14"/>
  <c r="C10" i="14"/>
  <c r="C12" i="14"/>
  <c r="C8" i="14"/>
  <c r="C6" i="14"/>
  <c r="C13" i="14"/>
  <c r="C16" i="14"/>
  <c r="C15" i="14"/>
  <c r="C7" i="14"/>
  <c r="C5" i="14"/>
  <c r="C9" i="14"/>
  <c r="E318" i="18" l="1"/>
  <c r="E319" i="18" s="1"/>
  <c r="E320" i="18" s="1"/>
  <c r="E321" i="18" s="1"/>
  <c r="E322" i="18" s="1"/>
  <c r="E323" i="18" s="1"/>
  <c r="E324" i="18" s="1"/>
  <c r="E325" i="18" s="1"/>
  <c r="E326" i="18" s="1"/>
  <c r="E327" i="18" s="1"/>
  <c r="E328" i="18" s="1"/>
  <c r="E329" i="18" s="1"/>
  <c r="E330" i="18" s="1"/>
  <c r="H2" i="13"/>
  <c r="I2" i="13" s="1"/>
  <c r="C6" i="1"/>
  <c r="J5" i="1" s="1"/>
  <c r="M4" i="1"/>
  <c r="C4" i="14"/>
  <c r="F12" i="14"/>
  <c r="F11" i="14"/>
  <c r="F7" i="14"/>
  <c r="F15" i="14"/>
  <c r="F8" i="14"/>
  <c r="F6" i="14"/>
  <c r="F16" i="14"/>
  <c r="F14" i="14"/>
  <c r="F13" i="14"/>
  <c r="F10" i="14"/>
  <c r="D332" i="18" l="1"/>
  <c r="E331" i="18"/>
  <c r="B5" i="1"/>
  <c r="K33" i="20" s="1"/>
  <c r="F9" i="14"/>
  <c r="F4" i="14"/>
  <c r="F5" i="14"/>
  <c r="E332" i="18" l="1"/>
  <c r="E333" i="18" s="1"/>
  <c r="E334" i="18" s="1"/>
  <c r="E335" i="18" s="1"/>
  <c r="E336" i="18" s="1"/>
  <c r="E337" i="18" s="1"/>
  <c r="E338" i="18" s="1"/>
  <c r="E339" i="18" s="1"/>
  <c r="E340" i="18" s="1"/>
  <c r="E341" i="18" s="1"/>
  <c r="E342" i="18" s="1"/>
  <c r="E343" i="18" s="1"/>
  <c r="E344" i="18" s="1"/>
  <c r="E345" i="18" s="1"/>
  <c r="E346" i="18" s="1"/>
  <c r="E347" i="18" s="1"/>
  <c r="E348" i="18" s="1"/>
  <c r="E349" i="18" s="1"/>
  <c r="E350" i="18" s="1"/>
  <c r="E351" i="18" s="1"/>
  <c r="E352" i="18" s="1"/>
  <c r="B6" i="1"/>
  <c r="J4" i="1" s="1"/>
  <c r="G4" i="14"/>
  <c r="G9" i="14"/>
  <c r="B20" i="1" s="1"/>
  <c r="G8" i="14"/>
  <c r="B19" i="1" s="1"/>
  <c r="G7" i="14"/>
  <c r="B18" i="1" s="1"/>
  <c r="G10" i="14"/>
  <c r="B21" i="1" s="1"/>
  <c r="G5" i="14"/>
  <c r="B16" i="1" s="1"/>
  <c r="G14" i="14"/>
  <c r="B25" i="1" s="1"/>
  <c r="G11" i="14"/>
  <c r="B22" i="1" s="1"/>
  <c r="G15" i="14"/>
  <c r="B26" i="1" s="1"/>
  <c r="G16" i="14"/>
  <c r="B27" i="1" s="1"/>
  <c r="G12" i="14"/>
  <c r="B23" i="1" s="1"/>
  <c r="G6" i="14"/>
  <c r="B17" i="1" s="1"/>
  <c r="G13" i="14"/>
  <c r="B24" i="1" s="1"/>
  <c r="E353" i="18" l="1"/>
  <c r="E354" i="18" s="1"/>
  <c r="E355" i="18" s="1"/>
  <c r="E356" i="18" s="1"/>
  <c r="E357" i="18" s="1"/>
  <c r="E358" i="18" s="1"/>
  <c r="E359" i="18" s="1"/>
  <c r="E360" i="18" s="1"/>
  <c r="E361" i="18" s="1"/>
  <c r="E362" i="18" s="1"/>
  <c r="E363" i="18" s="1"/>
  <c r="E364" i="18" s="1"/>
  <c r="E365" i="18" s="1"/>
  <c r="E366" i="18" s="1"/>
  <c r="E367" i="18" s="1"/>
  <c r="E368" i="18" s="1"/>
  <c r="E369" i="18" s="1"/>
  <c r="E370" i="18" s="1"/>
  <c r="E371" i="18" s="1"/>
  <c r="E372" i="18" s="1"/>
  <c r="E373" i="18" s="1"/>
  <c r="E374" i="18" s="1"/>
  <c r="E375" i="18" s="1"/>
  <c r="E376" i="18" s="1"/>
  <c r="E377" i="18" s="1"/>
  <c r="E378" i="18" s="1"/>
  <c r="E379" i="18" s="1"/>
  <c r="E380" i="18" s="1"/>
  <c r="E381" i="18" s="1"/>
  <c r="E382" i="18" s="1"/>
  <c r="E383" i="18" s="1"/>
  <c r="E384" i="18" s="1"/>
  <c r="E385" i="18" s="1"/>
  <c r="E386" i="18" s="1"/>
  <c r="E387" i="18" s="1"/>
  <c r="E388" i="18" s="1"/>
  <c r="E389" i="18" s="1"/>
  <c r="E390" i="18" s="1"/>
  <c r="E391" i="18" s="1"/>
  <c r="E392" i="18" s="1"/>
  <c r="E393" i="18" s="1"/>
  <c r="E394" i="18" s="1"/>
  <c r="E395" i="18" s="1"/>
  <c r="E396" i="18" s="1"/>
  <c r="E397" i="18" s="1"/>
  <c r="E398" i="18" s="1"/>
  <c r="E399" i="18" s="1"/>
  <c r="E400" i="18" s="1"/>
  <c r="E401" i="18" s="1"/>
  <c r="E402" i="18" s="1"/>
  <c r="E403" i="18" s="1"/>
  <c r="E404" i="18" s="1"/>
  <c r="E405" i="18" s="1"/>
  <c r="E406" i="18" s="1"/>
  <c r="E407" i="18" s="1"/>
  <c r="E408" i="18" s="1"/>
  <c r="E409" i="18" s="1"/>
  <c r="E410" i="18" s="1"/>
  <c r="E411" i="18" s="1"/>
  <c r="E412" i="18" s="1"/>
  <c r="E413" i="18" s="1"/>
  <c r="E414" i="18" s="1"/>
  <c r="E415" i="18" s="1"/>
  <c r="E416" i="18" s="1"/>
  <c r="E417" i="18" s="1"/>
  <c r="E418" i="18" s="1"/>
  <c r="E419" i="18" s="1"/>
  <c r="E420" i="18" s="1"/>
  <c r="E421" i="18" s="1"/>
  <c r="E422" i="18" s="1"/>
  <c r="E423" i="18" s="1"/>
  <c r="E424" i="18" s="1"/>
  <c r="E425" i="18" s="1"/>
  <c r="E426" i="18" s="1"/>
  <c r="E427" i="18" s="1"/>
  <c r="E428" i="18" s="1"/>
  <c r="E429" i="18" s="1"/>
  <c r="E430" i="18" s="1"/>
  <c r="E431" i="18" s="1"/>
  <c r="E432" i="18" s="1"/>
  <c r="E433" i="18" s="1"/>
  <c r="E434" i="18" s="1"/>
  <c r="E435" i="18" s="1"/>
  <c r="E436" i="18" s="1"/>
  <c r="E437" i="18" s="1"/>
  <c r="E438" i="18" s="1"/>
  <c r="E439" i="18" s="1"/>
  <c r="E440" i="18" s="1"/>
  <c r="E441" i="18" s="1"/>
  <c r="E442" i="18" s="1"/>
  <c r="E443" i="18" s="1"/>
  <c r="E444" i="18" s="1"/>
  <c r="E445" i="18" s="1"/>
  <c r="E446" i="18" s="1"/>
  <c r="E447" i="18" s="1"/>
  <c r="E448" i="18" s="1"/>
  <c r="E449" i="18" s="1"/>
  <c r="E450" i="18" s="1"/>
  <c r="E451" i="18" s="1"/>
  <c r="E452" i="18" s="1"/>
  <c r="E453" i="18" s="1"/>
  <c r="E454" i="18" s="1"/>
  <c r="E455" i="18" s="1"/>
  <c r="E456" i="18" s="1"/>
  <c r="E457" i="18" s="1"/>
  <c r="E458" i="18" s="1"/>
  <c r="E459" i="18" s="1"/>
  <c r="E460" i="18" s="1"/>
  <c r="E461" i="18" s="1"/>
  <c r="E462" i="18" s="1"/>
  <c r="E463" i="18" s="1"/>
  <c r="E464" i="18" s="1"/>
  <c r="E465" i="18" s="1"/>
  <c r="E466" i="18" s="1"/>
  <c r="E467" i="18" s="1"/>
  <c r="E468" i="18" s="1"/>
  <c r="E469" i="18" s="1"/>
  <c r="E470" i="18" s="1"/>
  <c r="E471" i="18" s="1"/>
  <c r="E472" i="18" s="1"/>
  <c r="E473" i="18" s="1"/>
  <c r="E474" i="18" s="1"/>
  <c r="E475" i="18" s="1"/>
  <c r="E476" i="18" s="1"/>
  <c r="E477" i="18" s="1"/>
  <c r="E478" i="18" s="1"/>
  <c r="E479" i="18" s="1"/>
  <c r="E480" i="18" s="1"/>
  <c r="E481" i="18" s="1"/>
  <c r="E482" i="18" s="1"/>
  <c r="E483" i="18" s="1"/>
  <c r="E484" i="18" s="1"/>
  <c r="E485" i="18" s="1"/>
  <c r="E486" i="18" s="1"/>
  <c r="E487" i="18" s="1"/>
  <c r="E488" i="18" s="1"/>
  <c r="E489" i="18" s="1"/>
  <c r="E490" i="18" s="1"/>
  <c r="E491" i="18" s="1"/>
  <c r="E492" i="18" s="1"/>
  <c r="E493" i="18" s="1"/>
  <c r="E494" i="18" s="1"/>
  <c r="E495" i="18" s="1"/>
  <c r="E496" i="18" s="1"/>
  <c r="E497" i="18" s="1"/>
  <c r="E498" i="18" s="1"/>
  <c r="E499" i="18" s="1"/>
  <c r="E500" i="18" s="1"/>
  <c r="E501" i="18" s="1"/>
  <c r="E502" i="18" s="1"/>
  <c r="E503" i="18" s="1"/>
  <c r="E504" i="18" s="1"/>
  <c r="E505" i="18" s="1"/>
  <c r="E506" i="18" s="1"/>
  <c r="E507" i="18" s="1"/>
  <c r="E508" i="18" s="1"/>
  <c r="E509" i="18" s="1"/>
  <c r="E510" i="18" s="1"/>
  <c r="E511" i="18" s="1"/>
  <c r="E512" i="18" s="1"/>
  <c r="E513" i="18" s="1"/>
  <c r="E514" i="18" s="1"/>
  <c r="E515" i="18" s="1"/>
  <c r="E516" i="18" s="1"/>
  <c r="E517" i="18" s="1"/>
  <c r="E518" i="18" s="1"/>
  <c r="E519" i="18" s="1"/>
  <c r="E520" i="18" s="1"/>
  <c r="E521" i="18" s="1"/>
  <c r="E522" i="18" s="1"/>
  <c r="E523" i="18" s="1"/>
  <c r="E524" i="18" s="1"/>
  <c r="E525" i="18" s="1"/>
  <c r="E526" i="18" s="1"/>
  <c r="E527" i="18" s="1"/>
  <c r="E528" i="18" s="1"/>
  <c r="E529" i="18" s="1"/>
  <c r="E530" i="18" s="1"/>
  <c r="E531" i="18" s="1"/>
  <c r="E532" i="18" s="1"/>
  <c r="E533" i="18" s="1"/>
  <c r="E534" i="18" s="1"/>
  <c r="E535" i="18" s="1"/>
  <c r="E536" i="18" s="1"/>
  <c r="E537" i="18" s="1"/>
  <c r="E538" i="18" s="1"/>
  <c r="E539" i="18" s="1"/>
  <c r="E540" i="18" s="1"/>
  <c r="E541" i="18" s="1"/>
  <c r="E542" i="18" s="1"/>
  <c r="E543" i="18" s="1"/>
  <c r="E544" i="18" s="1"/>
  <c r="E545" i="18" s="1"/>
  <c r="E546" i="18" s="1"/>
  <c r="E547" i="18" s="1"/>
  <c r="E548" i="18" s="1"/>
  <c r="E549" i="18" s="1"/>
  <c r="E550" i="18" s="1"/>
  <c r="E551" i="18" s="1"/>
  <c r="E552" i="18" s="1"/>
  <c r="E553" i="18" s="1"/>
  <c r="E554" i="18" s="1"/>
  <c r="E555" i="18" s="1"/>
  <c r="E556" i="18" s="1"/>
  <c r="E557" i="18" s="1"/>
  <c r="E558" i="18" s="1"/>
  <c r="E559" i="18" s="1"/>
  <c r="E560" i="18" s="1"/>
  <c r="E561" i="18" s="1"/>
  <c r="E562" i="18" s="1"/>
  <c r="E563" i="18" s="1"/>
  <c r="E564" i="18" s="1"/>
  <c r="E565" i="18" s="1"/>
  <c r="E566" i="18" s="1"/>
  <c r="E567" i="18" s="1"/>
  <c r="E568" i="18" s="1"/>
  <c r="E569" i="18" s="1"/>
  <c r="E570" i="18" s="1"/>
  <c r="E571" i="18" s="1"/>
  <c r="E572" i="18" s="1"/>
  <c r="E573" i="18" s="1"/>
  <c r="E574" i="18" s="1"/>
  <c r="E575" i="18" s="1"/>
  <c r="E576" i="18" s="1"/>
  <c r="E577" i="18" s="1"/>
  <c r="E578" i="18" s="1"/>
  <c r="E579" i="18" s="1"/>
  <c r="E580" i="18" s="1"/>
  <c r="E581" i="18" s="1"/>
  <c r="E582" i="18" s="1"/>
  <c r="E583" i="18" s="1"/>
  <c r="E584" i="18" s="1"/>
  <c r="E585" i="18" s="1"/>
  <c r="E586" i="18" s="1"/>
  <c r="E587" i="18" s="1"/>
  <c r="E588" i="18" s="1"/>
  <c r="E589" i="18" s="1"/>
  <c r="E590" i="18" s="1"/>
  <c r="E591" i="18" s="1"/>
  <c r="E592" i="18" s="1"/>
  <c r="E593" i="18" s="1"/>
  <c r="E594" i="18" s="1"/>
  <c r="E595" i="18" s="1"/>
  <c r="E596" i="18" s="1"/>
  <c r="E597" i="18" s="1"/>
  <c r="E598" i="18" s="1"/>
  <c r="E599" i="18" s="1"/>
  <c r="E600" i="18" s="1"/>
  <c r="E601" i="18" s="1"/>
  <c r="E602" i="18" s="1"/>
  <c r="E603" i="18" s="1"/>
  <c r="E604" i="18" s="1"/>
  <c r="E605" i="18" s="1"/>
  <c r="E606" i="18" s="1"/>
  <c r="E607" i="18" s="1"/>
  <c r="E608" i="18" s="1"/>
  <c r="E609" i="18" s="1"/>
  <c r="E610" i="18" s="1"/>
  <c r="E611" i="18" s="1"/>
  <c r="E612" i="18" s="1"/>
  <c r="E613" i="18" s="1"/>
  <c r="E614" i="18" s="1"/>
  <c r="E615" i="18" s="1"/>
  <c r="E616" i="18" s="1"/>
  <c r="E617" i="18" s="1"/>
  <c r="E618" i="18" s="1"/>
  <c r="E619" i="18" s="1"/>
  <c r="E620" i="18" s="1"/>
  <c r="E621" i="18" s="1"/>
  <c r="D622" i="18" l="1"/>
  <c r="E622" i="18" s="1"/>
  <c r="E623" i="18" s="1"/>
  <c r="E624" i="18" s="1"/>
  <c r="E625" i="18" s="1"/>
  <c r="E626" i="18" s="1"/>
  <c r="E627" i="18" s="1"/>
  <c r="E628" i="18" s="1"/>
  <c r="E629" i="18" s="1"/>
  <c r="E630" i="18" s="1"/>
  <c r="E631" i="18" s="1"/>
  <c r="E632" i="18" s="1"/>
  <c r="E633" i="18" s="1"/>
  <c r="D634" i="18" l="1"/>
  <c r="E634" i="18" s="1"/>
  <c r="E635" i="18" s="1"/>
  <c r="E636" i="18" s="1"/>
  <c r="E637" i="18" s="1"/>
  <c r="E638" i="18" s="1"/>
  <c r="E639" i="18" s="1"/>
  <c r="E640" i="18" s="1"/>
  <c r="E641" i="18" s="1"/>
  <c r="E642" i="18" s="1"/>
  <c r="E643" i="18" s="1"/>
  <c r="E644" i="18" s="1"/>
  <c r="E645" i="18" s="1"/>
  <c r="E646" i="18" s="1"/>
  <c r="E647" i="18" s="1"/>
  <c r="E648" i="18" s="1"/>
  <c r="E649" i="18" s="1"/>
  <c r="E650" i="18" s="1"/>
  <c r="E651" i="18" s="1"/>
  <c r="E652" i="18" s="1"/>
  <c r="E653" i="18" s="1"/>
  <c r="E654" i="18" s="1"/>
  <c r="E655" i="18" s="1"/>
  <c r="E656" i="18" s="1"/>
  <c r="E657" i="18" s="1"/>
  <c r="E658" i="18" s="1"/>
  <c r="E659" i="18" s="1"/>
  <c r="E660" i="18" s="1"/>
  <c r="E661" i="18" s="1"/>
  <c r="E662" i="18" s="1"/>
  <c r="E663" i="18" s="1"/>
  <c r="E664" i="18" s="1"/>
  <c r="E665" i="18" s="1"/>
  <c r="E666" i="18" s="1"/>
  <c r="E667" i="18" s="1"/>
  <c r="E668" i="18" s="1"/>
  <c r="E669" i="18" s="1"/>
  <c r="E670" i="18" s="1"/>
  <c r="E671" i="18" s="1"/>
  <c r="E672" i="18" s="1"/>
  <c r="E673" i="18" s="1"/>
  <c r="E674" i="18" s="1"/>
  <c r="E675" i="18" s="1"/>
  <c r="E676" i="18" s="1"/>
  <c r="E677" i="18" s="1"/>
  <c r="E678" i="18" s="1"/>
  <c r="E679" i="18" s="1"/>
  <c r="E680" i="18" s="1"/>
  <c r="E681" i="18" s="1"/>
  <c r="E682" i="18" s="1"/>
  <c r="E683" i="18" s="1"/>
  <c r="E684" i="18" s="1"/>
  <c r="E685" i="18" s="1"/>
  <c r="E686" i="18" s="1"/>
  <c r="E687" i="18" s="1"/>
  <c r="E688" i="18" s="1"/>
  <c r="E689" i="18" s="1"/>
  <c r="E690" i="18" s="1"/>
  <c r="D691" i="18" s="1"/>
  <c r="E691" i="18" s="1"/>
  <c r="E692" i="18" s="1"/>
  <c r="E693" i="18" s="1"/>
  <c r="E694" i="18" s="1"/>
  <c r="E695" i="18" s="1"/>
  <c r="E696" i="18" s="1"/>
  <c r="E697" i="18" s="1"/>
  <c r="E698" i="18" s="1"/>
  <c r="E699" i="18" s="1"/>
  <c r="E700" i="18" s="1"/>
  <c r="E701" i="18" s="1"/>
  <c r="E702" i="18" s="1"/>
  <c r="E703" i="18" s="1"/>
  <c r="E704" i="18" s="1"/>
  <c r="E705" i="18" s="1"/>
  <c r="E706" i="18" s="1"/>
  <c r="E707" i="18" s="1"/>
  <c r="E708" i="18" s="1"/>
  <c r="E709" i="18" s="1"/>
  <c r="E710" i="18" s="1"/>
  <c r="E711" i="18" s="1"/>
  <c r="D712" i="18" s="1"/>
  <c r="E712" i="18" s="1"/>
  <c r="E713" i="18" s="1"/>
  <c r="E714" i="18" s="1"/>
  <c r="E715" i="18" s="1"/>
  <c r="E716" i="18" s="1"/>
  <c r="E717" i="18" s="1"/>
  <c r="E718" i="18" s="1"/>
  <c r="E719" i="18" s="1"/>
  <c r="E720" i="18" s="1"/>
  <c r="E721" i="18" s="1"/>
  <c r="E722" i="18" s="1"/>
  <c r="E723" i="18" s="1"/>
  <c r="E724" i="18" s="1"/>
  <c r="E725" i="18" s="1"/>
  <c r="E726" i="18" s="1"/>
  <c r="E727" i="18" s="1"/>
  <c r="E728" i="18" s="1"/>
  <c r="E729" i="18" s="1"/>
  <c r="E730" i="18" s="1"/>
  <c r="E731" i="18" s="1"/>
  <c r="E732" i="18" s="1"/>
  <c r="E733" i="18" l="1"/>
  <c r="E734" i="18" s="1"/>
  <c r="E735" i="18" s="1"/>
  <c r="E736" i="18" s="1"/>
  <c r="D737" i="18" l="1"/>
  <c r="E737" i="18" l="1"/>
  <c r="E738" i="18" s="1"/>
  <c r="E739" i="18" s="1"/>
  <c r="E740" i="18" s="1"/>
  <c r="E741" i="18" s="1"/>
  <c r="E742" i="18" s="1"/>
  <c r="E743" i="18" s="1"/>
  <c r="E744" i="18" s="1"/>
  <c r="E3" i="1"/>
  <c r="E6" i="1" s="1"/>
  <c r="J7" i="1" s="1"/>
  <c r="J9" i="1" s="1"/>
  <c r="B11" i="1" s="1"/>
  <c r="B12" i="1" s="1"/>
  <c r="E7" i="1"/>
  <c r="M7" i="1" s="1"/>
  <c r="M9" i="1" s="1"/>
  <c r="D8" i="1" s="1"/>
  <c r="E8" i="1" l="1"/>
  <c r="J11" i="1"/>
  <c r="C8" i="1"/>
  <c r="B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0EDF90-0929-48E9-AD63-381E6A336220}" keepAlive="1" name="Query - aktuelleAnleihen" description="Connection to the 'aktuelleAnleihen' query in the workbook." type="5" refreshedVersion="8" background="1" saveData="1">
    <dbPr connection="Provider=Microsoft.Mashup.OleDb.1;Data Source=$Workbook$;Location=aktuelleAnleihen;Extended Properties=&quot;&quot;" command="SELECT * FROM [aktuelleAnleihen]"/>
  </connection>
  <connection id="2" xr16:uid="{022774BC-860A-4794-95B6-0370D95216E3}" keepAlive="1" name="Query - neueAnleihen" description="Connection to the 'neueAnleihen' query in the workbook." type="5" refreshedVersion="8" background="1" saveData="1">
    <dbPr connection="Provider=Microsoft.Mashup.OleDb.1;Data Source=$Workbook$;Location=neueAnleihen;Extended Properties=&quot;&quot;" command="SELECT * FROM [neueAnleihen]"/>
  </connection>
  <connection id="3" xr16:uid="{F2BEF62E-6A53-4699-BDD2-D85DFD16E6A8}" keepAlive="1" name="Query - zinszahlungen" description="Connection to the 'zinszahlungen' query in the workbook." type="5" refreshedVersion="8" background="1" saveData="1">
    <dbPr connection="Provider=Microsoft.Mashup.OleDb.1;Data Source=$Workbook$;Location=zinszahlungen;Extended Properties=&quot;&quot;" command="SELECT * FROM [zinszahlunge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<sst xmlns="http://schemas.openxmlformats.org/spreadsheetml/2006/main" count="9825" uniqueCount="1881">
  <si>
    <t>Finanzen</t>
  </si>
  <si>
    <t>Industriegüter</t>
  </si>
  <si>
    <t>Material</t>
  </si>
  <si>
    <t>Immobilien</t>
  </si>
  <si>
    <t>Energie</t>
  </si>
  <si>
    <t>Informationstechnologie</t>
  </si>
  <si>
    <t>Gesundheit</t>
  </si>
  <si>
    <t>Versorger</t>
  </si>
  <si>
    <t>Kommunikation &amp; Medien</t>
  </si>
  <si>
    <t>Basiskonsumgüter</t>
  </si>
  <si>
    <t>Nicht-Basiskonsumgüter</t>
  </si>
  <si>
    <t>Staatsanleihen</t>
  </si>
  <si>
    <t>Datum</t>
  </si>
  <si>
    <t>Kategorie</t>
  </si>
  <si>
    <t>Name</t>
  </si>
  <si>
    <t>Betrag</t>
  </si>
  <si>
    <t>Kontostand</t>
  </si>
  <si>
    <t>Einzahlung</t>
  </si>
  <si>
    <t>Andrea Wirth</t>
  </si>
  <si>
    <t>Zinsen</t>
  </si>
  <si>
    <t>Tagesgeldkonto</t>
  </si>
  <si>
    <t>Anleihenkauf</t>
  </si>
  <si>
    <t>Unternehmensname</t>
  </si>
  <si>
    <t>Coupon</t>
  </si>
  <si>
    <t>Branche des Hauptkonzern</t>
  </si>
  <si>
    <t>Anteile</t>
  </si>
  <si>
    <t>Stückelung</t>
  </si>
  <si>
    <t>Kaufkurs</t>
  </si>
  <si>
    <t>Zinszahlungen pro Jahr</t>
  </si>
  <si>
    <t>Letzter Zinstermin</t>
  </si>
  <si>
    <t>Land</t>
  </si>
  <si>
    <t>Börse</t>
  </si>
  <si>
    <t>ISIN</t>
  </si>
  <si>
    <t>Quelle</t>
  </si>
  <si>
    <t>4Finance S.A.</t>
  </si>
  <si>
    <t>Luxemburg</t>
  </si>
  <si>
    <t>XS1417876163</t>
  </si>
  <si>
    <t>https://www.finanzen.net/anleihen/a181zp-4finance-anleihe</t>
  </si>
  <si>
    <t>Amber Beverage Group Holding S.à r.l</t>
  </si>
  <si>
    <t>Frankfurt</t>
  </si>
  <si>
    <t>LV0000870137</t>
  </si>
  <si>
    <t>https://www.finanzen.net/anleihen/a3le0t-amber-beverage-group-holding-sa-rl-anleihe</t>
  </si>
  <si>
    <t>ams-OSRAM AG</t>
  </si>
  <si>
    <t>Österreich</t>
  </si>
  <si>
    <t>Lang &amp; Schwarz</t>
  </si>
  <si>
    <t>XS2724532333</t>
  </si>
  <si>
    <t>https://www.finanzen.net/anleihen/a3lrmp-ams-osram-anleihe</t>
  </si>
  <si>
    <t>AnaCap Financial Europe S.A.</t>
  </si>
  <si>
    <t>XS1649046874</t>
  </si>
  <si>
    <t>https://www.finanzen.net/anleihen/a19lr8-anacap-financial-europe-anleihe</t>
  </si>
  <si>
    <t>Azerion Group N.V.</t>
  </si>
  <si>
    <t>Niederlande</t>
  </si>
  <si>
    <t>Stuttgart</t>
  </si>
  <si>
    <t>NO0013017657</t>
  </si>
  <si>
    <t>https://www.finanzen.net/anleihen/a3lnlx-azerion-group-anleihe</t>
  </si>
  <si>
    <t>B4H Brennstoffzelle4Home GmbH</t>
  </si>
  <si>
    <t>Deutschland</t>
  </si>
  <si>
    <t>Berlin</t>
  </si>
  <si>
    <t>DE000A351N89</t>
  </si>
  <si>
    <t>https://www.finanzen.net/anleihen/a351n8-b4h-brennstoffzelle4home-anleihe</t>
  </si>
  <si>
    <t>BDT Media Automation GmbH</t>
  </si>
  <si>
    <t>München</t>
  </si>
  <si>
    <t>DE000A351YN0</t>
  </si>
  <si>
    <t>https://www.finanzen.net/anleihen/a351yn-bdt-media-automation-anleihe</t>
  </si>
  <si>
    <t>Calligo (UK) Ltd.</t>
  </si>
  <si>
    <t>GB</t>
  </si>
  <si>
    <t>NO0011179806</t>
  </si>
  <si>
    <t>https://www.finanzen.net/anleihen/a3k0j3-calligo-uk-anleihe</t>
  </si>
  <si>
    <t>CSM Securities S.à r.l.</t>
  </si>
  <si>
    <t>XS2213948529</t>
  </si>
  <si>
    <t>https://www.finanzen.net/anleihen/a2800k-csm-securities-sa-rl-acting-in-respect-of-fiduciary-estate-1-anleihe</t>
  </si>
  <si>
    <t>Eleving Group</t>
  </si>
  <si>
    <t>DE000A3LL7M4</t>
  </si>
  <si>
    <t>https://www.finanzen.net/anleihen/a3ll7m-eleving-group-anleihe</t>
  </si>
  <si>
    <t>European Energy A.S.</t>
  </si>
  <si>
    <t>Dänemark</t>
  </si>
  <si>
    <t>DK0030521927</t>
  </si>
  <si>
    <t>https://www.finanzen.net/anleihen/a3ldf8-european-energy-as-anleihe</t>
  </si>
  <si>
    <t>Norwegen</t>
  </si>
  <si>
    <t>Gaming Innovation Group PLC</t>
  </si>
  <si>
    <t>Malta</t>
  </si>
  <si>
    <t>Düsseldorf</t>
  </si>
  <si>
    <t>NO0013024018</t>
  </si>
  <si>
    <t>https://www.finanzen.net/anleihen/a3lq87-gaming-innovation-group-anleihe</t>
  </si>
  <si>
    <t>Garfunkelux Holdco 3 S.A.</t>
  </si>
  <si>
    <t>XS2250154494</t>
  </si>
  <si>
    <t>https://www.finanzen.net/anleihen/a284k6-garfunkelux-holdco-3-anleihe</t>
  </si>
  <si>
    <t>Hertha BSC GmbH &amp; Co. KGaA</t>
  </si>
  <si>
    <t>SE0011337054</t>
  </si>
  <si>
    <t>https://www.finanzen.net/anleihen/a2nbk3-hertha-bscaa-anleihe</t>
  </si>
  <si>
    <t>HSE Finance S.a r.l</t>
  </si>
  <si>
    <t>Tradegate</t>
  </si>
  <si>
    <t>XS2337308741</t>
  </si>
  <si>
    <t>https://www.finanzen.net/anleihen/a3kqfw-hse-finance-sa-rl-anleihe</t>
  </si>
  <si>
    <t>Idavang A.S.</t>
  </si>
  <si>
    <t>DK0030472618</t>
  </si>
  <si>
    <t>https://www.finanzen.net/anleihen/a284ns-idavang-as-anleihe</t>
  </si>
  <si>
    <t>Intrum AB</t>
  </si>
  <si>
    <t>Schweden</t>
  </si>
  <si>
    <t>XS2566291865</t>
  </si>
  <si>
    <t>https://www.finanzen.net/anleihen/a3lb1y-intrum-ab-anleihe</t>
  </si>
  <si>
    <t>iQera Group SAS</t>
  </si>
  <si>
    <t>Frankreich</t>
  </si>
  <si>
    <t>XS2580885908</t>
  </si>
  <si>
    <t>https://www.finanzen.net/anleihen/a3ldpn-iqera-group-sas-anleihe</t>
  </si>
  <si>
    <t>IuteCredit Finance S.à.r.l.</t>
  </si>
  <si>
    <t>XS2378483494</t>
  </si>
  <si>
    <t>https://www.finanzen.net/anleihen/a3kt6m-iutecredit-finance-sarl-anleihe</t>
  </si>
  <si>
    <t>LifeFit Group MidCo GmbH</t>
  </si>
  <si>
    <t>Quotrix</t>
  </si>
  <si>
    <t>NO0010856966</t>
  </si>
  <si>
    <t>https://www.finanzen.net/anleihen/a2ynra-lifefit-group-midco-anleihe</t>
  </si>
  <si>
    <t>LR Health &amp; Beauty SE</t>
  </si>
  <si>
    <t>NO0013149658</t>
  </si>
  <si>
    <t>https://www.finanzen.net/anleihen/a3513a-lr-health-beauty-se-anleihe</t>
  </si>
  <si>
    <t>Multitude SE</t>
  </si>
  <si>
    <t>Finnland</t>
  </si>
  <si>
    <t>NO0011037327</t>
  </si>
  <si>
    <t>https://www.finanzen.net/anleihen/a3ktc6-multitude-se-anleihe</t>
  </si>
  <si>
    <t>Mutares SE &amp; Co. KGaA</t>
  </si>
  <si>
    <t>NO0012530965</t>
  </si>
  <si>
    <t>https://www.finanzen.net/anleihen/a30v9t-mutares-se-kgaa-anleihe</t>
  </si>
  <si>
    <t>Spanien</t>
  </si>
  <si>
    <t>Novafives S.A.S.</t>
  </si>
  <si>
    <t>XS1713466149</t>
  </si>
  <si>
    <t>https://www.finanzen.net/anleihen/a19zhp-novafivess-anleihe</t>
  </si>
  <si>
    <t>Pardus Capital Holdings PLC</t>
  </si>
  <si>
    <t>GB00BMVB6072</t>
  </si>
  <si>
    <t>https://www.finanzen.net/anleihen/a28y6c-pardus-capital-holdings-anleihe</t>
  </si>
  <si>
    <t>PARQ energy GmbH</t>
  </si>
  <si>
    <t>DE000A3510D6</t>
  </si>
  <si>
    <t>https://www.finanzen.net/anleihen/a3510d-parq-energy-anleihe</t>
  </si>
  <si>
    <t>PCF GmbH</t>
  </si>
  <si>
    <t>XS2333302052</t>
  </si>
  <si>
    <t>https://www.finanzen.net/anleihen/a3h3k6-pcf-anleihe</t>
  </si>
  <si>
    <t>PHM Group Holding Oy</t>
  </si>
  <si>
    <t>FI4000541685</t>
  </si>
  <si>
    <t>https://www.finanzen.net/anleihen/a3lb6c-phm-group-holding-oy-anleihe</t>
  </si>
  <si>
    <t>Preem Holdings AB</t>
  </si>
  <si>
    <t>XS2493887264</t>
  </si>
  <si>
    <t>https://www.finanzen.net/anleihen/a3k6y5-preem-holdings-ab-anleihe</t>
  </si>
  <si>
    <t>PrestigeBidCo GmbH</t>
  </si>
  <si>
    <t>XS2499278724</t>
  </si>
  <si>
    <t>https://www.finanzen.net/anleihen/a30vmc-prestigebidco-anleihe</t>
  </si>
  <si>
    <t>Schletter International B.V.</t>
  </si>
  <si>
    <t>NO0012530981</t>
  </si>
  <si>
    <t>https://www.finanzen.net/anleihen/a3k86d-schletter-international-bv-anleihe</t>
  </si>
  <si>
    <t>Secop Group Holding GmbH</t>
  </si>
  <si>
    <t>NO0012923194</t>
  </si>
  <si>
    <t>https://www.finanzen.net/anleihen/a351sk-secop-group-holding-anleihe</t>
  </si>
  <si>
    <t>Stern Immobilien AG</t>
  </si>
  <si>
    <t>DE000A2G8WJ4</t>
  </si>
  <si>
    <t>https://www.finanzen.net/anleihen/a2g8wj-stern-immobilien-anleihe</t>
  </si>
  <si>
    <t>The Grounds Real Estate Development AG</t>
  </si>
  <si>
    <t>DE000A3H3FH2</t>
  </si>
  <si>
    <t>https://www.finanzen.net/anleihen/a3h3fh-the-grounds-real-estate-development-anleihe</t>
  </si>
  <si>
    <t>Ziton A/S</t>
  </si>
  <si>
    <t>NO0012928185</t>
  </si>
  <si>
    <t>https://www.finanzen.net/anleihen/a3lje8-ziton-a-s-anleihe</t>
  </si>
  <si>
    <t>Kaufdatum</t>
  </si>
  <si>
    <t>Kaufpreis</t>
  </si>
  <si>
    <t>Stückzinsen</t>
  </si>
  <si>
    <t>Aktueller Kurs</t>
  </si>
  <si>
    <t>Kursdifferenz</t>
  </si>
  <si>
    <t/>
  </si>
  <si>
    <t>Letzte Zinszahlung</t>
  </si>
  <si>
    <t>Verkaufspreis</t>
  </si>
  <si>
    <t>Rendite</t>
  </si>
  <si>
    <t>Im Besitz</t>
  </si>
  <si>
    <t>Kaufbar</t>
  </si>
  <si>
    <t>Italien</t>
  </si>
  <si>
    <t>Banco BPM S.p.A.</t>
  </si>
  <si>
    <t>William John (HV) PLC</t>
  </si>
  <si>
    <t>GB00BP6MJB84</t>
  </si>
  <si>
    <t>https://www.finanzen.net/anleihen/a3k8tz-william-john-hv-anleihe</t>
  </si>
  <si>
    <t>Permanent TSB Group Holdings PLC</t>
  </si>
  <si>
    <t>Irland</t>
  </si>
  <si>
    <t>XS2538798583</t>
  </si>
  <si>
    <t>https://www.finanzen.net/anleihen/a3larp-permanent-tsb-group-holdings-anleihe</t>
  </si>
  <si>
    <t>Solarnative GmbH</t>
  </si>
  <si>
    <t>DE000A382517</t>
  </si>
  <si>
    <t>https://www.finanzen.net/anleihen/a38251-solarnative-anleihe</t>
  </si>
  <si>
    <t>Alpha Services and Holdings S.A.</t>
  </si>
  <si>
    <t>Griechenland</t>
  </si>
  <si>
    <t>XS2583633966</t>
  </si>
  <si>
    <t>https://www.finanzen.net/anleihen/a3ldxb-alpha-services-and-holdings-anleihe</t>
  </si>
  <si>
    <t>Bank of Cyprus Holdings PLC</t>
  </si>
  <si>
    <t>XS2638438510</t>
  </si>
  <si>
    <t>https://www.finanzen.net/anleihen/a3lj8q-bank-of-cyprus-holdings-anleihe</t>
  </si>
  <si>
    <t>NO0012702549</t>
  </si>
  <si>
    <t>https://www.finanzen.net/anleihen/a3lbt7-multitude-se-anleihe</t>
  </si>
  <si>
    <t>Codere Finance 2 (Luxembourg) S.A.</t>
  </si>
  <si>
    <t>XS2209052419</t>
  </si>
  <si>
    <t>https://www.finanzen.net/anleihen/a282q6-codere-finance-2-luxembourg-anleihe</t>
  </si>
  <si>
    <t>EG Global Finance PLC</t>
  </si>
  <si>
    <t>XS2719998952</t>
  </si>
  <si>
    <t>https://www.finanzen.net/anleihen/a3lq7v-eg-global-finance-anleihe</t>
  </si>
  <si>
    <t>B2 Impact ASA</t>
  </si>
  <si>
    <t>NO0012704107</t>
  </si>
  <si>
    <t>https://www.finanzen.net/anleihen/a3k9us-b2-impact-asa-anleihe</t>
  </si>
  <si>
    <t>Advanzia Bank S.A.</t>
  </si>
  <si>
    <t>NO0013162743</t>
  </si>
  <si>
    <t>https://www.finanzen.net/anleihen/a3luu9-advanzia-bank-anleihe</t>
  </si>
  <si>
    <t>NO0012530973</t>
  </si>
  <si>
    <t>https://www.finanzen.net/anleihen/a3k86f-schletter-international-bv-anleihe</t>
  </si>
  <si>
    <t>Eroski Sociedad Cooperativa</t>
  </si>
  <si>
    <t>XS2711321070</t>
  </si>
  <si>
    <t>https://www.finanzen.net/anleihen/a3lswz-eroski-sociedad-cooperativa-anleihe</t>
  </si>
  <si>
    <t>Banca Monte dei Paschi di Siena S.p.A.</t>
  </si>
  <si>
    <t>XS2031926731</t>
  </si>
  <si>
    <t>https://www.finanzen.net/anleihen/a2r5jw-banca-monte-dei-paschi-di-siena-spa-anleihe</t>
  </si>
  <si>
    <t>XS2724532416</t>
  </si>
  <si>
    <t>https://www.finanzen.net/anleihen/a3lrmq-ams-osram-anleihe</t>
  </si>
  <si>
    <t>Cirsa Finance International S.à.r.l.</t>
  </si>
  <si>
    <t>XS2550380104</t>
  </si>
  <si>
    <t>https://www.finanzen.net/anleihen/a3lazt-cirsa-finance-international-sarl-anleihe</t>
  </si>
  <si>
    <t>Baader Bank</t>
  </si>
  <si>
    <t>Hellenic Bank Public Company Ltd</t>
  </si>
  <si>
    <t>Zypern</t>
  </si>
  <si>
    <t>XS2597995112</t>
  </si>
  <si>
    <t>https://www.finanzen.net/anleihen/a3lff9-hellenic-bank-public-company-ltd-anleihe</t>
  </si>
  <si>
    <t>Green Bidco S.A.</t>
  </si>
  <si>
    <t>XS2647351142</t>
  </si>
  <si>
    <t>https://www.finanzen.net/anleihen/a3lk3a-green-bidco-anleihe</t>
  </si>
  <si>
    <t>momox Holding AG</t>
  </si>
  <si>
    <t>NO0010886369</t>
  </si>
  <si>
    <t>https://www.finanzen.net/anleihen/a289qc-momox-holding-anleihe</t>
  </si>
  <si>
    <t>Cardea Luna Capital Partners Ltd.</t>
  </si>
  <si>
    <t>DE000A3K5H67</t>
  </si>
  <si>
    <t>https://www.finanzen.net/anleihen/a3k5h6-cardea-luna-capital-partners-anleihe</t>
  </si>
  <si>
    <t>EPH Group AG</t>
  </si>
  <si>
    <t>DE000A3LJCB4</t>
  </si>
  <si>
    <t>https://www.finanzen.net/anleihen/a3ljcb-eph-group-anleihe</t>
  </si>
  <si>
    <t>Bank of Valletta PLC</t>
  </si>
  <si>
    <t>XS2539425095</t>
  </si>
  <si>
    <t>https://www.finanzen.net/anleihen/a3lbzg-bank-of-valletta-anleihe</t>
  </si>
  <si>
    <t>Eurobank Ergasias Services and Holdings S.A.</t>
  </si>
  <si>
    <t>XS2562543442</t>
  </si>
  <si>
    <t>https://www.finanzen.net/anleihen/a3lb2u-eurobank-ergasias-services-and-holdings-anleihe</t>
  </si>
  <si>
    <t>Summer BidCo B.V.</t>
  </si>
  <si>
    <t>XS2758100296</t>
  </si>
  <si>
    <t>https://www.finanzen.net/anleihen/a3lt4g-summer-bidco-bv-anleihe</t>
  </si>
  <si>
    <t>Global Agrajes S.L.</t>
  </si>
  <si>
    <t>NO0010912801</t>
  </si>
  <si>
    <t>Bank Millennium S.A.</t>
  </si>
  <si>
    <t>Polen</t>
  </si>
  <si>
    <t>XS2684974046</t>
  </si>
  <si>
    <t>https://www.finanzen.net/anleihen/a3lnff-bank-millennium-anleihe</t>
  </si>
  <si>
    <t>Piraeus Financial Holdings S.A.</t>
  </si>
  <si>
    <t>XS2018638648</t>
  </si>
  <si>
    <t>https://www.finanzen.net/anleihen/a2r378-piraeus-financial-holdings-anleihe</t>
  </si>
  <si>
    <t>Stonegate Pub Company Financing 2019 PLC</t>
  </si>
  <si>
    <t>XS2210013970</t>
  </si>
  <si>
    <t>https://www.finanzen.net/anleihen/a280pq-stonegate-pub-company-financing-2019-anleihe</t>
  </si>
  <si>
    <t>ESPG AG</t>
  </si>
  <si>
    <t>DE000A2NBY22</t>
  </si>
  <si>
    <t>https://www.finanzen.net/anleihen/a2nby2-espg-anleihe</t>
  </si>
  <si>
    <t>Neue ZWL Zahnradwerk Leipzig GmbH</t>
  </si>
  <si>
    <t>DE000A351XF8</t>
  </si>
  <si>
    <t>https://www.finanzen.net/anleihen/a351xf-neue-zwl-zahnradwerk-leipzig-anleihe</t>
  </si>
  <si>
    <t>IT0005571309</t>
  </si>
  <si>
    <t>https://www.finanzen.net/anleihen/a3lrm0-banco-bpm-spa-anleihe</t>
  </si>
  <si>
    <t>IDFinance Spain S.A.U.</t>
  </si>
  <si>
    <t>XS2231806394</t>
  </si>
  <si>
    <t>https://www.finanzen.net/anleihen/a2823x-idfinance-spain-anleihe</t>
  </si>
  <si>
    <t>XS2393240887</t>
  </si>
  <si>
    <t>https://www.finanzen.net/anleihen/a3kxk8-eleving-group-anleihe</t>
  </si>
  <si>
    <t>Couponrendite</t>
  </si>
  <si>
    <t>Hamburg</t>
  </si>
  <si>
    <t>Eutelsat S.A.</t>
  </si>
  <si>
    <t>XS2796660384</t>
  </si>
  <si>
    <t>https://www.finanzen.net/anleihen/a3lwy2-eutelsat-anleihe</t>
  </si>
  <si>
    <t>Adler Pelzer Holding GmbH</t>
  </si>
  <si>
    <t>XS2623604233</t>
  </si>
  <si>
    <t>https://www.finanzen.net/anleihen/a351ub-adler-pelzer-holding-anleihe</t>
  </si>
  <si>
    <t>SCIL IV LLC</t>
  </si>
  <si>
    <t>USA</t>
  </si>
  <si>
    <t>XS2644942737</t>
  </si>
  <si>
    <t>https://www.finanzen.net/anleihen/a3lkql-scil-iv-llc-anleihe</t>
  </si>
  <si>
    <t>888 Acquisitions Ltd.</t>
  </si>
  <si>
    <t>Gibraltar</t>
  </si>
  <si>
    <t>XS2498546204</t>
  </si>
  <si>
    <t>https://www.finanzen.net/anleihen/a3k7hm-888-acquisitions-anleihe</t>
  </si>
  <si>
    <t>TVL Finance PLC</t>
  </si>
  <si>
    <t>Jersey</t>
  </si>
  <si>
    <t>XS2615792947</t>
  </si>
  <si>
    <t>https://www.finanzen.net/anleihen/a3lgy7-tvl-finance-anleihe</t>
  </si>
  <si>
    <t>Iceland Bondco PLC</t>
  </si>
  <si>
    <t>XS2660425401</t>
  </si>
  <si>
    <t>https://www.finanzen.net/anleihen/a3lln1-iceland-bondco-anleihe</t>
  </si>
  <si>
    <t>Benteler International AG</t>
  </si>
  <si>
    <t>XS2619047728</t>
  </si>
  <si>
    <t>https://www.finanzen.net/anleihen/a3lhec-benteler-international-anleihe</t>
  </si>
  <si>
    <t>HT Troplast GmbH</t>
  </si>
  <si>
    <t>XS2649707846</t>
  </si>
  <si>
    <t>https://www.finanzen.net/anleihen/a3510e-ht-troplast-anleihe</t>
  </si>
  <si>
    <t>paragon GmbH &amp; Co. KGaA</t>
  </si>
  <si>
    <t>DE000A2GSB86</t>
  </si>
  <si>
    <t>https://www.finanzen.net/anleihen/a2gsb8-paragonaa-anleihe</t>
  </si>
  <si>
    <t>Summer [BC] Holdco A S.a.r.l.</t>
  </si>
  <si>
    <t>XS2067265392</t>
  </si>
  <si>
    <t>https://www.finanzen.net/anleihen/a2r9n4-summer-bc-holdco-a-sarl-anleihe</t>
  </si>
  <si>
    <t>Verisure Holding AB</t>
  </si>
  <si>
    <t>XS2541437583</t>
  </si>
  <si>
    <t>https://www.finanzen.net/anleihen/a3k94d-verisure-holding-ab-anleihe</t>
  </si>
  <si>
    <t>Transcom Holding AB</t>
  </si>
  <si>
    <t>XS2351344622</t>
  </si>
  <si>
    <t>https://www.finanzen.net/anleihen/a3ksbh-transcom-holding-ab-anleihe</t>
  </si>
  <si>
    <t>Rimini BidCo S.p.A.</t>
  </si>
  <si>
    <t>XS2417486771</t>
  </si>
  <si>
    <t>https://www.finanzen.net/anleihen/a3kzun-rimini-bidco-spa-anleihe</t>
  </si>
  <si>
    <t>Cerved Group S.p.A.</t>
  </si>
  <si>
    <t>XS2445840809</t>
  </si>
  <si>
    <t>https://www.finanzen.net/anleihen/a3k2e6-cerved-group-spa-anleihe</t>
  </si>
  <si>
    <t>Monitchem Holdco 3 S.A.</t>
  </si>
  <si>
    <t>XS2615006983</t>
  </si>
  <si>
    <t>https://www.finanzen.net/anleihen/a3lg36-monitchem-holdco-3-anleihe</t>
  </si>
  <si>
    <t>Intesa Sanpaolo S.p.A.</t>
  </si>
  <si>
    <t>XS2678939427</t>
  </si>
  <si>
    <t>https://www.finanzen.net/anleihen/a3lm1k-intesa-sanpaolo-spa-anleihe</t>
  </si>
  <si>
    <t>Leef Blattwerk GmbH</t>
  </si>
  <si>
    <t>DE000A352ER1</t>
  </si>
  <si>
    <t>https://www.finanzen.net/anleihen/a352er-leef-blattwerk-anleihe</t>
  </si>
  <si>
    <t>Odyssey Europe Holdco S.à r.l.</t>
  </si>
  <si>
    <t>XS1818737287</t>
  </si>
  <si>
    <t>https://www.finanzen.net/anleihen/a190rh-odyssey-europe-holdco-sa-rl-anleihe</t>
  </si>
  <si>
    <t>House of HR Group B.V.</t>
  </si>
  <si>
    <t>XS2541618299</t>
  </si>
  <si>
    <t>https://www.finanzen.net/anleihen/a3lb6j-house-of-hr-group-bv-anleihe</t>
  </si>
  <si>
    <t>APCOA Parking Holdings GmbH</t>
  </si>
  <si>
    <t>XS2366277056</t>
  </si>
  <si>
    <t>Apollo Swedish Bidco AB</t>
  </si>
  <si>
    <t>XS2637969341</t>
  </si>
  <si>
    <t>Loarre Investments S.à r.l.</t>
  </si>
  <si>
    <t>XS2483511957</t>
  </si>
  <si>
    <t>https://www.finanzen.net/anleihen/a3k5px-loarre-investments-sa-rl-anleihe</t>
  </si>
  <si>
    <t>Banca Transilvania S.A.</t>
  </si>
  <si>
    <t>Rumänien</t>
  </si>
  <si>
    <t>XS2616733981</t>
  </si>
  <si>
    <t>https://www.finanzen.net/anleihen/a3lg6j-banca-transilvania-anleihe</t>
  </si>
  <si>
    <t>Van Lanschot Kempen N.V.</t>
  </si>
  <si>
    <t>Amsterdam</t>
  </si>
  <si>
    <t>XS2746119952</t>
  </si>
  <si>
    <t>https://www.finanzen.net/anleihen/a3ltwl-van-lanschot-kempen-anleihe</t>
  </si>
  <si>
    <t>Golden Goose S.p.A.</t>
  </si>
  <si>
    <t>XS2342638033</t>
  </si>
  <si>
    <t>https://www.finanzen.net/anleihen/a3kq8k-golden-goose-spa-anleihe</t>
  </si>
  <si>
    <t>IHO Verwaltungs GmbH</t>
  </si>
  <si>
    <t>XS2606019383</t>
  </si>
  <si>
    <t>https://www.finanzen.net/anleihen/a351l6-iho-verwaltungs-anleihe</t>
  </si>
  <si>
    <t>Opus-Chartered Issuances S.A.</t>
  </si>
  <si>
    <t>DE000A281N01</t>
  </si>
  <si>
    <t>https://www.finanzen.net/anleihen/a281n0-opus-chartered-issuances-anleihe</t>
  </si>
  <si>
    <t>Deuce FinCo PLC</t>
  </si>
  <si>
    <t>XS2351480640</t>
  </si>
  <si>
    <t>https://www.finanzen.net/anleihen/a3ksgb-deuce-finco-anleihe</t>
  </si>
  <si>
    <t>IPD 3 B.V.</t>
  </si>
  <si>
    <t>XS2631199168</t>
  </si>
  <si>
    <t>https://www.finanzen.net/anleihen/a3ljyu-ipd-3-bv-anleihe</t>
  </si>
  <si>
    <t>Cullinan Holdco SCSp</t>
  </si>
  <si>
    <t>XS2397354015</t>
  </si>
  <si>
    <t>https://www.finanzen.net/anleihen/a3kxhy-cullinan-holdco-scsp-anleihe</t>
  </si>
  <si>
    <t>Cheplapharm Arzneimittel GmbH</t>
  </si>
  <si>
    <t>XS2618840974</t>
  </si>
  <si>
    <t>https://www.finanzen.net/anleihen/a351tf-cheplapharm-arzneimittel-anleihe</t>
  </si>
  <si>
    <t>BURGER KING France SAS</t>
  </si>
  <si>
    <t>XS2403031912</t>
  </si>
  <si>
    <t>https://www.finanzen.net/anleihen/a3kx7q-burger-king-france-sas-anleihe</t>
  </si>
  <si>
    <t>MBH Bank Nyrt.</t>
  </si>
  <si>
    <t>Ungarn</t>
  </si>
  <si>
    <t>XS2701655677</t>
  </si>
  <si>
    <t>https://www.finanzen.net/anleihen/a3lpyy-mbh-bank-nyrt-anleihe</t>
  </si>
  <si>
    <t>PLT VII Finance S.à.r.l.</t>
  </si>
  <si>
    <t>XS2200172067</t>
  </si>
  <si>
    <t>https://www.finanzen.net/anleihen/a28zw9-plt-vii-finance-sarl-anleihe</t>
  </si>
  <si>
    <t>Sherwood Financing PLC</t>
  </si>
  <si>
    <t>XS2010027535</t>
  </si>
  <si>
    <t>https://www.finanzen.net/anleihen/a3kyhc-sherwood-financing-anleihe</t>
  </si>
  <si>
    <t>DTEK Renewables Finance B.V.</t>
  </si>
  <si>
    <t>XS2069980246</t>
  </si>
  <si>
    <t>https://www.finanzen.net/anleihen/a2r96p-dtek-renewables-finance-bv-anleihe</t>
  </si>
  <si>
    <t>Vallourec S.A.</t>
  </si>
  <si>
    <t>XS2352739184</t>
  </si>
  <si>
    <t>https://www.finanzen.net/anleihen/a3kttg-vallourec-anleihe</t>
  </si>
  <si>
    <t>Dana Financing Luxembourg S.a.r.l.</t>
  </si>
  <si>
    <t>XS2623489627</t>
  </si>
  <si>
    <t>https://www.finanzen.net/anleihen/a3lhv8-dana-financing-luxembourg-sarl-anleihe</t>
  </si>
  <si>
    <t>INEOS Quattro Finance 2 PLC</t>
  </si>
  <si>
    <t>XS2719090636</t>
  </si>
  <si>
    <t>https://www.finanzen.net/anleihen/a3lq2a-ineos-quattro-finance-2-anleihe</t>
  </si>
  <si>
    <t>La Financiere Atalian S.A.</t>
  </si>
  <si>
    <t>XS2783772374</t>
  </si>
  <si>
    <t>https://www.finanzen.net/anleihen/a3lwbj-la-financiere-atalian-anleihe</t>
  </si>
  <si>
    <t>DCM US Multi-Family Homes PLC</t>
  </si>
  <si>
    <t>GB00BMHMP637</t>
  </si>
  <si>
    <t>https://www.finanzen.net/anleihen/a285x7-dcm-us-multi-family-homes-anleihe</t>
  </si>
  <si>
    <t>Conceria Pasubio S.p.A.</t>
  </si>
  <si>
    <t>XS2389334124</t>
  </si>
  <si>
    <t>https://www.finanzen.net/anleihen/a3kwln-conceria-pasubio-spa-anleihe</t>
  </si>
  <si>
    <t>BPER Banca S.p.A.</t>
  </si>
  <si>
    <t>IT0005579492</t>
  </si>
  <si>
    <t>https://www.finanzen.net/anleihen/a3ltah-bper-banca-spa-anleihe</t>
  </si>
  <si>
    <t>Banff Merger Sub Inc.</t>
  </si>
  <si>
    <t>XS1864418857</t>
  </si>
  <si>
    <t>https://www.finanzen.net/anleihen/a194r1-banff-merger-sub-anleihe</t>
  </si>
  <si>
    <t>Marex Group PLC</t>
  </si>
  <si>
    <t>XS2580291354</t>
  </si>
  <si>
    <t>https://www.finanzen.net/anleihen/a3ldqf-marex-group-anleihe</t>
  </si>
  <si>
    <t>National Bank of Greece S.A.</t>
  </si>
  <si>
    <t>XS2028846363</t>
  </si>
  <si>
    <t>https://www.finanzen.net/anleihen/a2r5cp-national-bank-of-greece-anleihe</t>
  </si>
  <si>
    <t>Kirk Beauty SUN GmbH</t>
  </si>
  <si>
    <t>XS2326505240</t>
  </si>
  <si>
    <t>https://www.finanzen.net/anleihen/a3h3kl-kirk-beauty-sun-anleihe</t>
  </si>
  <si>
    <t>Pinnacle Bidco PLC</t>
  </si>
  <si>
    <t>XS2696090286</t>
  </si>
  <si>
    <t>https://www.finanzen.net/anleihen/a3lpbz-pinnacle-bidco-anleihe</t>
  </si>
  <si>
    <t>Encore Capital Group Inc.</t>
  </si>
  <si>
    <t>XS2271247178</t>
  </si>
  <si>
    <t>https://www.finanzen.net/anleihen/a286mk-encore-capital-group-anleihe</t>
  </si>
  <si>
    <t>Business Integration Partners S.p.A</t>
  </si>
  <si>
    <t>XS2390292303</t>
  </si>
  <si>
    <t>https://www.finanzen.net/anleihen/a3kxkm-business-integration-partners-spa-anleihe</t>
  </si>
  <si>
    <t>United Group B.V.</t>
  </si>
  <si>
    <t>XS2758099779</t>
  </si>
  <si>
    <t>https://www.finanzen.net/anleihen/a3lt4f-united-group-bv-anleihe</t>
  </si>
  <si>
    <t>Orange S.A.</t>
  </si>
  <si>
    <t>FR0000471930</t>
  </si>
  <si>
    <t>https://www.finanzen.net/anleihen/727319-orange-anleihe</t>
  </si>
  <si>
    <t>Blue Energy Group AG</t>
  </si>
  <si>
    <t>DE000A2GS336</t>
  </si>
  <si>
    <t>https://www.finanzen.net/anleihen/a2gs33-blue-energy-group-anleihe</t>
  </si>
  <si>
    <t>Propifi Bonds PLC</t>
  </si>
  <si>
    <t>GB00BMFXJ334</t>
  </si>
  <si>
    <t>https://www.finanzen.net/anleihen/a3lcl1-propifi-bonds-anleihe</t>
  </si>
  <si>
    <t>Allwyn Entertainment Financing [UK] PLC</t>
  </si>
  <si>
    <t>XS2440790835</t>
  </si>
  <si>
    <t>https://www.finanzen.net/anleihen/a3k12r-allwyn-entertainment-financing-uk-anleihe</t>
  </si>
  <si>
    <t>Hannover</t>
  </si>
  <si>
    <t>DE000A2E4A94</t>
  </si>
  <si>
    <t>https://www.finanzen.net/anleihen/a2e4a9-bdt-media-automation-anleihe</t>
  </si>
  <si>
    <t>SoWiTec group GmbH</t>
  </si>
  <si>
    <t>DE000A2NBZ21</t>
  </si>
  <si>
    <t>https://www.finanzen.net/anleihen/a2nbz2-sowitec-group-anleihe</t>
  </si>
  <si>
    <t>Katjesgreenfood GmbH &amp; Co. KG</t>
  </si>
  <si>
    <t>DE000A30V3F1</t>
  </si>
  <si>
    <t>https://www.finanzen.net/anleihen/a30v3f-katjesgreenfood-anleihe</t>
  </si>
  <si>
    <t>Deutsche Effecten- und Wechsel-Beteiligungsgesellschaft AG</t>
  </si>
  <si>
    <t>DE000A351NS2</t>
  </si>
  <si>
    <t>https://www.finanzen.net/anleihen/a351ns-deutsche-effecten-und-wechsel-beteiligungsgesellschaft-anleihe</t>
  </si>
  <si>
    <t>Encore Issuances S.A.</t>
  </si>
  <si>
    <t>DE000A3KNDU6</t>
  </si>
  <si>
    <t>https://www.finanzen.net/anleihen/a3kndu-encore-issuances-anleihe</t>
  </si>
  <si>
    <t>AustriaEnergy International GmbH</t>
  </si>
  <si>
    <t>DE000A3LE0J4</t>
  </si>
  <si>
    <t>https://www.finanzen.net/anleihen/a3le0j-austriaenergy-international-anleihe</t>
  </si>
  <si>
    <t>Sustainable Capital PLC</t>
  </si>
  <si>
    <t>GB00BMZ1JD78</t>
  </si>
  <si>
    <t>https://www.finanzen.net/anleihen/a3ks5a-sustainable-capital-anleihe</t>
  </si>
  <si>
    <t>DEAG Deutsche Entertainment AG</t>
  </si>
  <si>
    <t>NO0012487596</t>
  </si>
  <si>
    <t>https://www.finanzen.net/anleihen/a351vb-deag-deutsche-entertainment-anleihe</t>
  </si>
  <si>
    <t>Altice France Holding S.A.</t>
  </si>
  <si>
    <t>XS2138128314</t>
  </si>
  <si>
    <t>https://www.finanzen.net/anleihen/a28vht-altice-france-holding-anleihe</t>
  </si>
  <si>
    <t>IM Group S.A.S.</t>
  </si>
  <si>
    <t>XS2587104444</t>
  </si>
  <si>
    <t>https://www.finanzen.net/anleihen/a3ld6g-im-groups-anleihe</t>
  </si>
  <si>
    <t>Suncap SCOOP S.A.</t>
  </si>
  <si>
    <t>XS2599155384</t>
  </si>
  <si>
    <t>https://www.finanzen.net/anleihen/a3le0u-suncap-scoop-anleihe</t>
  </si>
  <si>
    <t>Lottomatica S.p.A.</t>
  </si>
  <si>
    <t>XS2729669239</t>
  </si>
  <si>
    <t>https://www.finanzen.net/anleihen/a3lruq-lottomatica-spa-anleihe</t>
  </si>
  <si>
    <t>Lion/Polaris Lux 4 S.A.</t>
  </si>
  <si>
    <t>XS2361343697</t>
  </si>
  <si>
    <t>https://www.finanzen.net/anleihen/a3ktn4-lion-polaris-lux-4-anleihe</t>
  </si>
  <si>
    <t>Fiber BidCo S.p.A.</t>
  </si>
  <si>
    <t>XS2748964850</t>
  </si>
  <si>
    <t>https://www.finanzen.net/anleihen/a3ltk0-fiber-bidco-spa-anleihe</t>
  </si>
  <si>
    <t>Goldstory S.A.S.</t>
  </si>
  <si>
    <t>XS2761222400</t>
  </si>
  <si>
    <t>https://www.finanzen.net/anleihen/a3luct-goldstorys-anleihe</t>
  </si>
  <si>
    <t>Vivion Investments S.à.r.l.</t>
  </si>
  <si>
    <t>XS2663653140</t>
  </si>
  <si>
    <t>https://www.finanzen.net/anleihen/a3lmu4-vivion-investments-sarl-anleihe</t>
  </si>
  <si>
    <t>Teva Pharmaceutical Finance Netherlands II B.V.</t>
  </si>
  <si>
    <t>XS2592804194</t>
  </si>
  <si>
    <t>https://www.finanzen.net/anleihen/a3le5k-teva-pharmaceutical-finance-netherlands-ii-bv-anleihe</t>
  </si>
  <si>
    <t>Telecom Italia S.p.A.</t>
  </si>
  <si>
    <t>XS2637954582</t>
  </si>
  <si>
    <t>https://www.finanzen.net/anleihen/a3llak-telecom-italia-spa-anleihe</t>
  </si>
  <si>
    <t>Grenke Finance PLC</t>
  </si>
  <si>
    <t>XS2695009998</t>
  </si>
  <si>
    <t>https://www.finanzen.net/anleihen/a3lnvu-grenke-finance-anleihe</t>
  </si>
  <si>
    <t>Ephios Subco 3 S.à r.l.</t>
  </si>
  <si>
    <t>XS2734938249</t>
  </si>
  <si>
    <t>https://www.finanzen.net/anleihen/a3lsj7-ephios-subco-3-sa-rl-anleihe</t>
  </si>
  <si>
    <t>Var Energi ASA</t>
  </si>
  <si>
    <t>XS2708134023</t>
  </si>
  <si>
    <t>https://www.finanzen.net/anleihen/a3lq05-var-energi-asa-anleihe</t>
  </si>
  <si>
    <t>Mangrove LuxCo III S.à r.l.</t>
  </si>
  <si>
    <t>XS2059543921</t>
  </si>
  <si>
    <t>https://www.finanzen.net/anleihen/a2sau0-mangrove-luxco-iii-sa-rl-anleihe</t>
  </si>
  <si>
    <t>Rossini S.à r.l.</t>
  </si>
  <si>
    <t>XS2066727491</t>
  </si>
  <si>
    <t>https://www.finanzen.net/anleihen/a2sbax-rossini-sa-rl-anleihe</t>
  </si>
  <si>
    <t>UBS Group AG</t>
  </si>
  <si>
    <t>Schweiz</t>
  </si>
  <si>
    <t>CH1214797172</t>
  </si>
  <si>
    <t>https://www.finanzen.net/anleihen/a3lbf3-ubs-group-anleihe</t>
  </si>
  <si>
    <t>Saxony Minerals &amp; Exploration - SME AG</t>
  </si>
  <si>
    <t>DE000A2YN7A3</t>
  </si>
  <si>
    <t>https://www.finanzen.net/anleihen/a2yn7a-saxony-minerals-exploration-sme-anleihe</t>
  </si>
  <si>
    <t>CGG S.A.</t>
  </si>
  <si>
    <t>XS2324372270</t>
  </si>
  <si>
    <t>Midco GB S.A.S.</t>
  </si>
  <si>
    <t>XS2402071760</t>
  </si>
  <si>
    <t>https://www.finanzen.net/anleihen/a3kx75-midco-gbs-anleihe</t>
  </si>
  <si>
    <t>Safari Beteiligungs GmbH</t>
  </si>
  <si>
    <t>XS2480044010</t>
  </si>
  <si>
    <t>https://www.finanzen.net/anleihen/a3mqv5-safari-beteiligungs-anleihe</t>
  </si>
  <si>
    <t>Emeria SASU</t>
  </si>
  <si>
    <t>XS2582774225</t>
  </si>
  <si>
    <t>https://www.finanzen.net/anleihen/a3ldv1-emeria-sasu-anleihe</t>
  </si>
  <si>
    <t>Luminor Bank AS</t>
  </si>
  <si>
    <t>Estland</t>
  </si>
  <si>
    <t>DK0030494505</t>
  </si>
  <si>
    <t>https://www.finanzen.net/anleihen/a3kvxp-european-energy-as-anleihe</t>
  </si>
  <si>
    <t>Trivium Packaging Finance B.V.</t>
  </si>
  <si>
    <t>XS2034069836</t>
  </si>
  <si>
    <t>https://www.finanzen.net/anleihen/a2r5s4-trivium-packaging-finance-bv-anleihe</t>
  </si>
  <si>
    <t>Carnival Corp.</t>
  </si>
  <si>
    <t>Panama</t>
  </si>
  <si>
    <t>XS2264155305</t>
  </si>
  <si>
    <t>https://www.finanzen.net/anleihen/a285p3-carnival-anleihe</t>
  </si>
  <si>
    <t>Banca IFIS S.p.A.</t>
  </si>
  <si>
    <t>XS1700435453</t>
  </si>
  <si>
    <t>https://www.finanzen.net/anleihen/a19qrs-banca-ifis-spa-anleihe</t>
  </si>
  <si>
    <t>Veganz Group AG</t>
  </si>
  <si>
    <t>DE000A254NF5</t>
  </si>
  <si>
    <t>https://www.finanzen.net/anleihen/a254nf-veganz-group-anleihe</t>
  </si>
  <si>
    <t>HB Holding N.V.</t>
  </si>
  <si>
    <t>DE000A283WQ2</t>
  </si>
  <si>
    <t>https://www.finanzen.net/anleihen/a283wq-hb-holding-anleihe</t>
  </si>
  <si>
    <t>pferdewetten.de AG</t>
  </si>
  <si>
    <t>DE000A30V8X3</t>
  </si>
  <si>
    <t>https://www.finanzen.net/anleihen/a30v8x-pferdewettende-anleihe</t>
  </si>
  <si>
    <t>Deutsche Rohstoff AG</t>
  </si>
  <si>
    <t>DE000A3510K1</t>
  </si>
  <si>
    <t>https://www.finanzen.net/anleihen/a3510k-deutsche-rohstoff-anleihe</t>
  </si>
  <si>
    <t>hep global GmbH</t>
  </si>
  <si>
    <t>DE000A3H3JV5</t>
  </si>
  <si>
    <t>https://www.finanzen.net/anleihen/a3h3jv-hep-global-anleihe</t>
  </si>
  <si>
    <t>Trisor Beteiligungs II GmbH</t>
  </si>
  <si>
    <t>DE000A3H3KZ4</t>
  </si>
  <si>
    <t>https://www.finanzen.net/anleihen/a3h3kz-trisor-beteiligungs-ii-anleihe</t>
  </si>
  <si>
    <t>AOC I DIE STADTENTWICKLER GmbH</t>
  </si>
  <si>
    <t>DE000A3MQBD5</t>
  </si>
  <si>
    <t>https://www.finanzen.net/anleihen/a3mqbd-aoc-i-die-stadtentwickler-anleihe</t>
  </si>
  <si>
    <t>Deutsche Telekom International Finance B.V.</t>
  </si>
  <si>
    <t>XS0161488498</t>
  </si>
  <si>
    <t>https://www.finanzen.net/anleihen/728317-deutsche-telekom-international-finance-bv-anleihe</t>
  </si>
  <si>
    <t>UniCredit S.p.A.</t>
  </si>
  <si>
    <t>XS1963834251</t>
  </si>
  <si>
    <t>https://www.finanzen.net/anleihen/a2rzgk-unicredit-spa-anleihe</t>
  </si>
  <si>
    <t>Trafigura Group Pte Ltd.</t>
  </si>
  <si>
    <t>Singapur</t>
  </si>
  <si>
    <t>XS2033327854</t>
  </si>
  <si>
    <t>https://www.finanzen.net/anleihen/a2r58q-trafigura-group-pte-anleihe</t>
  </si>
  <si>
    <t>Tereos Finance Groupe I</t>
  </si>
  <si>
    <t>XS2244837162</t>
  </si>
  <si>
    <t>https://www.finanzen.net/anleihen/a2838y-tereos-finance-groupe-i-anleihe</t>
  </si>
  <si>
    <t>BOI Finance B.V.</t>
  </si>
  <si>
    <t>XS2348767083</t>
  </si>
  <si>
    <t>https://www.finanzen.net/anleihen/a3k16p-boi-finance-bv-anleihe</t>
  </si>
  <si>
    <t>Nidda Healthcare Holding GmbH</t>
  </si>
  <si>
    <t>XS2550063478</t>
  </si>
  <si>
    <t>https://www.finanzen.net/anleihen/a30v2j-nidda-healthcare-holding-anleihe</t>
  </si>
  <si>
    <t>Alpha Bank S.A.</t>
  </si>
  <si>
    <t>Finecobank Banca Fineco S.p.A.</t>
  </si>
  <si>
    <t>XS2776665700</t>
  </si>
  <si>
    <t>https://www.finanzen.net/anleihen/a3lvsa-finecobank-banca-fineco-spa-anleihe</t>
  </si>
  <si>
    <t>Kapla Holding S.A.S.</t>
  </si>
  <si>
    <t>XS2756269960</t>
  </si>
  <si>
    <t>https://www.finanzen.net/anleihen/a3lt4r-kapla-holdings-anleihe</t>
  </si>
  <si>
    <t>LeasePlan Corporation N.V.</t>
  </si>
  <si>
    <t>XS2003473829</t>
  </si>
  <si>
    <t>https://www.finanzen.net/anleihen/a2r2z1-leaseplan-corporation-anleihe</t>
  </si>
  <si>
    <t>Motion Finco S.à.r.l.</t>
  </si>
  <si>
    <t>XS2623257503</t>
  </si>
  <si>
    <t>https://www.finanzen.net/anleihen/a3ljb0-motion-finco-sarl-anleihe</t>
  </si>
  <si>
    <t>OTP Bank Nyrt.</t>
  </si>
  <si>
    <t>XS2560693181</t>
  </si>
  <si>
    <t>https://www.finanzen.net/anleihen/a3lbtm-otp-bank-nyrt-anleihe</t>
  </si>
  <si>
    <t>FCR Immobilien AG</t>
  </si>
  <si>
    <t>DE000A352AX7</t>
  </si>
  <si>
    <t>https://www.finanzen.net/anleihen/a352ax-fcr-immobilien-anleihe</t>
  </si>
  <si>
    <t>Nidda BondCo GmbH</t>
  </si>
  <si>
    <t>XS1914256695</t>
  </si>
  <si>
    <t>https://www.finanzen.net/anleihen/a2nbmg-nidda-bondco-anleihe</t>
  </si>
  <si>
    <t>Stena International S.A.</t>
  </si>
  <si>
    <t>XS2010025836</t>
  </si>
  <si>
    <t>https://www.finanzen.net/anleihen/a3ld0d-stena-international-anleihe</t>
  </si>
  <si>
    <t>LHMC Finco 2 S.à.r.l.</t>
  </si>
  <si>
    <t>XS2059777594</t>
  </si>
  <si>
    <t>https://www.finanzen.net/anleihen/a2r8qf-lhmc-finco-2-sarl-anleihe</t>
  </si>
  <si>
    <t>Forvia SE</t>
  </si>
  <si>
    <t>XS2553825949</t>
  </si>
  <si>
    <t>https://www.finanzen.net/anleihen/a3la6x-forvia-se-anleihe</t>
  </si>
  <si>
    <t>XS2576365188</t>
  </si>
  <si>
    <t>https://www.finanzen.net/anleihen/a3lc43-luminor-bank-as-anleihe</t>
  </si>
  <si>
    <t>Arion Bank hf.</t>
  </si>
  <si>
    <t>Island</t>
  </si>
  <si>
    <t>XS2620752811</t>
  </si>
  <si>
    <t>https://www.finanzen.net/anleihen/a3lh2l-arion-bank-hf-anleihe</t>
  </si>
  <si>
    <t>PEU [Fin] Ltd.</t>
  </si>
  <si>
    <t>XS2643284388</t>
  </si>
  <si>
    <t>https://www.finanzen.net/anleihen/a3lkg8-peu-fin-anleihe</t>
  </si>
  <si>
    <t>Avis Budget Finance PLC</t>
  </si>
  <si>
    <t>XS2648489388</t>
  </si>
  <si>
    <t>https://www.finanzen.net/anleihen/a3lk3c-avis-budget-finance-anleihe</t>
  </si>
  <si>
    <t>Paprec Holding S.A.</t>
  </si>
  <si>
    <t>XS2712525109</t>
  </si>
  <si>
    <t>https://www.finanzen.net/anleihen/a3lq37-paprec-holding-anleihe</t>
  </si>
  <si>
    <t>Kondor Finance PLC</t>
  </si>
  <si>
    <t>XS2027394233</t>
  </si>
  <si>
    <t>https://www.finanzen.net/anleihen/a2r5en-kondor-finance-anleihe</t>
  </si>
  <si>
    <t>APA Infrastructure Ltd.</t>
  </si>
  <si>
    <t>Australien</t>
  </si>
  <si>
    <t>XS2711801287</t>
  </si>
  <si>
    <t>https://www.finanzen.net/anleihen/a3lqtd-apa-infrastructure-anleihe</t>
  </si>
  <si>
    <t>Südzucker International Finance B.V.</t>
  </si>
  <si>
    <t>XS0222524372</t>
  </si>
  <si>
    <t>https://www.finanzen.net/anleihen/a0e6fu-suedzucker-international-finance-bv-anleihe</t>
  </si>
  <si>
    <t>UBM Development AG</t>
  </si>
  <si>
    <t>AT0000A35FE2</t>
  </si>
  <si>
    <t>https://www.finanzen.net/anleihen/a3lj82-ubm-development-anleihe</t>
  </si>
  <si>
    <t>JES.GREEN Invest GmbH</t>
  </si>
  <si>
    <t>DE000A30V661</t>
  </si>
  <si>
    <t>https://www.finanzen.net/anleihen/a30v66-jesgreen-invest-anleihe</t>
  </si>
  <si>
    <t>Meidar GanEden Finance GmbH</t>
  </si>
  <si>
    <t>DE000A30VGV1</t>
  </si>
  <si>
    <t>https://www.finanzen.net/anleihen/a30vgv-meidar-ganeden-finance-anleihe</t>
  </si>
  <si>
    <t>Jung, DMS &amp; Cie. Pool GmbH</t>
  </si>
  <si>
    <t>DE000A3514Q0</t>
  </si>
  <si>
    <t>https://www.finanzen.net/anleihen/a3514q-jung-dms-cie-pool-anleihe</t>
  </si>
  <si>
    <t>LAIQON AG</t>
  </si>
  <si>
    <t>DE000A351P38</t>
  </si>
  <si>
    <t>https://www.finanzen.net/anleihen/a351p3-laiqon-anleihe</t>
  </si>
  <si>
    <t>PAUL Tech AG</t>
  </si>
  <si>
    <t>DE000A3H2TU8</t>
  </si>
  <si>
    <t>https://www.finanzen.net/anleihen/a3h2tu-paul-tech-anleihe</t>
  </si>
  <si>
    <t>JadeHawk Capital S.a r.l.</t>
  </si>
  <si>
    <t>DE000A3KWK17</t>
  </si>
  <si>
    <t>https://www.finanzen.net/anleihen/a3kwk1-jadehawk-capital-sa-rl-anleihe</t>
  </si>
  <si>
    <t>SG Issuer S.A.</t>
  </si>
  <si>
    <t>Ste Generale</t>
  </si>
  <si>
    <t>FR001400EIX6</t>
  </si>
  <si>
    <t>https://www.finanzen.net/anleihen/a3lfqn-sg-issuer-anleihe</t>
  </si>
  <si>
    <t>Hörmann Industries GmbH</t>
  </si>
  <si>
    <t>NO0012938325</t>
  </si>
  <si>
    <t>https://www.finanzen.net/anleihen/a351u9-hoermann-industries-anleihe</t>
  </si>
  <si>
    <t>Athora Netherlands N.V.</t>
  </si>
  <si>
    <t>XS1835946564</t>
  </si>
  <si>
    <t>https://www.finanzen.net/anleihen/a192dt-athora-netherlands-anleihe</t>
  </si>
  <si>
    <t>XS2549772924</t>
  </si>
  <si>
    <t>https://www.finanzen.net/anleihen/a3lavs-alpha-bank-anleihe</t>
  </si>
  <si>
    <t>ASR Nederland N.V.</t>
  </si>
  <si>
    <t>Webuild S.p.A.</t>
  </si>
  <si>
    <t>XS2681940297</t>
  </si>
  <si>
    <t>https://www.finanzen.net/anleihen/a3ln0j-webuild-spa-anleihe</t>
  </si>
  <si>
    <t>Banijay Entertainment S.A.S.</t>
  </si>
  <si>
    <t>XS2690055996</t>
  </si>
  <si>
    <t>https://www.finanzen.net/anleihen/a3lnkr-banijay-entertainments-anleihe</t>
  </si>
  <si>
    <t>Jyske Bank A/S</t>
  </si>
  <si>
    <t>XS2764397829</t>
  </si>
  <si>
    <t>https://www.finanzen.net/anleihen/a3ludz-jyske-bank-a-s-anleihe</t>
  </si>
  <si>
    <t>Nordmazedonien, Republik</t>
  </si>
  <si>
    <t>Mazedonien</t>
  </si>
  <si>
    <t>XS2582522681</t>
  </si>
  <si>
    <t>https://www.finanzen.net/anleihen/a3ld5q-nordmazedonien-anleihe</t>
  </si>
  <si>
    <t>Erste Group Bank AG</t>
  </si>
  <si>
    <t>AT0000A1E283</t>
  </si>
  <si>
    <t>https://www.finanzen.net/anleihen/eb0ew9-erste-group-bank-anleihe</t>
  </si>
  <si>
    <t>Jaguar Land Rover Automotive PLC</t>
  </si>
  <si>
    <t>XS2010037682</t>
  </si>
  <si>
    <t>https://www.finanzen.net/anleihen/a2sa44-jaguar-land-rover-automotive-anleihe</t>
  </si>
  <si>
    <t>Côte d'Ivoire, Republik</t>
  </si>
  <si>
    <t>Elfenbeinküste</t>
  </si>
  <si>
    <t>Benin, Republik</t>
  </si>
  <si>
    <t>XS2286298711</t>
  </si>
  <si>
    <t>https://www.finanzen.net/anleihen/a287rb-benin-anleihe</t>
  </si>
  <si>
    <t>Energia Group Roi Holdings DAC</t>
  </si>
  <si>
    <t>XS2656464844</t>
  </si>
  <si>
    <t>https://www.finanzen.net/anleihen/a3llg3-energia-group-roi-holdings-dac-anleihe</t>
  </si>
  <si>
    <t>reconcept GmbH</t>
  </si>
  <si>
    <t>DE000A289R82</t>
  </si>
  <si>
    <t>https://www.finanzen.net/anleihen/a289r8-reconcept-anleihe</t>
  </si>
  <si>
    <t>reconcept Solar Deutschland GmbH</t>
  </si>
  <si>
    <t>DE000A351MJ3</t>
  </si>
  <si>
    <t>https://www.finanzen.net/anleihen/a351mj-reconcept-solar-deutschland-anleihe</t>
  </si>
  <si>
    <t>RAMFORT GmbH</t>
  </si>
  <si>
    <t>DE000A3H2T47</t>
  </si>
  <si>
    <t>https://www.finanzen.net/anleihen/a3h2t4-ramfort-anleihe</t>
  </si>
  <si>
    <t>Nordrhein-Westfalen, Land</t>
  </si>
  <si>
    <t>DE000NRW0MH6</t>
  </si>
  <si>
    <t>https://www.finanzen.net/anleihen/nrw0mh-nordrhein-westfalen-land-anleihe</t>
  </si>
  <si>
    <t>Ukraine, Republik</t>
  </si>
  <si>
    <t>Ukraine</t>
  </si>
  <si>
    <t>XS2015265072</t>
  </si>
  <si>
    <t>https://www.finanzen.net/anleihen/a2r3yd-ukraine-anleihe</t>
  </si>
  <si>
    <t>XS2250153769</t>
  </si>
  <si>
    <t>https://www.finanzen.net/anleihen/a284hx-garfunkelux-holdco-3-anleihe</t>
  </si>
  <si>
    <t>Eurofins Scientific S.E.</t>
  </si>
  <si>
    <t>XS2579480307</t>
  </si>
  <si>
    <t>https://www.finanzen.net/anleihen/a3ldc9-eurofins-scientific-se-anleihe</t>
  </si>
  <si>
    <t>Grünenthal GmbH</t>
  </si>
  <si>
    <t>XS2615562274</t>
  </si>
  <si>
    <t>https://www.finanzen.net/anleihen/a351mx-gruenenthal-anleihe</t>
  </si>
  <si>
    <t>Alerion Cleanpower S.p.A.</t>
  </si>
  <si>
    <t>XS2717294487</t>
  </si>
  <si>
    <t>https://www.finanzen.net/anleihen/a3lseu-alerion-cleanpower-spa-anleihe</t>
  </si>
  <si>
    <t>XS1796266754</t>
  </si>
  <si>
    <t>https://www.finanzen.net/anleihen/a19x8y-cote-divoire-anleihe</t>
  </si>
  <si>
    <t>Illimity Bank S.p.A.</t>
  </si>
  <si>
    <t>XS2564398753</t>
  </si>
  <si>
    <t>https://www.finanzen.net/anleihen/a3lb3m-illimity-bank-spa-anleihe</t>
  </si>
  <si>
    <t>Julius Baer Gruppe AG</t>
  </si>
  <si>
    <t>XS2586873379</t>
  </si>
  <si>
    <t>https://www.finanzen.net/anleihen/a3ld42-julius-baer-gruppe-anleihe</t>
  </si>
  <si>
    <t>INEOS Finance PLC</t>
  </si>
  <si>
    <t>XS2587558474</t>
  </si>
  <si>
    <t>https://www.finanzen.net/anleihen/a3leec-ineos-finance-anleihe</t>
  </si>
  <si>
    <t>XS2790191303</t>
  </si>
  <si>
    <t>https://www.finanzen.net/anleihen/a3lwmk-asr-nederland-anleihe</t>
  </si>
  <si>
    <t>DE-VAU-GE Gesundkostwerk Deutschland GmbH</t>
  </si>
  <si>
    <t>DE000A289C55</t>
  </si>
  <si>
    <t>https://www.finanzen.net/anleihen/a289c5-de-vau-ge-gesundkostwerk-deutschland-anleihe</t>
  </si>
  <si>
    <t>Greencells GmbH</t>
  </si>
  <si>
    <t>DE000A289YQ5</t>
  </si>
  <si>
    <t>https://www.finanzen.net/anleihen/a289yq-greencells-anleihe</t>
  </si>
  <si>
    <t>FIM Immobilien Holding Alpha GmbH</t>
  </si>
  <si>
    <t>DE000A30V5B5</t>
  </si>
  <si>
    <t>https://www.finanzen.net/anleihen/a30v5b-fim-immobilien-holding-alpha-anleihe</t>
  </si>
  <si>
    <t>Bauakzente Balear Invest GmbH</t>
  </si>
  <si>
    <t>DE000A30VGQ1</t>
  </si>
  <si>
    <t>https://www.finanzen.net/anleihen/a30vgq-bauakzente-balear-invest-anleihe</t>
  </si>
  <si>
    <t>SV Werder Bremen GmbH &amp; Co. KGaA</t>
  </si>
  <si>
    <t>DE000A3H3KP5</t>
  </si>
  <si>
    <t>https://www.finanzen.net/anleihen/a3h3kp-sv-werder-bremenaa-anleihe</t>
  </si>
  <si>
    <t>Photon Energy N.V.</t>
  </si>
  <si>
    <t>DE000A3KWKY4</t>
  </si>
  <si>
    <t>https://www.finanzen.net/anleihen/a3kwky-photon-energy-anleihe</t>
  </si>
  <si>
    <t>Boxer Parent Company Inc.</t>
  </si>
  <si>
    <t>XS2177476947</t>
  </si>
  <si>
    <t>https://www.finanzen.net/anleihen/a28xpj-boxer-parent-company-anleihe</t>
  </si>
  <si>
    <t>Kleopatra Holdings 2 S.C.A.</t>
  </si>
  <si>
    <t>XS2298382453</t>
  </si>
  <si>
    <t>https://www.finanzen.net/anleihen/a3kln8-kleopatra-holdings-2-anleihe</t>
  </si>
  <si>
    <t>TUI Cruises GmbH</t>
  </si>
  <si>
    <t>XS2342247355</t>
  </si>
  <si>
    <t>https://www.finanzen.net/anleihen/a3e5p2-tui-cruises-anleihe</t>
  </si>
  <si>
    <t>TDC Net A/S</t>
  </si>
  <si>
    <t>XS2615584328</t>
  </si>
  <si>
    <t>https://www.finanzen.net/anleihen/a3lheu-tdc-net-a-s-anleihe</t>
  </si>
  <si>
    <t>San Marino, Republik</t>
  </si>
  <si>
    <t>San Marino</t>
  </si>
  <si>
    <t>XS2619991883</t>
  </si>
  <si>
    <t>https://www.finanzen.net/anleihen/a3lhyh-san-marino-anleihe</t>
  </si>
  <si>
    <t>Vodafone Group PLC</t>
  </si>
  <si>
    <t>XS2630490717</t>
  </si>
  <si>
    <t>https://www.finanzen.net/anleihen/a3ljb1-vodafone-group-anleihe</t>
  </si>
  <si>
    <t>Piaggio &amp; C. S.p.A.</t>
  </si>
  <si>
    <t>XS2696224315</t>
  </si>
  <si>
    <t>https://www.finanzen.net/anleihen/a3lpdm-piaggio-c-spa-anleihe</t>
  </si>
  <si>
    <t>Citycon Treasury B.V.</t>
  </si>
  <si>
    <t>XS2778383898</t>
  </si>
  <si>
    <t>https://www.finanzen.net/anleihen/a3lvjb-citycon-treasury-bv-anleihe</t>
  </si>
  <si>
    <t>Ägypten, Arabische Republik</t>
  </si>
  <si>
    <t>Ägypten</t>
  </si>
  <si>
    <t>XS1980255936</t>
  </si>
  <si>
    <t>https://www.finanzen.net/anleihen/a2r0mt-aegypten-anleihe</t>
  </si>
  <si>
    <t>Banque Centrale de Tunisie</t>
  </si>
  <si>
    <t>Tunesien</t>
  </si>
  <si>
    <t>XS2023698553</t>
  </si>
  <si>
    <t>https://www.finanzen.net/anleihen/a2r5ca-banque-centrale-de-tunisie-anleihe</t>
  </si>
  <si>
    <t>NN Group N.V.</t>
  </si>
  <si>
    <t>XS2602037629</t>
  </si>
  <si>
    <t>https://www.finanzen.net/anleihen/a3lvyf-nn-group-anleihe</t>
  </si>
  <si>
    <t>Loxam S.A.S.</t>
  </si>
  <si>
    <t>Rumänien, Republik</t>
  </si>
  <si>
    <t>XS2689948078</t>
  </si>
  <si>
    <t>https://www.finanzen.net/anleihen/a3lngg-rumaenien-anleihe</t>
  </si>
  <si>
    <t>XS2732357525</t>
  </si>
  <si>
    <t>https://www.finanzen.net/anleihen/a3lsch-loxams-anleihe</t>
  </si>
  <si>
    <t>Deutschland, Bundesrepublik</t>
  </si>
  <si>
    <t>DE0001135143</t>
  </si>
  <si>
    <t>https://www.finanzen.net/anleihen/113514-deutschland-bundesrepublik-anleihe</t>
  </si>
  <si>
    <t>MS Industrie AG</t>
  </si>
  <si>
    <t>DE000A30VS72</t>
  </si>
  <si>
    <t>https://www.finanzen.net/anleihen/a30vs7-ms-industrie-anleihe</t>
  </si>
  <si>
    <t>EUSOLAG European Solar AG</t>
  </si>
  <si>
    <t>DE000A3MQYU1</t>
  </si>
  <si>
    <t>https://www.finanzen.net/anleihen/a3mqyu-eusolag-european-solar-anleihe</t>
  </si>
  <si>
    <t>OMV AG</t>
  </si>
  <si>
    <t>XS1294343337</t>
  </si>
  <si>
    <t>https://www.finanzen.net/anleihen/a1z6zr-omv-anleihe</t>
  </si>
  <si>
    <t>OI European Group B.V.</t>
  </si>
  <si>
    <t>XS2624554320</t>
  </si>
  <si>
    <t>https://www.finanzen.net/anleihen/a3lhy4-oi-european-group-bv-anleihe</t>
  </si>
  <si>
    <t>Boels Topholding B.V.</t>
  </si>
  <si>
    <t>XS2679767082</t>
  </si>
  <si>
    <t>https://www.finanzen.net/anleihen/a3lnau-boels-topholding-bv-anleihe</t>
  </si>
  <si>
    <t>MDF PROPERTY PERFORMANCE AG</t>
  </si>
  <si>
    <t>DE000A382822</t>
  </si>
  <si>
    <t>https://www.finanzen.net/anleihen/a38282-mdf-property-performance-anleihe</t>
  </si>
  <si>
    <t>Veolia Environnement S.A.</t>
  </si>
  <si>
    <t>FR0010033381</t>
  </si>
  <si>
    <t>https://www.finanzen.net/anleihen/816814-veolia-environnement-anleihe</t>
  </si>
  <si>
    <t>EnBW International Finance B.V.</t>
  </si>
  <si>
    <t>XS0438844093</t>
  </si>
  <si>
    <t>https://www.finanzen.net/anleihen/a1ajtv-enbw-international-finance-bv-anleihe</t>
  </si>
  <si>
    <t>Marcolin S.p.A.</t>
  </si>
  <si>
    <t>XS2346563500</t>
  </si>
  <si>
    <t>https://www.finanzen.net/anleihen/a3krsa-marcolin-spa-anleihe</t>
  </si>
  <si>
    <t>Ford Motor Credit Co. LLC</t>
  </si>
  <si>
    <t>XS2623496085</t>
  </si>
  <si>
    <t>https://www.finanzen.net/anleihen/a3lhva-ford-motor-credit-llc-anleihe</t>
  </si>
  <si>
    <t>SANHA GmbH &amp; Co. KG</t>
  </si>
  <si>
    <t>DE000A1TNA70</t>
  </si>
  <si>
    <t>https://www.finanzen.net/anleihen/a1tna7-sanha-anleihe</t>
  </si>
  <si>
    <t>VERIANOS SE</t>
  </si>
  <si>
    <t>DE000A254Y19</t>
  </si>
  <si>
    <t>https://www.finanzen.net/anleihen/a254y1-verianos-se-anleihe</t>
  </si>
  <si>
    <t>HSV Fußball AG</t>
  </si>
  <si>
    <t>DE000A2TR0Y1</t>
  </si>
  <si>
    <t>https://www.finanzen.net/anleihen/a2tr0y-hsv-fussball-anleihe</t>
  </si>
  <si>
    <t>Huber Automotive AG</t>
  </si>
  <si>
    <t>DE000A2TR430</t>
  </si>
  <si>
    <t>https://www.finanzen.net/anleihen/a2tr43-huber-automotive-anleihe</t>
  </si>
  <si>
    <t>Real Equity GmbH</t>
  </si>
  <si>
    <t>DE000A2YN1S8</t>
  </si>
  <si>
    <t>https://www.finanzen.net/anleihen/a2yn1s-real-equity-anleihe</t>
  </si>
  <si>
    <t>M Objekt Real Estate Holding GmbH &amp; Co. KG</t>
  </si>
  <si>
    <t>DE000A2YNRD5</t>
  </si>
  <si>
    <t>https://www.finanzen.net/anleihen/a2ynrd-m-objekt-real-estate-holding-anleihe</t>
  </si>
  <si>
    <t>PCC SE</t>
  </si>
  <si>
    <t>aap Implantate AG</t>
  </si>
  <si>
    <t>DE000A351ZH9</t>
  </si>
  <si>
    <t>https://www.finanzen.net/anleihen/a351zh-aap-implantate-anleihe</t>
  </si>
  <si>
    <t>DE000A3824R1</t>
  </si>
  <si>
    <t>https://www.finanzen.net/anleihen/a3824r-pcc-se-anleihe</t>
  </si>
  <si>
    <t>Sun Invest AG</t>
  </si>
  <si>
    <t>Liechtenstein</t>
  </si>
  <si>
    <t>DE000A3LUG63</t>
  </si>
  <si>
    <t>https://www.finanzen.net/anleihen/a3lug6-sun-invest-anleihe</t>
  </si>
  <si>
    <t>Italien, Republik</t>
  </si>
  <si>
    <t>IT0001444378</t>
  </si>
  <si>
    <t>https://www.finanzen.net/anleihen/107314-italien-anleihe</t>
  </si>
  <si>
    <t>Superior Industries International Inc.</t>
  </si>
  <si>
    <t>XS1577958058</t>
  </si>
  <si>
    <t>https://www.finanzen.net/anleihen/a19j4j-superior-industries-international-anleihe</t>
  </si>
  <si>
    <t>Techem Verwaltungsgesellschaft 674 mbH</t>
  </si>
  <si>
    <t>XS1859258383</t>
  </si>
  <si>
    <t>https://www.finanzen.net/anleihen/a2nbfd-techem-verwaltungsgesellschaft-674-mbh-anleihe</t>
  </si>
  <si>
    <t>Douglas Service GmbH</t>
  </si>
  <si>
    <t>XS2326497802</t>
  </si>
  <si>
    <t>https://www.finanzen.net/anleihen/a3h3j7-douglas-service-anleihe</t>
  </si>
  <si>
    <t>Koninklijke KPN N.V.</t>
  </si>
  <si>
    <t>XS2486270858</t>
  </si>
  <si>
    <t>https://www.finanzen.net/anleihen/a3k9ev-koninklijke-kpn-anleihe</t>
  </si>
  <si>
    <t>Fnac Darty</t>
  </si>
  <si>
    <t>XS2778270772</t>
  </si>
  <si>
    <t>https://www.finanzen.net/anleihen/a3lwht-fnac-darty-anleihe</t>
  </si>
  <si>
    <t>TK Elevator Midco GmbH</t>
  </si>
  <si>
    <t>XS2199597613</t>
  </si>
  <si>
    <t>https://www.finanzen.net/anleihen/a3e45a-tk-elevator-midco-anleihe</t>
  </si>
  <si>
    <t>XS2633112565</t>
  </si>
  <si>
    <t>https://www.finanzen.net/anleihen/a3ljmb-luminor-bank-as-anleihe</t>
  </si>
  <si>
    <t>XS2064786911</t>
  </si>
  <si>
    <t>https://www.finanzen.net/anleihen/a2r9d3-cote-divoire-anleihe</t>
  </si>
  <si>
    <t>Gewinn aus Kursänderung</t>
  </si>
  <si>
    <t>Als weitere Auswahlkriterien haben wir festgelegt: Keine Insolvens des Emittenten, was wir bei der Recherche für die Branchen jedes Unternehmens ebenfalls mit überprüft haben, ein Kurs von mindestens 25% und weiterhin nur maximal ein Drittel an Anleihen aus dem Finanzsektor.</t>
  </si>
  <si>
    <t>Uns sind dabei 5 Transaktionen von letzter Woche aufgefallen, die wahrscheinlich nicht zulässig waren, weswegen wir diese wieder zurück überwiesen haben. Bei Fiven AS, SGL International A/S und LR Global Holding GmbH handelte es sich um inaktive Anleihen. Wir gingen letzte Woche davon aus, dass Anleihen, die einen Kurs haben, auch kaufbar sind. Die Anleihen der Naviera Armas S.A. und Solocal Group sind zwar bei finanzen.net noch als aktiv gelistet, allerdings wurden die Kurse das letzte Mal vor über einem Jahr aktualisiert, weswegen wir davon ausgehen, dass diese ebenfalls inaktiv sind. Bei unseren 4Finance S.A. und The Grounds Real Estate Development AG Anleihen sind wir zur Frankfurter Börse gewechselt, da dort noch die Kurse aktualisiert werden. Unser Tool wurde entsprechend um die Funktionalität erweitert, inaktive Anleihen herauszufiltern.</t>
  </si>
  <si>
    <t>Begründung</t>
  </si>
  <si>
    <t>Währung</t>
  </si>
  <si>
    <t>USD</t>
  </si>
  <si>
    <t>Anleihenvolumen</t>
  </si>
  <si>
    <t>Aktienvolumen</t>
  </si>
  <si>
    <t>Gesamt</t>
  </si>
  <si>
    <t>Nächste Dividendenzahlung</t>
  </si>
  <si>
    <t>Kalkulation der Branchenanteile</t>
  </si>
  <si>
    <t>Farbe</t>
  </si>
  <si>
    <t>Optionsvolumen</t>
  </si>
  <si>
    <t>Gesamtvolumen</t>
  </si>
  <si>
    <t>Anteil</t>
  </si>
  <si>
    <t>Microsoft</t>
  </si>
  <si>
    <t>Verizon </t>
  </si>
  <si>
    <t>NextEra Energy</t>
  </si>
  <si>
    <t>https://www.finanzen.net/aktien/verizon-aktie</t>
  </si>
  <si>
    <t>https://www.finanzen.net/aktien/microsoft-aktie</t>
  </si>
  <si>
    <t>https://www.finanzen.net/aktien/nextera_energy-aktie</t>
  </si>
  <si>
    <t>US5949181045</t>
  </si>
  <si>
    <t>US65339F1012</t>
  </si>
  <si>
    <t>US92343V1044</t>
  </si>
  <si>
    <t>Gewinn gesamt</t>
  </si>
  <si>
    <t>Rendite gesamt</t>
  </si>
  <si>
    <t>Anleihen</t>
  </si>
  <si>
    <t>Aktien</t>
  </si>
  <si>
    <t>Optionen</t>
  </si>
  <si>
    <t>Gewinn aus Währungseffekten</t>
  </si>
  <si>
    <t>Gewinn Gesamt</t>
  </si>
  <si>
    <t>CSM Securities S.à r.l. acting in Respect of Fiduciary Estate 1</t>
  </si>
  <si>
    <t>Aktienkauf</t>
  </si>
  <si>
    <t>Wechselkurs Kaufdatum Währung pro Euro</t>
  </si>
  <si>
    <t>Steht vor einer revolutionären Veränderung, da das Unternehmen beginnt, KI-Systeme in seine Produktpalette zu integrieren (https://www.finanztrends.de/microsoft-aktie-jetzt-kaufen-2/)</t>
  </si>
  <si>
    <t>Verizon ist einer der größten Akteure in der Telekommunikationsbranche und verfügt über einen bedeutenden Marktanteil in den Vereinigten Staaten, insbesondere im Bereich mobile Kommunikation (~35 %)</t>
  </si>
  <si>
    <t xml:space="preserve">Wertvollster Börsenwert in der Versorgungsbranche, stabiler Kurs weil etabliertes und stetig wachsendes Unternehmen. Investiert hoch in erneuerbare Energien, was dem aktuellen Trend des Weggangs von fossilen Energieträgern folgt. Bereits jetzt Großteil des produzierten Stroms aus erneuerbaren Energien. </t>
  </si>
  <si>
    <t>Wir haben unser Portfolio um 3 Aktien erweitert. Bei der Auswahl haben wir darauf geachtet, Unternehmen aus Branchen zu nehmen, die in unserem Portfolio unterrepräsentiert sind, innerhalb des Planspiels eine Dividendenzahlung haben und eine ausländische Währung zur Berechnung von Währungseffekten haben. Unseren strategischen Hauptfokus legen wir weiterhin auf unsere Anleihen, wo wir diese Woche keine Änderungen haben. Das Dashboard haben wir um Aktien und später auch um Optionen erweitert, wobei die Berechnungen für Gewinn und Rendite da erst nächste Woche von uns angefertigt werden.</t>
  </si>
  <si>
    <t>Wechselkurs</t>
  </si>
  <si>
    <t>Zahlung in Euro</t>
  </si>
  <si>
    <t>Gewinn aus Zinsen</t>
  </si>
  <si>
    <t>Clean Kaufpreis</t>
  </si>
  <si>
    <t>Dirty Kaufpreis</t>
  </si>
  <si>
    <t>EUR</t>
  </si>
  <si>
    <t>Wechselkurs am Kauftag</t>
  </si>
  <si>
    <t>Art</t>
  </si>
  <si>
    <t>Aktueller Wechselkurs</t>
  </si>
  <si>
    <t>Verkauft am</t>
  </si>
  <si>
    <t>Kaufkurs in Euro</t>
  </si>
  <si>
    <t>Gewinn aus Dividende</t>
  </si>
  <si>
    <t>Aktueller Depotwert</t>
  </si>
  <si>
    <t>Depot</t>
  </si>
  <si>
    <t>Gewinn aus Gesamtbestand</t>
  </si>
  <si>
    <t>Stückzinsen am Kauftag</t>
  </si>
  <si>
    <t>Zinszahlungen</t>
  </si>
  <si>
    <t>Fälligkeit</t>
  </si>
  <si>
    <t>Kündigung</t>
  </si>
  <si>
    <t>Anleihenverkauf</t>
  </si>
  <si>
    <t>Gewinn aus Zinsen/Dividende</t>
  </si>
  <si>
    <t>Anteil am Portfolio</t>
  </si>
  <si>
    <t>Gewinn</t>
  </si>
  <si>
    <t>Konto</t>
  </si>
  <si>
    <t>Gewinn aus Einzelpositionen</t>
  </si>
  <si>
    <t>-</t>
  </si>
  <si>
    <t>Branchen nach investierten Kapital</t>
  </si>
  <si>
    <t>Gewinnkontrolle</t>
  </si>
  <si>
    <t>Wir haben die Berechnung der Stückzinsen bei den Anleihen geändert, sodass diese nicht mehr die Stückzinsen pro Stück ausrechnen, da es bei Anleihen mit sehr kleiner Stückelung (z. B. bei den Staatsanleihen von Deutschland, Bundesrepublik mit 0,01 Stückelung) zu Rundungsfehlern kam.</t>
  </si>
  <si>
    <t>Das Tool und die Excel wurden um die Funktion erweitert, Anleihen in ausländischen Währungen zu kaufen. Wir haben erstmal nur Anleihen eines Unternehmens gekauft, um zu überprüfen, ob die Berechnungen tatsächlich stimmen. Nächste Woche werden wir mehr investieren. Ebenfalls wird nun der Gewinn überprüft nach der Gewinnkontrolle von Lena und Gewinn, Rendite für die Aktien berechnet und die Rendite mit dem DAX verglichen.</t>
  </si>
  <si>
    <t>https://github.com/ChromatisGit/FiMa-Planspiel</t>
  </si>
  <si>
    <t>Link zum aktuellen Code des Tools. Das Tool wird stetig weiterentwickelt, aktuell funktioniert der Code nur lokal und noch nicht sonderlich sauber. Wir arbeiten daran.</t>
  </si>
  <si>
    <t>Northern Oil and Gas Inc.</t>
  </si>
  <si>
    <t>https://www.finanzen.net/anleihen/a3klye-northern-oil-and-gas-anleihe</t>
  </si>
  <si>
    <t>USU66499AD31</t>
  </si>
  <si>
    <t>Dateipfad</t>
  </si>
  <si>
    <t>https://www.finanzen.net/anleihen/a3e5rq-apcoa-holdings-anleihe</t>
  </si>
  <si>
    <t>Oriflame Investment Holding PLC</t>
  </si>
  <si>
    <t>XS2337349265</t>
  </si>
  <si>
    <t>https://www.finanzen.net/anleihen/a3kqet-oriflame-investment-holding-anleihe</t>
  </si>
  <si>
    <t>hep solar projects GmbH</t>
  </si>
  <si>
    <t>DE000A351488</t>
  </si>
  <si>
    <t>https://www.finanzen.net/anleihen/a35148-hep-solar-projects-anleihe</t>
  </si>
  <si>
    <t>Telecom Italia Finance S.A.</t>
  </si>
  <si>
    <t>XS0161100515</t>
  </si>
  <si>
    <t>https://www.finanzen.net/anleihen/724183-telecom-italia-finance-anleihe</t>
  </si>
  <si>
    <t>Bank of Cyprus PCL</t>
  </si>
  <si>
    <t>XS2648493570</t>
  </si>
  <si>
    <t>https://www.finanzen.net/anleihen/a3llcd-bank-of-cyprus-pcl-anleihe</t>
  </si>
  <si>
    <t>Piraeus Bank S.A.</t>
  </si>
  <si>
    <t>XS2644936259</t>
  </si>
  <si>
    <t>https://www.finanzen.net/anleihen/a3lk22-piraeus-bank-anleihe</t>
  </si>
  <si>
    <t>Frigoglass Finance B.V.</t>
  </si>
  <si>
    <t>XS2114234714</t>
  </si>
  <si>
    <t>https://www.finanzen.net/anleihen/a28tbw-frigoglass-finance-bv-anleihe</t>
  </si>
  <si>
    <t>Deutsche Bank AG</t>
  </si>
  <si>
    <t>DE000DB9VCB4</t>
  </si>
  <si>
    <t>https://www.finanzen.net/anleihen/db9vcb-deutsche-bank-anleihe</t>
  </si>
  <si>
    <t>TK Elevator Holdco GmbH</t>
  </si>
  <si>
    <t>XS2198191962</t>
  </si>
  <si>
    <t>https://www.finanzen.net/anleihen/a3e45c-tk-elevator-holdco-anleihe</t>
  </si>
  <si>
    <t>Bermudas</t>
  </si>
  <si>
    <t>AXA S.A.</t>
  </si>
  <si>
    <t>HSBC Holdings PLC</t>
  </si>
  <si>
    <t>gettex</t>
  </si>
  <si>
    <t>Wir sind diese Woche noch nicht bereit gewesen in Anleihen, die nicht in Euro sind, zu investieren und haben stattdessen weitere in Euro emittierte Anleihen gekauft.</t>
  </si>
  <si>
    <t>Kaiman Inseln</t>
  </si>
  <si>
    <t>Vedanta Resources Ltd.</t>
  </si>
  <si>
    <t>USG9328DAP53</t>
  </si>
  <si>
    <t>https://www.finanzen.net/anleihen/a19mtw-vedanta-resources-anleihe</t>
  </si>
  <si>
    <t>LATAM Airlines Group S.A./Professional Airlines Services Inc.</t>
  </si>
  <si>
    <t>Chile</t>
  </si>
  <si>
    <t>USP6S60VAA60</t>
  </si>
  <si>
    <t>https://www.finanzen.net/anleihen/a3lak8-latam-airlines-group-professional-airlines-services-anleihe</t>
  </si>
  <si>
    <t>Brasilien, Föderative Republik</t>
  </si>
  <si>
    <t>Brasilien</t>
  </si>
  <si>
    <t>US105756AL40</t>
  </si>
  <si>
    <t>https://www.finanzen.net/anleihen/453122-brasilien-anleihe</t>
  </si>
  <si>
    <t>Bodysmart Finance Ltd.</t>
  </si>
  <si>
    <t>GB00BMQ56V55</t>
  </si>
  <si>
    <t>https://www.finanzen.net/anleihen/a28xhu-bodysmart-finance-anleihe</t>
  </si>
  <si>
    <t>Venezuela, Bolivarische Republik</t>
  </si>
  <si>
    <t>Venezuela</t>
  </si>
  <si>
    <t>Türkei, Republik</t>
  </si>
  <si>
    <t>Türkei</t>
  </si>
  <si>
    <t>US900123AL40</t>
  </si>
  <si>
    <t>https://www.finanzen.net/anleihen/451038-tuerkei-anleihe</t>
  </si>
  <si>
    <t>Tutor Perini Corp.</t>
  </si>
  <si>
    <t>USU87300AD85</t>
  </si>
  <si>
    <t>https://www.finanzen.net/anleihen/a3lxr4-tutor-perini-anleihe</t>
  </si>
  <si>
    <t>CSC Holdings LLC</t>
  </si>
  <si>
    <t>ZKB</t>
  </si>
  <si>
    <t>US126307BN62</t>
  </si>
  <si>
    <t>https://www.finanzen.net/anleihen/a3lttf-csc-holdings-llc-anleihe</t>
  </si>
  <si>
    <t>Dish Network Corp.</t>
  </si>
  <si>
    <t>USP17625AE71</t>
  </si>
  <si>
    <t>https://www.finanzen.net/anleihen/a1gwk1-venezuela-bolivarische-republik-anleihe</t>
  </si>
  <si>
    <t>USU25507AA97</t>
  </si>
  <si>
    <t>https://www.finanzen.net/anleihen/a3lb9p-dish-network-anleihe</t>
  </si>
  <si>
    <t>Vereinigte Mexikanische Staaten</t>
  </si>
  <si>
    <t>Mexiko</t>
  </si>
  <si>
    <t>US593048AX90</t>
  </si>
  <si>
    <t>https://www.finanzen.net/anleihen/132510-vereinigte-mexikanische-staaten-anleihe</t>
  </si>
  <si>
    <t>Navient Corp.</t>
  </si>
  <si>
    <t>US63938CAP32</t>
  </si>
  <si>
    <t>https://www.finanzen.net/anleihen/a3lqq1-navient-anleihe</t>
  </si>
  <si>
    <t>Rakuten Group Inc.</t>
  </si>
  <si>
    <t>Japan</t>
  </si>
  <si>
    <t>USJ64264AG96</t>
  </si>
  <si>
    <t>https://www.finanzen.net/anleihen/a3lt8v-rakuten-group-anleihe</t>
  </si>
  <si>
    <t>Bank of Georgia JSC</t>
  </si>
  <si>
    <t>Georgien</t>
  </si>
  <si>
    <t>XS1970667769</t>
  </si>
  <si>
    <t>https://www.finanzen.net/anleihen/a2rz0r-bank-of-georgia-jsc-anleihe</t>
  </si>
  <si>
    <t>Raptor Capital International PLC</t>
  </si>
  <si>
    <t>GB00BMFC5S75</t>
  </si>
  <si>
    <t>https://www.finanzen.net/anleihen/a3kzwd-raptor-capital-international-anleihe</t>
  </si>
  <si>
    <t>Wanda Properties Global Co. Ltd.</t>
  </si>
  <si>
    <t>Virgin Island (Brit.)</t>
  </si>
  <si>
    <t>XS2586129574</t>
  </si>
  <si>
    <t>https://www.finanzen.net/anleihen/a3ld7l-wanda-properties-global-anleihe</t>
  </si>
  <si>
    <t>TBC Bank JSC</t>
  </si>
  <si>
    <t>XS1843433126</t>
  </si>
  <si>
    <t>https://www.finanzen.net/anleihen/a2r4ml-tbc-bank-jsc-anleihe</t>
  </si>
  <si>
    <t>MetLife Inc.</t>
  </si>
  <si>
    <t>US59156RAV06</t>
  </si>
  <si>
    <t>https://www.finanzen.net/anleihen/a1ajyp-metlife-anleihe</t>
  </si>
  <si>
    <t>Staples Inc.</t>
  </si>
  <si>
    <t>USU85440AE22</t>
  </si>
  <si>
    <t>https://www.finanzen.net/anleihen/a2r0w1-staples-anleihe</t>
  </si>
  <si>
    <t>Navios South American Logistics Inc./Navios Logistics Finance US Inc.</t>
  </si>
  <si>
    <t>Marshall Inseln</t>
  </si>
  <si>
    <t>USY62276AC73</t>
  </si>
  <si>
    <t>https://www.finanzen.net/anleihen/a28zqm-navios-south-american-logistics-navios-logistics-finance-us-anleihe</t>
  </si>
  <si>
    <t>Ghana, Republic of</t>
  </si>
  <si>
    <t>Ghana</t>
  </si>
  <si>
    <t>Istanbul Metropolitan Municipality</t>
  </si>
  <si>
    <t>XS2468421248</t>
  </si>
  <si>
    <t>https://www.finanzen.net/anleihen/a3k399-istanbul-metropolitan-municipality-anleihe</t>
  </si>
  <si>
    <t>QNB Finansbank AS [Finansbank]</t>
  </si>
  <si>
    <t>XS2678233243</t>
  </si>
  <si>
    <t>https://www.finanzen.net/anleihen/a3lq4g-qnb-finansbank-as-finansbank-anleihe</t>
  </si>
  <si>
    <t>Philippinen, Republik der</t>
  </si>
  <si>
    <t>Philippinen</t>
  </si>
  <si>
    <t>US718286AP29</t>
  </si>
  <si>
    <t>https://www.finanzen.net/anleihen/107278-philippinen-anleihe</t>
  </si>
  <si>
    <t>Vector Group Ltd.</t>
  </si>
  <si>
    <t>USU92279AL90</t>
  </si>
  <si>
    <t>https://www.finanzen.net/anleihen/a2rtw3-vector-group-anleihe</t>
  </si>
  <si>
    <t>Kolumbien, Republik</t>
  </si>
  <si>
    <t>Kolumbien</t>
  </si>
  <si>
    <t>US195325BB02</t>
  </si>
  <si>
    <t>https://www.finanzen.net/anleihen/589381-kolumbien-anleihe</t>
  </si>
  <si>
    <t>Tullow Oil PLC</t>
  </si>
  <si>
    <t>USG91237AB60</t>
  </si>
  <si>
    <t>https://www.finanzen.net/anleihen/a3kq3g-tullow-oil-anleihe</t>
  </si>
  <si>
    <t>AMC Networks Inc.</t>
  </si>
  <si>
    <t>USU02400AB28</t>
  </si>
  <si>
    <t>https://www.finanzen.net/anleihen/a3lwwl-amc-networks-anleihe</t>
  </si>
  <si>
    <t>Carvana Co.</t>
  </si>
  <si>
    <t>USU1468GAG92</t>
  </si>
  <si>
    <t>https://www.finanzen.net/anleihen/a3k49j-carvana-anleihe</t>
  </si>
  <si>
    <t>S1Series DAC</t>
  </si>
  <si>
    <t>XS2585434835</t>
  </si>
  <si>
    <t>https://www.finanzen.net/anleihen/a3lhn2-s1series-dac-anleihe</t>
  </si>
  <si>
    <t>HSBC Capital Funding [Dollar 1] L.P.</t>
  </si>
  <si>
    <t>USG4637HAB45</t>
  </si>
  <si>
    <t>https://www.finanzen.net/anleihen/109169-hsbc-capital-funding-dollar-1-anleihe</t>
  </si>
  <si>
    <t>Turkiye Vakiflar Bankasi T.A.O.</t>
  </si>
  <si>
    <t>XS2793703500</t>
  </si>
  <si>
    <t>https://www.finanzen.net/anleihen/a3lxsn-turkiye-vakiflar-bankasi-tao-anleihe</t>
  </si>
  <si>
    <t>Aston Martin Capital Holdings Ltd.</t>
  </si>
  <si>
    <t>Petróleos Mexicanos</t>
  </si>
  <si>
    <t>US71654QDP46</t>
  </si>
  <si>
    <t>https://www.finanzen.net/anleihen/a3lppt-petroleos-mexicanos-anleihe</t>
  </si>
  <si>
    <t>Société Générale S.A.</t>
  </si>
  <si>
    <t>Kanada</t>
  </si>
  <si>
    <t>USF8600KAA46</t>
  </si>
  <si>
    <t>https://www.finanzen.net/anleihen/a3lqzx-societe-generale-anleihe</t>
  </si>
  <si>
    <t>USG05891AL32</t>
  </si>
  <si>
    <t>https://www.finanzen.net/anleihen/a3lwc8-aston-martin-capital-holdings-anleihe</t>
  </si>
  <si>
    <t>General Shopping Finance Ltd.</t>
  </si>
  <si>
    <t>USG3812BAB65</t>
  </si>
  <si>
    <t>https://www.finanzen.net/anleihen/a1a3kp-general-shopping-finance-anleihe</t>
  </si>
  <si>
    <t>YPF Energia Electrica S.A.</t>
  </si>
  <si>
    <t>Argentinien</t>
  </si>
  <si>
    <t>USP9897PAB06</t>
  </si>
  <si>
    <t>https://www.finanzen.net/anleihen/a2r5l8-ypf-energia-electrica-anleihe</t>
  </si>
  <si>
    <t>Ford Motor Co.</t>
  </si>
  <si>
    <t>Altria Group Inc.</t>
  </si>
  <si>
    <t>US02209SAE37</t>
  </si>
  <si>
    <t>https://www.finanzen.net/anleihen/a0t3k4-altria-group-anleihe</t>
  </si>
  <si>
    <t>Maldives Sukuk Issuance Ltd.</t>
  </si>
  <si>
    <t>USG5852MAA02</t>
  </si>
  <si>
    <t>https://www.finanzen.net/anleihen/a3kpcb-maldives-sukuk-issuance-anleihe</t>
  </si>
  <si>
    <t>Ambipar Lux S.à r.l.</t>
  </si>
  <si>
    <t>USL0183EAA30</t>
  </si>
  <si>
    <t>https://www.finanzen.net/anleihen/a3lt82-ambipar-lux-sa-rl-anleihe</t>
  </si>
  <si>
    <t>Hazine Müstesarligi Varlik Kiralama Anonim Sirketi</t>
  </si>
  <si>
    <t>XS2523929474</t>
  </si>
  <si>
    <t>https://www.finanzen.net/anleihen/a3laeb-hazine-muestesarligi-varlik-kiralama-anonim-sirketi-anleihe</t>
  </si>
  <si>
    <t>Linklease Finance PLC</t>
  </si>
  <si>
    <t>GB00BPLKP206</t>
  </si>
  <si>
    <t>https://www.finanzen.net/anleihen/a3lcgn-linklease-finance-anleihe</t>
  </si>
  <si>
    <t>3R Lux S.à.r.l.</t>
  </si>
  <si>
    <t>USL9R621AA97</t>
  </si>
  <si>
    <t>https://www.finanzen.net/anleihen/a3lt9n-3r-lux-sarl-anleihe</t>
  </si>
  <si>
    <t>Rio Oil Finance Trust</t>
  </si>
  <si>
    <t>USU76673AB55</t>
  </si>
  <si>
    <t>https://www.finanzen.net/anleihen/a1zsr6-rio-oil-finance-trust-anleihe</t>
  </si>
  <si>
    <t>Katar, Staat</t>
  </si>
  <si>
    <t>Qatar</t>
  </si>
  <si>
    <t>XS0113419690</t>
  </si>
  <si>
    <t>https://www.finanzen.net/anleihen/614490-katar-anleihe</t>
  </si>
  <si>
    <t>Biz Finance PLC</t>
  </si>
  <si>
    <t>XS1261825621</t>
  </si>
  <si>
    <t>https://www.finanzen.net/anleihen/a1z4bn-biz-finance-anleihe</t>
  </si>
  <si>
    <t>Hilong Holding Ltd.</t>
  </si>
  <si>
    <t>XS2344083139</t>
  </si>
  <si>
    <t>https://www.finanzen.net/anleihen/a3krsq-hilong-holding-anleihe</t>
  </si>
  <si>
    <t>Ittihad International Investment LLC</t>
  </si>
  <si>
    <t>Vereinigte Arabische Emirate</t>
  </si>
  <si>
    <t>XS2653858691</t>
  </si>
  <si>
    <t>https://www.finanzen.net/anleihen/a3lqtc-ittihad-international-investment-llc-anleihe</t>
  </si>
  <si>
    <t>Kenia, Republik</t>
  </si>
  <si>
    <t>Kenia</t>
  </si>
  <si>
    <t>Turkiye Sinai Kalkinma Bankasi A.S.</t>
  </si>
  <si>
    <t>XS2778918834</t>
  </si>
  <si>
    <t>https://www.finanzen.net/anleihen/a3lwdp-turkiye-sinai-kalkinma-bankasi-as-anleihe</t>
  </si>
  <si>
    <t>Yapi Ve Kredi Bankasi AS</t>
  </si>
  <si>
    <t>XS2796491681</t>
  </si>
  <si>
    <t>https://www.finanzen.net/anleihen/a3lwt4-yapi-ve-kredi-bankasi-as-anleihe</t>
  </si>
  <si>
    <t>Indiabulls Housing Finance Ltd.</t>
  </si>
  <si>
    <t>Indien</t>
  </si>
  <si>
    <t>XS2793572053</t>
  </si>
  <si>
    <t>https://www.finanzen.net/anleihen/a3lwx7-indiabulls-housing-finance-anleihe</t>
  </si>
  <si>
    <t>Barclays PLC</t>
  </si>
  <si>
    <t>US06738ECN31</t>
  </si>
  <si>
    <t>https://www.finanzen.net/anleihen/a3lrby-barclays-anleihe</t>
  </si>
  <si>
    <t>British Telecommunications PLC</t>
  </si>
  <si>
    <t>US111021AE12</t>
  </si>
  <si>
    <t>https://www.finanzen.net/anleihen/572874-british-telecommunications-anleihe</t>
  </si>
  <si>
    <t>US345370CX67</t>
  </si>
  <si>
    <t>https://www.finanzen.net/anleihen/a28wex-ford-motor-anleihe</t>
  </si>
  <si>
    <t>Shelf Drilling Holdings Ltd.</t>
  </si>
  <si>
    <t>USG23618AG91</t>
  </si>
  <si>
    <t>https://www.finanzen.net/anleihen/a3lpfp-shelf-drilling-holdings-anleihe</t>
  </si>
  <si>
    <t>Buenos Aires, Province of...</t>
  </si>
  <si>
    <t>XS0290125391</t>
  </si>
  <si>
    <t>https://www.finanzen.net/anleihen/a0ntde-buenos-aires-province-of-anleihe</t>
  </si>
  <si>
    <t>Binghatti Sukuk SPC Ltd.</t>
  </si>
  <si>
    <t>XS2753304349</t>
  </si>
  <si>
    <t>https://www.finanzen.net/anleihen/a3lvb0-binghatti-sukuk-spc-anleihe</t>
  </si>
  <si>
    <t>The Goodyear Tire &amp; Rubber Co.</t>
  </si>
  <si>
    <t>US382550BH30</t>
  </si>
  <si>
    <t>https://www.finanzen.net/anleihen/a28xne-the-goodyear-tire-rubber-anleihe</t>
  </si>
  <si>
    <t>WE Soda Investments Holding PLC</t>
  </si>
  <si>
    <t>USG95448AA75</t>
  </si>
  <si>
    <t>https://www.finanzen.net/anleihen/a3lpek-we-soda-investments-holding-anleihe</t>
  </si>
  <si>
    <t>El Salvador, Republik</t>
  </si>
  <si>
    <t>El Salvador</t>
  </si>
  <si>
    <t>USP01012CC84</t>
  </si>
  <si>
    <t>https://www.finanzen.net/anleihen/a28zv0-el-salvador-anleihe</t>
  </si>
  <si>
    <t>Compañía General de Combustibles S.A.</t>
  </si>
  <si>
    <t>USP3063DAB84</t>
  </si>
  <si>
    <t>https://www.finanzen.net/anleihen/a282p3-companía-general-de-combustibles-anleihe</t>
  </si>
  <si>
    <t>YPF S.A.</t>
  </si>
  <si>
    <t>USP989MJBU46</t>
  </si>
  <si>
    <t>https://www.finanzen.net/anleihen/a3ltdp-ypf-anleihe</t>
  </si>
  <si>
    <t>ABM Investama Tbk PT</t>
  </si>
  <si>
    <t>Indonesien</t>
  </si>
  <si>
    <t>USY708CHAB61</t>
  </si>
  <si>
    <t>https://www.finanzen.net/anleihen/a3kutg-abm-investama-tbk-pt-anleihe</t>
  </si>
  <si>
    <t>VTB Eurasia DAC</t>
  </si>
  <si>
    <t>XS0810596832</t>
  </si>
  <si>
    <t>https://www.finanzen.net/anleihen/a1g73d-vtb-eurasia-dac-anleihe</t>
  </si>
  <si>
    <t>Kamerun, Republik</t>
  </si>
  <si>
    <t>Kamerun</t>
  </si>
  <si>
    <t>XS1313779081</t>
  </si>
  <si>
    <t>https://www.finanzen.net/anleihen/a18uyx-kamerun-anleihe</t>
  </si>
  <si>
    <t>Limak Iskenderun Uluslararasi Liman Isletmeciligi A.S.</t>
  </si>
  <si>
    <t>XS2339789732</t>
  </si>
  <si>
    <t>https://www.finanzen.net/anleihen/a3kq46-limak-iskenderun-uluslararasi-liman-isletmeciligi-as-anleihe</t>
  </si>
  <si>
    <t>Türkiye Cumhuriyeti Ziraat Bankasi A.S.</t>
  </si>
  <si>
    <t>XS2581381634</t>
  </si>
  <si>
    <t>https://www.finanzen.net/anleihen/a3ldqb-tuerkiye-cumhuriyeti-ziraat-bankasi-as-anleihe</t>
  </si>
  <si>
    <t>Arabian Centres Co.</t>
  </si>
  <si>
    <t>Saudi Arabien</t>
  </si>
  <si>
    <t>XS2756519232</t>
  </si>
  <si>
    <t>https://www.finanzen.net/anleihen/a3lvrn-arabian-centres-anleihe</t>
  </si>
  <si>
    <t>The Dow Chemical Co.</t>
  </si>
  <si>
    <t>US260543BY86</t>
  </si>
  <si>
    <t>https://www.finanzen.net/anleihen/a0t9tq-the-dow-chemical-anleihe</t>
  </si>
  <si>
    <t>Panama, Republik</t>
  </si>
  <si>
    <t>US698299AK07</t>
  </si>
  <si>
    <t>https://www.finanzen.net/anleihen/296781-panama-anleihe</t>
  </si>
  <si>
    <t>Grupo IDESA S.A. de C.V.</t>
  </si>
  <si>
    <t>USP4954WAB65</t>
  </si>
  <si>
    <t>https://www.finanzen.net/anleihen/a281ua-grupo-idesa-de-cv-anleihe</t>
  </si>
  <si>
    <t>Amerigas Partners L.P./Amerigas Finance Corp.</t>
  </si>
  <si>
    <t>USU03030AB65</t>
  </si>
  <si>
    <t>https://www.finanzen.net/anleihen/a3ljgf-amerigas-partners-amerigas-finance-anleihe</t>
  </si>
  <si>
    <t>Bath &amp; Body Works Inc.</t>
  </si>
  <si>
    <t>USU51407AD34</t>
  </si>
  <si>
    <t>https://www.finanzen.net/anleihen/a28yg8-bath-body-works-anleihe</t>
  </si>
  <si>
    <t>Angola, Republik</t>
  </si>
  <si>
    <t>XS1819680528</t>
  </si>
  <si>
    <t>https://www.finanzen.net/anleihen/a190ks-angola-anleihe</t>
  </si>
  <si>
    <t>Türkiye Ihracat Kredi Bankasi A.S.</t>
  </si>
  <si>
    <t>XS2395576437</t>
  </si>
  <si>
    <t>https://www.finanzen.net/anleihen/a3ldpq-tuerkiye-ihracat-kredi-bankasi-as-anleihe</t>
  </si>
  <si>
    <t>Turk Ekonomi Bankasi AS</t>
  </si>
  <si>
    <t>XS2744911830</t>
  </si>
  <si>
    <t>https://www.finanzen.net/anleihen/a3lta1-turk-ekonomi-bankasi-as-anleihe</t>
  </si>
  <si>
    <t>Albaraka Sukuk Ltd.</t>
  </si>
  <si>
    <t>XS1301525207</t>
  </si>
  <si>
    <t>https://www.finanzen.net/anleihen/a18vey-albaraka-sukuk-anleihe</t>
  </si>
  <si>
    <t>Akbank T.A.S.</t>
  </si>
  <si>
    <t>XS2783589844</t>
  </si>
  <si>
    <t>https://www.finanzen.net/anleihen/a3lvzt-akbank-tas-anleihe</t>
  </si>
  <si>
    <t>Transocean Inc.</t>
  </si>
  <si>
    <t>US893830AZ29</t>
  </si>
  <si>
    <t>https://www.finanzen.net/anleihen/a1gx00-transocean-anleihe</t>
  </si>
  <si>
    <t>Ford Holdings Inc.</t>
  </si>
  <si>
    <t>US345277AE74</t>
  </si>
  <si>
    <t>https://www.finanzen.net/anleihen/a0gxuc-ford-holdings-anleihe</t>
  </si>
  <si>
    <t>Genel Energy Finance 4 Ltd.</t>
  </si>
  <si>
    <t>NO0010894330</t>
  </si>
  <si>
    <t>https://www.finanzen.net/anleihen/a28289-genel-energy-finance-4-anleihe</t>
  </si>
  <si>
    <t>BNP Paribas S.A.</t>
  </si>
  <si>
    <t>Cemig Geraçao e Transmissao S.A.</t>
  </si>
  <si>
    <t>Credit Acceptance Corp. [Mich.]</t>
  </si>
  <si>
    <t>US225310AQ40</t>
  </si>
  <si>
    <t>https://www.finanzen.net/anleihen/a3lsed-credit-acceptance-mich-anleihe</t>
  </si>
  <si>
    <t>Jamaica, Government of ...</t>
  </si>
  <si>
    <t>Jamaika</t>
  </si>
  <si>
    <t>US470160AT99</t>
  </si>
  <si>
    <t>https://www.finanzen.net/anleihen/a0gg96-jamaica-government-of-anleihe</t>
  </si>
  <si>
    <t>Piedmont Operating Partnership L.P.</t>
  </si>
  <si>
    <t>US720198AG56</t>
  </si>
  <si>
    <t>https://www.finanzen.net/anleihen/a3llct-piedmont-operating-partnership-anleihe</t>
  </si>
  <si>
    <t>goeasy Ltd.</t>
  </si>
  <si>
    <t>USC39555AE44</t>
  </si>
  <si>
    <t>https://www.finanzen.net/anleihen/a3lrb6-goeasy-anleihe</t>
  </si>
  <si>
    <t>Vedanta Resources Finance II PLC</t>
  </si>
  <si>
    <t>USG9T27HAA24</t>
  </si>
  <si>
    <t>https://www.finanzen.net/anleihen/a2r029-vedanta-resources-finance-ii-anleihe</t>
  </si>
  <si>
    <t>USP2205LAC92</t>
  </si>
  <si>
    <t>https://www.finanzen.net/anleihen/a19tes-cemig-geracao-e-transmissao-anleihe</t>
  </si>
  <si>
    <t>Bausch Health Americas Inc.</t>
  </si>
  <si>
    <t>Pegasus Hava Tasimaciligi A.S.</t>
  </si>
  <si>
    <t>XS2337336445</t>
  </si>
  <si>
    <t>https://www.finanzen.net/anleihen/a3kqhz-pegasus-hava-tasimaciligi-as-anleihe</t>
  </si>
  <si>
    <t>Nigeria, Bundesrepublik</t>
  </si>
  <si>
    <t>Nigeria</t>
  </si>
  <si>
    <t>Turkiye Is Bankasi A.S.</t>
  </si>
  <si>
    <t>XS1623796072</t>
  </si>
  <si>
    <t>https://www.finanzen.net/anleihen/a19kmx-turkiye-is-bankasi-as-anleihe</t>
  </si>
  <si>
    <t>Access Bank PLC</t>
  </si>
  <si>
    <t>XS2393246819</t>
  </si>
  <si>
    <t>https://www.finanzen.net/anleihen/a3kw8k-access-bank-anleihe</t>
  </si>
  <si>
    <t>Cemex S.A.B. de C.V.</t>
  </si>
  <si>
    <t>Electricité de France S.A. (E.D.F.)</t>
  </si>
  <si>
    <t>Pan American Energy S.L. [Argentine Branch]</t>
  </si>
  <si>
    <t>USE7S78BAB82</t>
  </si>
  <si>
    <t>https://www.finanzen.net/anleihen/a3kqkz-pan-american-energy-sl-argentine-branch-anleihe</t>
  </si>
  <si>
    <t>USF2941JAA81</t>
  </si>
  <si>
    <t>https://www.finanzen.net/anleihen/a3ljy4-electricite-de-france-edf-anleihe</t>
  </si>
  <si>
    <t>Viking Cruises Ltd.</t>
  </si>
  <si>
    <t>USG9363BAJ91</t>
  </si>
  <si>
    <t>https://www.finanzen.net/anleihen/a3lkmz-viking-cruises-anleihe</t>
  </si>
  <si>
    <t>USP2253TJT71</t>
  </si>
  <si>
    <t>https://www.finanzen.net/anleihen/a3lfj5-cemexb-de-cv-anleihe</t>
  </si>
  <si>
    <t>Pampa Energia S.A.</t>
  </si>
  <si>
    <t>USP7464EAB22</t>
  </si>
  <si>
    <t>https://www.finanzen.net/anleihen/a2r4yl-pampa-energia-anleihe</t>
  </si>
  <si>
    <t>Nabors Industries Inc.</t>
  </si>
  <si>
    <t>USU6295YAN32</t>
  </si>
  <si>
    <t>https://www.finanzen.net/anleihen/a3lrbt-nabors-industries-anleihe</t>
  </si>
  <si>
    <t>AEGEA Finance S.a.r.l.</t>
  </si>
  <si>
    <t>Banco do Brasil S.A.</t>
  </si>
  <si>
    <t>OneMain Finance Corp.</t>
  </si>
  <si>
    <t>US682695AA94</t>
  </si>
  <si>
    <t>https://www.finanzen.net/anleihen/a3lkjs-onemain-finance-anleihe</t>
  </si>
  <si>
    <t>Bausch Health Companies Inc.</t>
  </si>
  <si>
    <t>USC94143AM30</t>
  </si>
  <si>
    <t>https://www.finanzen.net/anleihen/a19tlk-bausch-health-companies-anleihe</t>
  </si>
  <si>
    <t>Ithaca Energy [North Sea] PLC</t>
  </si>
  <si>
    <t>USG49774AB18</t>
  </si>
  <si>
    <t>https://www.finanzen.net/anleihen/a3kukd-ithaca-energy-north-sea-anleihe</t>
  </si>
  <si>
    <t>USL01343AB52</t>
  </si>
  <si>
    <t>https://www.finanzen.net/anleihen/a3lpd3-aegea-finance-sarl-anleihe</t>
  </si>
  <si>
    <t>USP3772WAF97</t>
  </si>
  <si>
    <t>https://www.finanzen.net/anleihen/a1zkxj-banco-do-brasil-anleihe</t>
  </si>
  <si>
    <t>Bonitron DAC</t>
  </si>
  <si>
    <t>XS2243344434</t>
  </si>
  <si>
    <t>https://www.finanzen.net/anleihen/a28339-bonitron-dac-anleihe</t>
  </si>
  <si>
    <t>Zorlu Yenilenebilir Enerji A.S.</t>
  </si>
  <si>
    <t>XS2346915890</t>
  </si>
  <si>
    <t>https://www.finanzen.net/anleihen/a3kr0c-zorlu-yenilenebilir-enerji-as-anleihe</t>
  </si>
  <si>
    <t>Sambia, Republik</t>
  </si>
  <si>
    <t>Sambia</t>
  </si>
  <si>
    <t>XS1267081575</t>
  </si>
  <si>
    <t>https://www.finanzen.net/anleihen/a1z4tr-sambia-anleihe</t>
  </si>
  <si>
    <t>Bahamas, Commonwealth of ...</t>
  </si>
  <si>
    <t>Bahamas</t>
  </si>
  <si>
    <t>USP06518AH06</t>
  </si>
  <si>
    <t>https://www.finanzen.net/anleihen/a283tw-bahamas-commonwealth-of-anleihe</t>
  </si>
  <si>
    <t>Tierra Del Fuego</t>
  </si>
  <si>
    <t>USP91528AA03</t>
  </si>
  <si>
    <t>https://www.finanzen.net/anleihen/a19f7k-tierra-del-fuego-anleihe</t>
  </si>
  <si>
    <t>XS1968714623</t>
  </si>
  <si>
    <t>https://www.finanzen.net/anleihen/a2rzt9-ghana-republic-of-anleihe</t>
  </si>
  <si>
    <t>Minerva Luxembourg S.A.</t>
  </si>
  <si>
    <t>Brandywine Operating Partnership L.P.</t>
  </si>
  <si>
    <t>US105340AS20</t>
  </si>
  <si>
    <t>https://www.finanzen.net/anleihen/a3lw82-brandywine-operating-partnership-anleihe</t>
  </si>
  <si>
    <t>CSN Resources S.A.</t>
  </si>
  <si>
    <t>US12644VAF58</t>
  </si>
  <si>
    <t>https://www.finanzen.net/anleihen/a3lr6v-csn-resources-anleihe</t>
  </si>
  <si>
    <t>Ecopetrol S.A.</t>
  </si>
  <si>
    <t>US279158AS81</t>
  </si>
  <si>
    <t>https://www.finanzen.net/anleihen/a3lc4d-ecopetrol-anleihe</t>
  </si>
  <si>
    <t>International Bank for Reconstruction and Development</t>
  </si>
  <si>
    <t>Weltbank</t>
  </si>
  <si>
    <t>US459056JQ10</t>
  </si>
  <si>
    <t>https://www.finanzen.net/anleihen/488367-international-bank-for-reconstruction-and-development-anleihe</t>
  </si>
  <si>
    <t>Occidental Petroleum Corp.</t>
  </si>
  <si>
    <t>Virginia Electric &amp; Power Co.</t>
  </si>
  <si>
    <t>US927804FG41</t>
  </si>
  <si>
    <t>https://www.finanzen.net/anleihen/a0t3gv-virginia-electric-power-anleihe</t>
  </si>
  <si>
    <t>Xerox Holdings Corp.</t>
  </si>
  <si>
    <t>Credivalores - Crediservicios S.A.</t>
  </si>
  <si>
    <t>USP32086AR44</t>
  </si>
  <si>
    <t>https://www.finanzen.net/anleihen/a28td4-credivalores-crediservicios-anleihe</t>
  </si>
  <si>
    <t>Telecommunications Services of Trinidad and Tobago Ltd.</t>
  </si>
  <si>
    <t>Trinidad Tobago</t>
  </si>
  <si>
    <t>USP90301AA32</t>
  </si>
  <si>
    <t>https://www.finanzen.net/anleihen/a2r9g2-telecommunications-services-of-trinidad-and-tobago-anleihe</t>
  </si>
  <si>
    <t>USU98401AE97</t>
  </si>
  <si>
    <t>https://www.finanzen.net/anleihen/a3lv8v-xerox-holdings-anleihe</t>
  </si>
  <si>
    <t>Pakistan, Islamische Republik</t>
  </si>
  <si>
    <t>Pakistan</t>
  </si>
  <si>
    <t>XS2322321964</t>
  </si>
  <si>
    <t>https://www.finanzen.net/anleihen/a3kpc0-pakistan-islamische-republik-anleihe</t>
  </si>
  <si>
    <t>Abercrombie &amp; Fitch Management Co.</t>
  </si>
  <si>
    <t>US003000AA44</t>
  </si>
  <si>
    <t>https://www.finanzen.net/anleihen/a28y29-abercrombie-fitch-management-anleihe</t>
  </si>
  <si>
    <t>Albion Financing 2 S.a r.l.</t>
  </si>
  <si>
    <t>Banco de Credito e Inversiones [BCI]</t>
  </si>
  <si>
    <t>US05890PAC05</t>
  </si>
  <si>
    <t>https://www.finanzen.net/anleihen/a3lued-banco-de-credito-e-inversiones-bci-anleihe</t>
  </si>
  <si>
    <t>Peru, Republik</t>
  </si>
  <si>
    <t>Peru</t>
  </si>
  <si>
    <t>US715638AP79</t>
  </si>
  <si>
    <t>https://www.finanzen.net/anleihen/816742-peru-anleihe</t>
  </si>
  <si>
    <t>Petrobras Global Finance B.V.</t>
  </si>
  <si>
    <t>US71647NAQ25</t>
  </si>
  <si>
    <t>https://www.finanzen.net/anleihen/a1810h-petrobras-global-finance-bv-anleihe</t>
  </si>
  <si>
    <t>Sprint Capital Corp.</t>
  </si>
  <si>
    <t>US852060AT99</t>
  </si>
  <si>
    <t>https://www.finanzen.net/anleihen/860054-sprint-capital-anleihe</t>
  </si>
  <si>
    <t>Valero Energy Corporation</t>
  </si>
  <si>
    <t>US91913YAB65</t>
  </si>
  <si>
    <t>https://www.finanzen.net/anleihen/720672-valero-energy-corporation-anleihe</t>
  </si>
  <si>
    <t>Bombardier Inc.</t>
  </si>
  <si>
    <t>USC10602BM88</t>
  </si>
  <si>
    <t>https://www.finanzen.net/anleihen/a3lqxk-bombardier-anleihe</t>
  </si>
  <si>
    <t>USL0R67LAA95</t>
  </si>
  <si>
    <t>https://www.finanzen.net/anleihen/a3kx14-albion-financing-2-sa-rl-anleihe</t>
  </si>
  <si>
    <t>Civitas Resources Inc.</t>
  </si>
  <si>
    <t>USU1638HAB34</t>
  </si>
  <si>
    <t>https://www.finanzen.net/anleihen/a3lkl8-civitas-resources-anleihe</t>
  </si>
  <si>
    <t>New Fortress Energy Inc.</t>
  </si>
  <si>
    <t>USU6422PAD07</t>
  </si>
  <si>
    <t>https://www.finanzen.net/anleihen/a3lxm1-new-fortress-energy-anleihe</t>
  </si>
  <si>
    <t>Sasol Financing USA LLC</t>
  </si>
  <si>
    <t>USU8035UAC63</t>
  </si>
  <si>
    <t>https://www.finanzen.net/anleihen/a3lg9l-sasol-financing-usa-llc-anleihe</t>
  </si>
  <si>
    <t>Ecobank Transnational Inc.</t>
  </si>
  <si>
    <t>Togo</t>
  </si>
  <si>
    <t>XS2348420303</t>
  </si>
  <si>
    <t>https://www.finanzen.net/anleihen/a3ksp9-ecobank-transnational-anleihe</t>
  </si>
  <si>
    <t>Oi Movel S.A.</t>
  </si>
  <si>
    <t>XS2370808318</t>
  </si>
  <si>
    <t>https://www.finanzen.net/anleihen/a3kuk9-oi-movel-anleihe</t>
  </si>
  <si>
    <t>Albertson's Inc.</t>
  </si>
  <si>
    <t>US013104AH74</t>
  </si>
  <si>
    <t>https://www.finanzen.net/anleihen/566703-albertsons-anleihe</t>
  </si>
  <si>
    <t>Fifth Third Bancorp</t>
  </si>
  <si>
    <t>US316773CM07</t>
  </si>
  <si>
    <t>https://www.finanzen.net/anleihen/a1hk3y-fifth-third-bancorp-anleihe</t>
  </si>
  <si>
    <t>The Bank of Nova Scotia</t>
  </si>
  <si>
    <t>Dominikanische Republik</t>
  </si>
  <si>
    <t>USP3579EAG28</t>
  </si>
  <si>
    <t>https://www.finanzen.net/anleihen/a0gpwm-dominikanische-republik-anleihe</t>
  </si>
  <si>
    <t>FBN Finance Co. B.V.</t>
  </si>
  <si>
    <t>XS2243733685</t>
  </si>
  <si>
    <t>https://www.finanzen.net/anleihen/a284a8-fbn-finance-bv-anleihe</t>
  </si>
  <si>
    <t>Odea Bank A.S.</t>
  </si>
  <si>
    <t>XS1655085485</t>
  </si>
  <si>
    <t>https://www.finanzen.net/anleihen/a19mbt-odea-bank-as-anleihe</t>
  </si>
  <si>
    <t>US054536AA57</t>
  </si>
  <si>
    <t>https://www.finanzen.net/anleihen/600389-axa-anleihe</t>
  </si>
  <si>
    <t>Hunt Oil Co. of Peru LLC Sucursal del Peru</t>
  </si>
  <si>
    <t>USP5300PAC79</t>
  </si>
  <si>
    <t>https://www.finanzen.net/anleihen/a3lnqb-hunt-oil-of-peru-llc-sucursal-del-peru-anleihe</t>
  </si>
  <si>
    <t>The Allstate Corp.</t>
  </si>
  <si>
    <t>US020002BB69</t>
  </si>
  <si>
    <t>https://www.finanzen.net/anleihen/a1hpuj-the-allstate-anleihe</t>
  </si>
  <si>
    <t>Braskem Netherlands Finance B.V.</t>
  </si>
  <si>
    <t>Mercedes-Benz Finance North America LLC</t>
  </si>
  <si>
    <t>US233835AQ08</t>
  </si>
  <si>
    <t>https://www.finanzen.net/anleihen/608814-mercedes-benz-finance-north-america-llc-anleihe</t>
  </si>
  <si>
    <t>Enbridge Inc.</t>
  </si>
  <si>
    <t>Grupo Televisa S.A.B. de C.V.</t>
  </si>
  <si>
    <t>US40049JAT43</t>
  </si>
  <si>
    <t>https://www.finanzen.net/anleihen/861831-grupo-televisab-de-cv-anleihe</t>
  </si>
  <si>
    <t>Nova Chemicals Corp.</t>
  </si>
  <si>
    <t>US66977WAT62</t>
  </si>
  <si>
    <t>https://www.finanzen.net/anleihen/a3lq6t-nova-chemicals-anleihe</t>
  </si>
  <si>
    <t>US674599DZ54</t>
  </si>
  <si>
    <t>https://www.finanzen.net/anleihen/a28zbv-occidental-petroleum-anleihe</t>
  </si>
  <si>
    <t>Seagate HDD Cayman</t>
  </si>
  <si>
    <t>Weyerhaeuser Co.</t>
  </si>
  <si>
    <t>US962166AT16</t>
  </si>
  <si>
    <t>https://www.finanzen.net/anleihen/a0axxw-weyerhaeuser-anleihe</t>
  </si>
  <si>
    <t>USG79456AS11</t>
  </si>
  <si>
    <t>https://www.finanzen.net/anleihen/a3ljfm-seagate-hdd-cayman-anleihe</t>
  </si>
  <si>
    <t>USN15516AF97</t>
  </si>
  <si>
    <t>https://www.finanzen.net/anleihen/a280kf-braskem-netherlands-finance-bv-anleihe</t>
  </si>
  <si>
    <t>Salta, Province of...</t>
  </si>
  <si>
    <t>USP8388TAB00</t>
  </si>
  <si>
    <t>https://www.finanzen.net/anleihen/a183vv-salta-province-of-anleihe</t>
  </si>
  <si>
    <t>Telecom Argentina S.A.</t>
  </si>
  <si>
    <t>USP9028NAZ44</t>
  </si>
  <si>
    <t>https://www.finanzen.net/anleihen/a28055-telecom-argentina-anleihe</t>
  </si>
  <si>
    <t>Mineral Resources Ltd.</t>
  </si>
  <si>
    <t>USQ60976AC35</t>
  </si>
  <si>
    <t>https://www.finanzen.net/anleihen/a3k428-mineral-resources-anleihe</t>
  </si>
  <si>
    <t>American Airlines Inc.</t>
  </si>
  <si>
    <t>USU02413AJ82</t>
  </si>
  <si>
    <t>https://www.finanzen.net/anleihen/a3lrg2-american-airlines-anleihe</t>
  </si>
  <si>
    <t>Enova International Inc.</t>
  </si>
  <si>
    <t>USU29298AC74</t>
  </si>
  <si>
    <t>https://www.finanzen.net/anleihen/a2rrz2-enova-international-anleihe</t>
  </si>
  <si>
    <t>USU9098VAP77</t>
  </si>
  <si>
    <t>https://www.finanzen.net/anleihen/a191al-bausch-health-americas-anleihe</t>
  </si>
  <si>
    <t>Danaos Corp.</t>
  </si>
  <si>
    <t>USY1968PAA31</t>
  </si>
  <si>
    <t>https://www.finanzen.net/anleihen/a3klsp-danaos-anleihe</t>
  </si>
  <si>
    <t>Indonesien, Republik</t>
  </si>
  <si>
    <t>USY20721AE96</t>
  </si>
  <si>
    <t>https://www.finanzen.net/anleihen/a0ggvd-indonesien-anleihe</t>
  </si>
  <si>
    <t>Metinvest B.V.</t>
  </si>
  <si>
    <t>XS1806400708</t>
  </si>
  <si>
    <t>https://www.finanzen.net/anleihen/a19y41-metinvest-bv-anleihe</t>
  </si>
  <si>
    <t>Arcelik A.S.</t>
  </si>
  <si>
    <t>XS2695038401</t>
  </si>
  <si>
    <t>https://www.finanzen.net/anleihen/a3lnsu-arcelik-as-anleihe</t>
  </si>
  <si>
    <t>Huntington Bancshares Inc.</t>
  </si>
  <si>
    <t>US446150AL81</t>
  </si>
  <si>
    <t>https://www.finanzen.net/anleihen/a19xcc-huntington-bancshares-anleihe</t>
  </si>
  <si>
    <t>XS1781710626</t>
  </si>
  <si>
    <t>https://www.finanzen.net/anleihen/a19w1y-kenia-anleihe</t>
  </si>
  <si>
    <t>XS2384704800</t>
  </si>
  <si>
    <t>https://www.finanzen.net/anleihen/a3kws8-nigeria-bundesrepublik-anleihe</t>
  </si>
  <si>
    <t>US064159KJ44</t>
  </si>
  <si>
    <t>https://www.finanzen.net/anleihen/a19qhu-the-bank-of-nova-scotia-anleihe</t>
  </si>
  <si>
    <t>US404280DT33</t>
  </si>
  <si>
    <t>https://www.finanzen.net/anleihen/a3le1z-hsbc-holdings-anleihe</t>
  </si>
  <si>
    <t>Benin</t>
  </si>
  <si>
    <t>GoCollective A/S</t>
  </si>
  <si>
    <t>NO0013185835</t>
  </si>
  <si>
    <t>https://www.finanzen.net/anleihen/a3lw0k-gocollective-a-s-anleihe</t>
  </si>
  <si>
    <t>SLR Group GmbH</t>
  </si>
  <si>
    <t>NO0013177949</t>
  </si>
  <si>
    <t>https://www.finanzen.net/anleihen/a383dp-slr-group-anleihe</t>
  </si>
  <si>
    <t>Synthomer PLC</t>
  </si>
  <si>
    <t>XS2805249641</t>
  </si>
  <si>
    <t>https://www.finanzen.net/anleihen/a3lxju-synthomer-anleihe</t>
  </si>
  <si>
    <t>Nickel Industries Ltd.</t>
  </si>
  <si>
    <t>US653890AA15</t>
  </si>
  <si>
    <t>https://www.finanzen.net/anleihen/a3lgw2-nickel-industries-anleihe</t>
  </si>
  <si>
    <t>Carnival Holdings Bermuda Ltd.</t>
  </si>
  <si>
    <t>US14366RAA77</t>
  </si>
  <si>
    <t>https://www.finanzen.net/anleihen/a3lam0-carnival-holdings-bermuda-anleihe</t>
  </si>
  <si>
    <t>Venture Global LNG Inc.</t>
  </si>
  <si>
    <t>US92332YAD31</t>
  </si>
  <si>
    <t>https://www.finanzen.net/anleihen/a3lqcb-venture-global-lng-anleihe</t>
  </si>
  <si>
    <t>Olympus Water US Holding Corp.</t>
  </si>
  <si>
    <t>US25259KAA88</t>
  </si>
  <si>
    <t>https://www.finanzen.net/anleihen/a3ljgc-olympus-water-us-holding-anleihe</t>
  </si>
  <si>
    <t>Icahn Enterprises L.P./Icahn Enterprises Finance Corp.</t>
  </si>
  <si>
    <t>US451102CD70</t>
  </si>
  <si>
    <t>https://www.finanzen.net/anleihen/a3lsj2-icahn-enterprises-icahn-enterprises-finance-anleihe</t>
  </si>
  <si>
    <t>Vital Energy Inc.</t>
  </si>
  <si>
    <t>US516806AJ59</t>
  </si>
  <si>
    <t>https://www.finanzen.net/anleihen/a3lns7-vital-energy-anleihe</t>
  </si>
  <si>
    <t>Altice Financing S.A.</t>
  </si>
  <si>
    <t>US02154CAJ27</t>
  </si>
  <si>
    <t>https://www.finanzen.net/anleihen/a3lvcy-altice-financing-anleihe</t>
  </si>
  <si>
    <t>Royal Caribbean Cruises Ltd.</t>
  </si>
  <si>
    <t>Liberia</t>
  </si>
  <si>
    <t>US780153BR26</t>
  </si>
  <si>
    <t>https://www.finanzen.net/anleihen/a3k9zf-royal-caribbean-cruises-anleihe</t>
  </si>
  <si>
    <t>DIRECTV Financing LLC</t>
  </si>
  <si>
    <t>US25461LAB80</t>
  </si>
  <si>
    <t>https://www.finanzen.net/anleihen/a3ltfx-directv-financing-llc-anleihe</t>
  </si>
  <si>
    <t>First Quantum Minerals Ltd.</t>
  </si>
  <si>
    <t>US335934AU96</t>
  </si>
  <si>
    <t>https://www.finanzen.net/anleihen/a3lh61-first-quantum-minerals-anleihe</t>
  </si>
  <si>
    <t>AO</t>
  </si>
  <si>
    <t>BNP Zuerich</t>
  </si>
  <si>
    <t>US05565AS207</t>
  </si>
  <si>
    <t>https://www.finanzen.net/anleihen/bp45x0-bnp-paribas-anleihe</t>
  </si>
  <si>
    <t>US29250NBS36</t>
  </si>
  <si>
    <t>https://www.finanzen.net/anleihen/a3lnsx-enbridge-anleihe</t>
  </si>
  <si>
    <t>Investmentrichtung</t>
  </si>
  <si>
    <t>Call</t>
  </si>
  <si>
    <t>Optionsschein auf EUR/USD</t>
  </si>
  <si>
    <t>https://www.finanzen.net/optionsscheine/auf-eur-usd-euro-us-dollar/gg6vw7</t>
  </si>
  <si>
    <t>EUWAX</t>
  </si>
  <si>
    <t>Strike</t>
  </si>
  <si>
    <t>Ausübungsart</t>
  </si>
  <si>
    <t>europäisch</t>
  </si>
  <si>
    <t>Ratio</t>
  </si>
  <si>
    <t>Bewertungstag</t>
  </si>
  <si>
    <t>Zahltag</t>
  </si>
  <si>
    <t>US603374AH26</t>
  </si>
  <si>
    <t>https://www.finanzen.net/anleihen/a3lnbq-minerva-luxembourg-anleihe</t>
  </si>
  <si>
    <t>PT Indika Energy TBK</t>
  </si>
  <si>
    <t>USY71247AA15</t>
  </si>
  <si>
    <t>https://www.finanzen.net/anleihen/a3lxz7-pt-indika-energy-tbk-anleihe</t>
  </si>
  <si>
    <t>Sisecam UK PLC</t>
  </si>
  <si>
    <t>XS2812381676</t>
  </si>
  <si>
    <t>https://www.finanzen.net/anleihen/a3lx4n-sisecam-uk-anleihe</t>
  </si>
  <si>
    <t>Avon Products Inc.</t>
  </si>
  <si>
    <t>US054303AZ59</t>
  </si>
  <si>
    <t>https://www.finanzen.net/anleihen/a1hhlq-avon-products-anleihe</t>
  </si>
  <si>
    <t>BBVA México S.A.</t>
  </si>
  <si>
    <t>USP1S81BAA64</t>
  </si>
  <si>
    <t>https://www.finanzen.net/anleihen/a3lkpc-bbva-mexico-anleihe</t>
  </si>
  <si>
    <t>ESKOM Holdings SOC Ltd.</t>
  </si>
  <si>
    <t>Südafrika</t>
  </si>
  <si>
    <t>XS1864522757</t>
  </si>
  <si>
    <t>https://www.finanzen.net/anleihen/a194kf-eskom-holdings-soc-anleihe</t>
  </si>
  <si>
    <t>Aragvi Finance International DAC</t>
  </si>
  <si>
    <t>XS2326545204</t>
  </si>
  <si>
    <t>https://www.finanzen.net/anleihen/a3kpyg-aragvi-finance-international-dac-anleihe</t>
  </si>
  <si>
    <t>Oaktree Strategic Credit Fund</t>
  </si>
  <si>
    <t>US67403AAA79</t>
  </si>
  <si>
    <t>https://www.finanzen.net/anleihen/a3lq3h-oaktree-strategic-credit-fund-anleihe</t>
  </si>
  <si>
    <t>PRA Group Inc.</t>
  </si>
  <si>
    <t>US69354NAE67</t>
  </si>
  <si>
    <t>https://www.finanzen.net/anleihen/a3ldlz-pra-group-anleihe</t>
  </si>
  <si>
    <t>Time Warner Entertainment Co. L.P.</t>
  </si>
  <si>
    <t>US88731EAJ91</t>
  </si>
  <si>
    <t>https://www.finanzen.net/anleihen/328461-time-warner-entertainment-anleihe</t>
  </si>
  <si>
    <t>Bausch + Lomb Corp.</t>
  </si>
  <si>
    <t>USC0787WAA39</t>
  </si>
  <si>
    <t>https://www.finanzen.net/anleihen/a3lnwh-bausch-+-lomb-anleihe</t>
  </si>
  <si>
    <t>Banco Mercantil Del Norte S.A.</t>
  </si>
  <si>
    <t>USP1400MAC21</t>
  </si>
  <si>
    <t>https://www.finanzen.net/anleihen/a28z3c-banco-mercantil-del-norte-anleihe</t>
  </si>
  <si>
    <t>Papua New Guinea, Government of...</t>
  </si>
  <si>
    <t>Papua Neuguinea</t>
  </si>
  <si>
    <t>USY6726SAP66</t>
  </si>
  <si>
    <t>https://www.finanzen.net/anleihen/a2rsls-papua-new-guinea-government-of-anleihe</t>
  </si>
  <si>
    <t>Jujuy, Province of...</t>
  </si>
  <si>
    <t>XS1686882298</t>
  </si>
  <si>
    <t>https://www.finanzen.net/anleihen/a19pfv-jujuy-province-of-anleihe</t>
  </si>
  <si>
    <t>Oil and Gas Holding Company B.S.C ,The</t>
  </si>
  <si>
    <t>Bahrain</t>
  </si>
  <si>
    <t>XS1903485800</t>
  </si>
  <si>
    <t>https://www.finanzen.net/anleihen/a2rt0u-oil-and-gas-holding-company-bsc-the-anleihe</t>
  </si>
  <si>
    <t>Interpipe Holdings PLC</t>
  </si>
  <si>
    <t>XS2333664717</t>
  </si>
  <si>
    <t>https://www.finanzen.net/anleihen/a3kq35-interpipe-holdings-anleihe</t>
  </si>
  <si>
    <t>Türkiye Garanti Bankasi A.S.</t>
  </si>
  <si>
    <t>XS2773062471</t>
  </si>
  <si>
    <t>https://www.finanzen.net/anleihen/a3lu1y-tuerkiye-garanti-bankasi-as-anleihe</t>
  </si>
  <si>
    <t>Dell International LLC/EMC Corp.</t>
  </si>
  <si>
    <t>USU2526DAE95</t>
  </si>
  <si>
    <t>https://www.finanzen.net/anleihen/a1810b-dell-international-llc-emc-anleihe</t>
  </si>
  <si>
    <t>New York Community Bancorp Inc.</t>
  </si>
  <si>
    <t>US649445AC78</t>
  </si>
  <si>
    <t>https://www.finanzen.net/anleihen/a2rtz7-new-york-community-bancorp-anleihe</t>
  </si>
  <si>
    <t>State Street Corp.</t>
  </si>
  <si>
    <t>US857477BA04</t>
  </si>
  <si>
    <t>https://www.finanzen.net/anleihen/a2rscj-state-street-anleihe</t>
  </si>
  <si>
    <t>Reinsurance Group of America Inc.</t>
  </si>
  <si>
    <t>US759351AE91</t>
  </si>
  <si>
    <t>https://www.finanzen.net/anleihen/a0gkxz-reinsurance-group-of-america-anleihe</t>
  </si>
  <si>
    <t>CoreCivic Inc.</t>
  </si>
  <si>
    <t>US21871NAC56</t>
  </si>
  <si>
    <t>https://www.finanzen.net/anleihen/a3lvsw-corecivic-anleihe</t>
  </si>
  <si>
    <t>Telefónica Europe B.V.</t>
  </si>
  <si>
    <t>US879385AD49</t>
  </si>
  <si>
    <t>https://www.finanzen.net/anleihen/558658-telefonica-europe-bv-anleihe</t>
  </si>
  <si>
    <t>Vale Overseas Ltd.</t>
  </si>
  <si>
    <t>US91911TAE38</t>
  </si>
  <si>
    <t>https://www.finanzen.net/anleihen/a0abyd-vale-overseas-anleihe</t>
  </si>
  <si>
    <t>Taseko Mines Ltd.</t>
  </si>
  <si>
    <t>USC8692MAD68</t>
  </si>
  <si>
    <t>https://www.finanzen.net/anleihen/a3lxj6-taseko-mines-anleihe</t>
  </si>
  <si>
    <t>Adient Global Holdings Ltd.</t>
  </si>
  <si>
    <t>USG0086CAE33</t>
  </si>
  <si>
    <t>https://www.finanzen.net/anleihen/a3le6k-adient-global-holdings-anleihe</t>
  </si>
  <si>
    <t>Operadora de Servicios Mega S.A. de C.V.</t>
  </si>
  <si>
    <t>USP73699BH55</t>
  </si>
  <si>
    <t>https://www.finanzen.net/anleihen/a28tpk-operadora-de-servicios-mega-de-cv-anleihe</t>
  </si>
  <si>
    <t>Brinker International Inc.</t>
  </si>
  <si>
    <t>USU6223WAC83</t>
  </si>
  <si>
    <t>https://www.finanzen.net/anleihen/a3lkmr-brinker-international-anleihe</t>
  </si>
  <si>
    <t>Indika Energy Capital IV Pte Ltd.</t>
  </si>
  <si>
    <t>USY39690AA30</t>
  </si>
  <si>
    <t>https://www.finanzen.net/anleihen/a28381-indika-energy-capital-iv-pte-anleihe</t>
  </si>
  <si>
    <t>TV Azteca S.A.B. de C.V.</t>
  </si>
  <si>
    <t>XS1662406468</t>
  </si>
  <si>
    <t>https://www.finanzen.net/anleihen/a19ms5-tv-aztecab-de-cv-anleihe</t>
  </si>
  <si>
    <t>Rail Capital Markets PLC</t>
  </si>
  <si>
    <t>XS1843433472</t>
  </si>
  <si>
    <t>https://www.finanzen.net/anleihen/a2r4t0-rail-capital-markets-anleihe</t>
  </si>
  <si>
    <t>Transnet SOC Ltd.</t>
  </si>
  <si>
    <t>XS2582981952</t>
  </si>
  <si>
    <t>https://www.finanzen.net/anleihen/a3ldtl-transnet-soc-anleihe</t>
  </si>
  <si>
    <t>Mersin Uluslararasi Liman Isletmeciligi A.S.</t>
  </si>
  <si>
    <t>XS2696793012</t>
  </si>
  <si>
    <t>https://www.finanzen.net/anleihen/a3lq56-mersin-uluslararasi-liman-isletmeciligi-as-anleihe</t>
  </si>
  <si>
    <t>Türkiye Varlik Fonu</t>
  </si>
  <si>
    <t>XS2764457235</t>
  </si>
  <si>
    <t>https://www.finanzen.net/anleihen/a3lul8-tuerkiye-varlik-fonu-anleihe</t>
  </si>
  <si>
    <t>Anheuser-Busch InBev Worldwide Inc.</t>
  </si>
  <si>
    <t>US03523TBF49</t>
  </si>
  <si>
    <t>https://www.finanzen.net/anleihen/a1gmun-anheuser-busch-inbev-worldwide-anleihe</t>
  </si>
  <si>
    <t>Mitsubishi UFJ Financial Group Inc.</t>
  </si>
  <si>
    <t>US606822DD36</t>
  </si>
  <si>
    <t>https://www.finanzen.net/anleihen/a3lp4y-mitsubishi-ufj-financial-group-anleihe</t>
  </si>
  <si>
    <t>Dresdner Funding Trust I</t>
  </si>
  <si>
    <t>XS0097772965</t>
  </si>
  <si>
    <t>https://www.finanzen.net/anleihen/308454-dresdner-funding-trust-i-anleihe</t>
  </si>
  <si>
    <t>American Express Co.</t>
  </si>
  <si>
    <t>US025816AZ26</t>
  </si>
  <si>
    <t>https://www.finanzen.net/anleihen/a0ts12-american-express-anleihe</t>
  </si>
  <si>
    <t>Teva Pharmaceutical Finance Netherlands III B.V.</t>
  </si>
  <si>
    <t>US88167AAR23</t>
  </si>
  <si>
    <t>https://www.finanzen.net/anleihen/a3le51-teva-pharmaceutical-finance-netherlands-iii-bv-anleihe</t>
  </si>
  <si>
    <t>Altice France S.A.</t>
  </si>
  <si>
    <t>US02156LAA98</t>
  </si>
  <si>
    <t>https://www.finanzen.net/anleihen/a193uw-altice-france-anleihe</t>
  </si>
  <si>
    <t>Citigroup Inc.</t>
  </si>
  <si>
    <t>US172967EW71</t>
  </si>
  <si>
    <t>https://www.finanzen.net/anleihen/a1akm3-citigroup-anleihe</t>
  </si>
  <si>
    <t>Crédit Agricole S.A.</t>
  </si>
  <si>
    <t>USF2R125CD54</t>
  </si>
  <si>
    <t>https://www.finanzen.net/anleihen/a18wz2-credit-agricole-anleihe</t>
  </si>
  <si>
    <t>Edison International</t>
  </si>
  <si>
    <t>US281020AX52</t>
  </si>
  <si>
    <t>https://www.finanzen.net/anleihen/a3le5m-edison-international-anleihe</t>
  </si>
  <si>
    <t>Caesars Entertainment Inc.</t>
  </si>
  <si>
    <t>US28470RAK86</t>
  </si>
  <si>
    <t>https://www.finanzen.net/anleihen/a28y3z-caesars-entertainment-anleihe</t>
  </si>
  <si>
    <t>The Toronto-Dominion Bank</t>
  </si>
  <si>
    <t>US89117F8Z56</t>
  </si>
  <si>
    <t>https://www.finanzen.net/anleihen/a3laan-the-toronto-dominion-bank-anleihe</t>
  </si>
  <si>
    <t>Guatemala, Republik</t>
  </si>
  <si>
    <t>Guatemala</t>
  </si>
  <si>
    <t>USP8056GAB97</t>
  </si>
  <si>
    <t>https://www.finanzen.net/anleihen/a0ddvq-guatemala-anleihe</t>
  </si>
  <si>
    <t>Arada Sukuk Ltd.</t>
  </si>
  <si>
    <t>XS2471859251</t>
  </si>
  <si>
    <t>https://www.finanzen.net/anleihen/a3k6em-arada-sukuk-anleihe</t>
  </si>
  <si>
    <t>Provincia de Entre Ríos</t>
  </si>
  <si>
    <t>USP37341AA50</t>
  </si>
  <si>
    <t>https://www.finanzen.net/anleihen/a19czw-provincia-de-entre-ríos-anleihe</t>
  </si>
  <si>
    <t>El Paso Energy Corp.</t>
  </si>
  <si>
    <t>US28368EAA47</t>
  </si>
  <si>
    <t>https://www.finanzen.net/anleihen/707164-el-paso-energy-anleihe</t>
  </si>
  <si>
    <t>FWD Group Ltd.</t>
  </si>
  <si>
    <t>XS1628340538</t>
  </si>
  <si>
    <t>https://www.finanzen.net/anleihen/a19j30-fwd-group-anleihe</t>
  </si>
  <si>
    <t>JPMorgan Chase &amp; Co.</t>
  </si>
  <si>
    <t>US059438AK79</t>
  </si>
  <si>
    <t>https://www.finanzen.net/anleihen/310113-jpmorgan-chase-anleihe</t>
  </si>
  <si>
    <t>Energy Transfer L.P.</t>
  </si>
  <si>
    <t>US29273VAX82</t>
  </si>
  <si>
    <t>https://www.finanzen.net/anleihen/a3ltdf-energy-transfer-anleihe</t>
  </si>
  <si>
    <t>Ally Financial Inc.</t>
  </si>
  <si>
    <t>US370425RZ53</t>
  </si>
  <si>
    <t>https://www.finanzen.net/anleihen/776353-ally-financial-anleihe</t>
  </si>
  <si>
    <t>Genesis Energy L.P./Genesis Energy Finance Corp.</t>
  </si>
  <si>
    <t>US37185LAM46</t>
  </si>
  <si>
    <t>https://www.finanzen.net/anleihen/a286pz-genesis-energy-genesis-energy-finance-anleihe</t>
  </si>
  <si>
    <t>The Kroger Co.</t>
  </si>
  <si>
    <t>US501044BV23</t>
  </si>
  <si>
    <t>https://www.finanzen.net/anleihen/a0gq70-the-kroger-anleihe</t>
  </si>
  <si>
    <t>Lloyds Banking Group PLC</t>
  </si>
  <si>
    <t>US53944YAV56</t>
  </si>
  <si>
    <t>https://www.finanzen.net/anleihen/a3le6z-lloyds-banking-group-anleihe</t>
  </si>
  <si>
    <t>National Rural Utilities Cooperative Finance Corp.</t>
  </si>
  <si>
    <t>US637432CT02</t>
  </si>
  <si>
    <t>https://www.finanzen.net/anleihen/850309-national-rural-utilities-cooperative-finance-anleihe</t>
  </si>
  <si>
    <t>NatWest Group PLC</t>
  </si>
  <si>
    <t>US780099CK11</t>
  </si>
  <si>
    <t>https://www.finanzen.net/anleihen/a1z478-natwest-group-anleihe</t>
  </si>
  <si>
    <t>Tenneco Inc.</t>
  </si>
  <si>
    <t>US880349AU90</t>
  </si>
  <si>
    <t>https://www.finanzen.net/anleihen/a3ll8t-tenneco-anleihe</t>
  </si>
  <si>
    <t>Transatlantic Holdings Inc.</t>
  </si>
  <si>
    <t>US893521AB05</t>
  </si>
  <si>
    <t>https://www.finanzen.net/anleihen/a1aqd8-transatlantic-holdings-anleihe</t>
  </si>
  <si>
    <t>Uber Technologies Inc.</t>
  </si>
  <si>
    <t>USU9029YAB66</t>
  </si>
  <si>
    <t>https://www.finanzen.net/anleihen/a2rthr-uber-technologies-anleihe</t>
  </si>
  <si>
    <t>Avis Budget Car Rental LLC/Avis Budget Finance Inc.</t>
  </si>
  <si>
    <t>USU05375AV93</t>
  </si>
  <si>
    <t>https://www.finanzen.net/anleihen/a3lrb0-avis-budget-car-rental-llc-avis-budget-finance-anleihe</t>
  </si>
  <si>
    <t>CHS / Community Health Systems Inc.</t>
  </si>
  <si>
    <t>USU17127AL26</t>
  </si>
  <si>
    <t>https://www.finanzen.net/anleihen/a2rywq-chs-community-health-systems-anleihe</t>
  </si>
  <si>
    <t>BGC Group Inc.</t>
  </si>
  <si>
    <t>USU2100DAF07</t>
  </si>
  <si>
    <t>https://www.finanzen.net/anleihen/a3lh74-bgc-group-anleihe</t>
  </si>
  <si>
    <t>Mohegan Tribal Gaming Authority</t>
  </si>
  <si>
    <t>USU60734AH01</t>
  </si>
  <si>
    <t>https://www.finanzen.net/anleihen/a288dt-mohegan-tribal-gaming-authority-anleihe</t>
  </si>
  <si>
    <t>Univision Communications Inc.</t>
  </si>
  <si>
    <t>USU91505AT17</t>
  </si>
  <si>
    <t>https://www.finanzen.net/anleihen/a3llkn-univision-communications-anleihe</t>
  </si>
  <si>
    <t>Seychellen, Republik</t>
  </si>
  <si>
    <t>Seychellen</t>
  </si>
  <si>
    <t>XS0471464023</t>
  </si>
  <si>
    <t>https://www.finanzen.net/anleihen/a1ar0u-seychellen-anleihe</t>
  </si>
  <si>
    <t>IHS Netherlands Holdco B.V.</t>
  </si>
  <si>
    <t>XS2051106073</t>
  </si>
  <si>
    <t>https://www.finanzen.net/anleihen/a2r7ut-ihs-netherlands-holdco-bv-anleihe</t>
  </si>
  <si>
    <t>Chiyu Banking Corp. Ltd.</t>
  </si>
  <si>
    <t>Hong Kong</t>
  </si>
  <si>
    <t>XS2543377068</t>
  </si>
  <si>
    <t>https://www.finanzen.net/anleihen/a3lasn-chiyu-banking-anleihe</t>
  </si>
  <si>
    <t>Dar Al-Arkan Sukuk Company Ltd.</t>
  </si>
  <si>
    <t>XS2648078322</t>
  </si>
  <si>
    <t>https://www.finanzen.net/anleihen/a3llcf-dar-al-arkan-sukuk-company-anleihe</t>
  </si>
  <si>
    <t>Abu Dhabi Commercial Bank</t>
  </si>
  <si>
    <t>XS2725803162</t>
  </si>
  <si>
    <t>https://www.finanzen.net/anleihen/a3lrm8-abu-dhabi-commercial-bank-anleihe</t>
  </si>
  <si>
    <t>ING Groep N.V.</t>
  </si>
  <si>
    <t>XS2761357594</t>
  </si>
  <si>
    <t>https://www.finanzen.net/anleihen/a3lua8-ing-groep-anleihe</t>
  </si>
  <si>
    <t>SGL Group ApS</t>
  </si>
  <si>
    <t>NO0013183624</t>
  </si>
  <si>
    <t>https://www.finanzen.net/anleihen/a3lwn2-sgl-group-aps-anleihe</t>
  </si>
  <si>
    <t>Optionkauf</t>
  </si>
  <si>
    <t>https://www.finanzen.net/anleihen/a286nv-fertiberia-corporate-slu-anleihe</t>
  </si>
  <si>
    <t>Bezüglich des Feedbacks: Nicht alle Anleihen wurden an der Frankfurter Börse gekauft. Zuvor war die Börse nur in Anleihen(ver)käufe zu sehen. Wir haben sie deswegen jetzt auch zum Tab Aktuelle Anleihen hinzugefügt. Wir haben nun unser Tagesgeld fast vollständig in US Anleihen investiert. Dabei haben wir auch einige Anleihen von Unternehmen, in die wir versehentlich doppelt investiert hatten, verkauft. Ebenfalls haben wir in Call Optionsscheine für den USD/EUR Wechselkurs investiert. Damit wollen wir Verluste durch Kursschwankungen unser USD Anleihen und Aktien ausgleichen. In den nächsten Abgaben werden wir neu emittierte Anleihen beobachten und gegebenenfalls gegen aktuelle Anleihen von uns austauschen. Außerdem arbeiten wir darauf hin die Diagramme für die Abgabe zu erstellen.</t>
  </si>
  <si>
    <t>Wir haben die Anleihen der Brennstoffzelle4Home GmbH verkauft, da diese Insolvenz angemeldet hat und der Kurs abgestürzt ist. Das ist der Hauptgrund, warum unsere Rendite negativ ist. Rimini BidCo S.p.A. und TK Elevator Midco GmbH haben von ihrer Kündigungsoption Gebrauch gemacht. Huber Automotive AG hat die Fälligkeit erreicht und wurde zurückgezahlt. Anleihenverkäufe sind unter Anleihen(ver)käufe gelistet.</t>
  </si>
  <si>
    <t xml:space="preserve">Wir haben uns das Feedback der fehlerhaften Kaufkurse sehr zu Herzen genommen und deswegen ein Programm geschrieben, welches alle Tagesendkurse aller Anleihen am Kauftag extrahiert und in eine eigene Excel Tabelle packt. Wir haben die Excel Tabelle als KaufkurseÜberprüfung.xlxs hochgeladen. Der Source Code ist im Github hochgeladen. Wir haben händisch alle Kurse überprüft, die eine Abweichung von 2% oder mehr hatten. </t>
  </si>
  <si>
    <t>Bei Novafives S.A.S., Schletter International B.V., PrestigeBidCo GmbH und HSE Finance S.a r.l gab es tatsächlich eine signifikante Abweichung vom Tagesendwert und haben diese korrigiert. Diese wurden alle in der ersten Woche gekauft, wo wir noch händisch die Kurse eingetragen haben. Wir vermuten, dass bei der Umstellung von comdirect auf finanzen.net die Fehler passiert sind. Wir haben mit Andreia besprochen, dass die Kurse einfach entsprechend korrigiert werden sollen. Bei JES.GREEN konnten wir keinen Fehler finden. Wir vermuten, dass ihr beim Vergleichen bei Frankfurt statt der Baader Bank als Börse geschaut habt.</t>
  </si>
  <si>
    <t>Ein weiterer Fehler war, dass wir letzte Woche die Anleihe der State Development Corporation 'VEB.RF' fälschlicherweise gekauft haben. Dies sind russische Anleihen, die an der Moskauer Börse gehandelt werden und damit für uns nicht erwerblich sind. Unser Tool hat das durch einen Bug nicht herausgefiltert. Wir haben sie entsprechend entfernt.</t>
  </si>
  <si>
    <t>Dividende</t>
  </si>
  <si>
    <t>Verizon</t>
  </si>
  <si>
    <t>https://aktienfinder.net/dividenden-profil/Verizon-Dividende</t>
  </si>
  <si>
    <t>Kirk Beauty SUN GmbH hat eine Kündigungsoption zu jeder Zeit zum aktuellen Kurs. Wir können nicht herausfinden, wann seit letzter Woche die Kündigung war noch zu welchem Kurs sie gekündigt wurde. Wir haben gestern als Kündigungstag und den Kurs der letzten Woche angenommen.</t>
  </si>
  <si>
    <t>Air Baltic Corporation A.S.</t>
  </si>
  <si>
    <t>Lettland</t>
  </si>
  <si>
    <t>XS2800678224</t>
  </si>
  <si>
    <t>https://www.finanzen.net/anleihen/a3lyhs-air-baltic-corporation-as-anleihe</t>
  </si>
  <si>
    <t>Goldman Sachs Finance Corp. International Ltd.</t>
  </si>
  <si>
    <t>XS2688783435</t>
  </si>
  <si>
    <t>https://www.finanzen.net/anleihen/gp2led-goldman-sachs-finance-international-anleihe</t>
  </si>
  <si>
    <t>Fertiberia Corporate S.L.U.</t>
  </si>
  <si>
    <t>NO0013219477</t>
  </si>
  <si>
    <t>https://www.finanzen.net/anleihen/a3lx1u-fertiberia-corporate-slu-anleihe</t>
  </si>
  <si>
    <t>Helios Software Holdings Inc./ION Corporate Solutions Finance Sarl</t>
  </si>
  <si>
    <t>XS2808407188</t>
  </si>
  <si>
    <t>https://www.finanzen.net/anleihen/a3lx6e-helios-software-holdings-ion-corporate-solutions-finance-sarl-anleihe</t>
  </si>
  <si>
    <t>ABO Wind AG</t>
  </si>
  <si>
    <t>DE000A3829F5</t>
  </si>
  <si>
    <t>https://www.finanzen.net/anleihen/a3829f-abo-wind-anleihe</t>
  </si>
  <si>
    <t>One Hotels GmbH</t>
  </si>
  <si>
    <t>XS2811764120</t>
  </si>
  <si>
    <t>https://www.finanzen.net/anleihen/a383ec-one-hotels-anleihe</t>
  </si>
  <si>
    <t>CPI Property Group S.A.</t>
  </si>
  <si>
    <t>XS2815976126</t>
  </si>
  <si>
    <t>https://www.finanzen.net/anleihen/a3lybh-cpi-property-group-anleihe</t>
  </si>
  <si>
    <t>Anleihenkäufe</t>
  </si>
  <si>
    <t>Douglas Service GmbH hat als Kündigungsoption zu wechselnden Kursen, was wir als Kündigung zum laufenden Kurs interpretiert haben. Da die historischen Daten wieder verschwunden sind, nehmen wir den Kurs der letzten Woche an. Selbiges haben wir auch bei der Vedanta Resources Ltd. angenommen. Es gab einen kleinen Fehler bei der Berechnung der Zinszahlungen für die Anleihen: Statt des Dollarkurses am jeweiligen Auszahlungsdatum wurde der Kurs zum Zeitpunkt der Abgabe verwendet. Wir haben alle Zinszahlungen in Dollar entsprechend korrigiert.</t>
  </si>
  <si>
    <t>Carvana Co</t>
  </si>
  <si>
    <t>Groß &amp; Partner Grundstücksentwicklungsgesellschaft mbH</t>
  </si>
  <si>
    <t>DE000A383BH3</t>
  </si>
  <si>
    <t>https://www.finanzen.net/anleihen/a383bh-gross-partner-grundstuecksentwicklungsgesellschaft-mbh-anleihe</t>
  </si>
  <si>
    <t>Neon Equity AG</t>
  </si>
  <si>
    <t>DE000A383C76</t>
  </si>
  <si>
    <t>https://www.finanzen.net/anleihen/a383c7-neon-equity-anleihe</t>
  </si>
  <si>
    <t>Anleihen Zinsen</t>
  </si>
  <si>
    <t>Aktien Dividende</t>
  </si>
  <si>
    <t>Tagesgeld Zinsen</t>
  </si>
  <si>
    <t>Anleihen Kursgewinne</t>
  </si>
  <si>
    <t>Aktien Kursgewinne</t>
  </si>
  <si>
    <t>Option Kursgewinne</t>
  </si>
  <si>
    <t>Anleihen Währungseffekte</t>
  </si>
  <si>
    <t>Aktien Währungseffekte</t>
  </si>
  <si>
    <t>Anleihen Depotwert</t>
  </si>
  <si>
    <t>Aktien Depotwert</t>
  </si>
  <si>
    <t>Option Depotwert</t>
  </si>
  <si>
    <t>Anteil Anleihen</t>
  </si>
  <si>
    <t>Anteil Aktien</t>
  </si>
  <si>
    <t>Anteil Option</t>
  </si>
  <si>
    <t>Anteil Tagesgeld</t>
  </si>
  <si>
    <t>Dax</t>
  </si>
  <si>
    <t>Abgabedatum</t>
  </si>
  <si>
    <t>Wir haben zu Beginn in Anleihen von 40 verschiedene Unternehmen investiert, die einen hohen Kupon haben. Dabei haben wir darauf geachtet, dass vorallem der Finanzsektor nicht überrepräsentiert ist in unserem Portfolio und aktuell diesen auf maximal ein Drittel begrenzt. Wir haben in der ersten Woche weniger als 10% unseres Kapitals investiert, da wir erstmal das Ergebnis beobachten möchten und wir nicht zu viel Geld in ein Unternehmen investieren wollen.</t>
  </si>
  <si>
    <t>Wir haben unsere Investionen entsprechend unserer Stategie weiter fortgesetzt. Wir haben ebenfalls angefangen, die Diagramme für die Ausarbeitung zu erstellen. Wir haben erstmal die errechneten Daten aus den alten Abgaben übernommen. Durch Fehler bei der Berechnung in den vergangengen Abgaben müssen wir noch die Berechnungen korrigieren. Das wird in der nächsten Abgabe erledigt.</t>
  </si>
  <si>
    <t>DowJones</t>
  </si>
  <si>
    <t>Gewinn pro Periode</t>
  </si>
  <si>
    <t>Option</t>
  </si>
  <si>
    <t>Aktien ohne Währungseffekte</t>
  </si>
  <si>
    <t>Depotwert Dollar</t>
  </si>
  <si>
    <t>Andere</t>
  </si>
  <si>
    <t>Wertpapiere in Dollar</t>
  </si>
  <si>
    <t>Währungseffekte</t>
  </si>
  <si>
    <t>Gesamtgewinn</t>
  </si>
  <si>
    <t>Anteile Wertpapiere</t>
  </si>
  <si>
    <t>Anzahl</t>
  </si>
  <si>
    <t>Benchmarkvergleich</t>
  </si>
  <si>
    <t>Portfolio</t>
  </si>
  <si>
    <t>DAX</t>
  </si>
  <si>
    <t xml:space="preserve">DowJones </t>
  </si>
  <si>
    <t>https://www.finanzen.net/anleihen/a3lj7z-assemblin-caverion-group-ab-anleihe</t>
  </si>
  <si>
    <t>Assemblin Caverion Group AB</t>
  </si>
  <si>
    <t>https://www.finanzen.net/anleihen/a3knpx-viridien-anleihe</t>
  </si>
  <si>
    <t>Viridien</t>
  </si>
  <si>
    <t>Go North Group AB</t>
  </si>
  <si>
    <t>NO0013165845</t>
  </si>
  <si>
    <t>https://www.finanzen.net/anleihen/a3lvv8-go-north-group-ab-anleihe</t>
  </si>
  <si>
    <t>US143658BS00</t>
  </si>
  <si>
    <t>https://www.finanzen.net/anleihen/a3k5zh-carnival-anleihe</t>
  </si>
  <si>
    <t xml:space="preserve">Zeitgewichtete Rendite </t>
  </si>
  <si>
    <t>Wir haben die historischen Daten korrigiert und weitere Diagramme erstellt. Wir sind uns unsicher bei der Berechnung der zeitgewichteten Rendite nach Wertpapierart in Historische Ergebnisse. Wir würden uns über Feedback dazu freuen.</t>
  </si>
  <si>
    <t>Devidende</t>
  </si>
  <si>
    <t>https://aktienfinder.net/aktienfinder?s=US5949181045</t>
  </si>
  <si>
    <t>https://www.nasdaq.com/de/market-activity/stocks/nee/dividend-history</t>
  </si>
  <si>
    <t>Trident Energy Finance PLC</t>
  </si>
  <si>
    <t>XS2818827169</t>
  </si>
  <si>
    <t>https://www.finanzen.net/anleihen/a3lyxt-trident-energy-finance-anleihe</t>
  </si>
  <si>
    <t>Public Joint-Stock Company 'Sovcombank'</t>
  </si>
  <si>
    <t>Russland</t>
  </si>
  <si>
    <t>Moskau</t>
  </si>
  <si>
    <t>RU000A0ZYX28</t>
  </si>
  <si>
    <t>https://www.finanzen.net/anleihen/a28639-public-joint-stock-company-sovcombank-anleihe</t>
  </si>
  <si>
    <t>DNO ASA</t>
  </si>
  <si>
    <t>NO0013243766</t>
  </si>
  <si>
    <t>https://www.finanzen.net/anleihen/a3lzme-dno-asa-anleihe</t>
  </si>
  <si>
    <t>Wir haben keine elegante Lösung gefunden für die verschobene Achsenbeschriftung. Wir haben einfach ein Bild über die Achsenbeschriftung gelegt, damit es so aussieht, als wäre es richtig aligned</t>
  </si>
  <si>
    <t>Wir haben mit Andrea besprochen, dass wir für unsere Anleihen keine Risikokennzahlen benötigen, da Volatilität und der Beta-Fator für Anleihen auf finanzen.net nicht angegeben ist und die Berechnung zu aufwendig wäre.</t>
  </si>
  <si>
    <t>Wir haben unsere Strategie weiter ausgebaut auf nun 267 Anleihen. Dabei haben wir unser Tool weiterentwickelt, das einerseits die Kurse unser bisherigen Anleihen automatisch aktualisiert und andererseits alle Anleihen mit einem Coupon von &gt;7%, einer Stückelung von maximal 2000 und Euro als Währung von finanzen.net sammelt. (Falls der Code mitgeschickt werden soll, können wir ihn bei der nächsten Abgabe hinzufügen.)</t>
  </si>
  <si>
    <t>Verkauf am</t>
  </si>
  <si>
    <t>Optionverkauf</t>
  </si>
  <si>
    <t>Da heute Bemessungstag für die Option ist und der Verkaufswert höher ist als die Auszahlung haben wir uns entschieden die Option heute zu verkaufen. Wir haben das Geld nicht reinvestiert, da das Planspiel sehr bald vorbei ist. Die Diagramme werden bei der finalen Abgabe nächste Woche nochmal aktualisiert.</t>
  </si>
  <si>
    <t>DE000GG6VW75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</si>
</sst>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8" formatCode="#,##0.00\ &quot;€&quot;;[Red]\-#,##0.00\ &quot;€&quot;"/>
    <numFmt numFmtId="44" formatCode="_-* #,##0.00\ &quot;€&quot;_-;\-* #,##0.00\ &quot;€&quot;_-;_-* &quot;-&quot;??\ &quot;€&quot;_-;_-@_-"/>
    <numFmt numFmtId="164" formatCode="0.0%"/>
    <numFmt numFmtId="165" formatCode="#,##0.00\ &quot;€&quot;"/>
    <numFmt numFmtId="166" formatCode="_-[$€-2]\ * #,##0.00_-;\-[$€-2]\ * #,##0.00_-;_-[$€-2]\ * &quot;-&quot;??_-;_-@_-"/>
    <numFmt numFmtId="167" formatCode="_-[$$-409]* #,##0.00_ ;_-[$$-409]* \-#,##0.00\ ;_-[$$-409]* &quot;-&quot;??_ ;_-@_ "/>
    <numFmt numFmtId="168" formatCode="0.0"/>
  </numFmts>
  <fonts count="22"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1"/>
      <name val="Arial"/>
      <family val="2"/>
      <scheme val="minor"/>
    </font>
    <font>
      <sz val="11"/>
      <color rgb="FF000000"/>
      <name val="Arial"/>
      <family val="2"/>
      <scheme val="minor"/>
    </font>
    <font>
      <sz val="10"/>
      <color rgb="FF000000"/>
      <name val="Arial"/>
      <family val="2"/>
      <scheme val="minor"/>
    </font>
    <font>
      <sz val="8"/>
      <name val="Arial"/>
      <family val="2"/>
      <scheme val="minor"/>
    </font>
    <font>
      <b/>
      <sz val="11"/>
      <color rgb="FF000000"/>
      <name val="Arial"/>
      <family val="2"/>
      <scheme val="minor"/>
    </font>
    <font>
      <sz val="11"/>
      <name val="Arial"/>
      <family val="2"/>
      <scheme val="minor"/>
    </font>
    <font>
      <u/>
      <sz val="10"/>
      <color theme="10"/>
      <name val="Arial"/>
      <family val="2"/>
      <scheme val="minor"/>
    </font>
    <font>
      <u/>
      <sz val="11"/>
      <color theme="10"/>
      <name val="Arial"/>
      <family val="2"/>
      <scheme val="minor"/>
    </font>
    <font>
      <sz val="8"/>
      <name val="Arial"/>
      <family val="2"/>
      <scheme val="minor"/>
    </font>
    <font>
      <b/>
      <sz val="11"/>
      <name val="Arial"/>
      <family val="2"/>
      <scheme val="minor"/>
    </font>
    <font>
      <sz val="10"/>
      <color rgb="FF000000"/>
      <name val="Arial"/>
      <family val="2"/>
      <scheme val="minor"/>
    </font>
    <font>
      <b/>
      <u/>
      <sz val="11"/>
      <color rgb="FF000000"/>
      <name val="Arial"/>
      <family val="2"/>
      <scheme val="minor"/>
    </font>
    <font>
      <sz val="11"/>
      <color rgb="FF02172D"/>
      <name val="Arial"/>
      <family val="2"/>
      <scheme val="minor"/>
    </font>
    <font>
      <sz val="11"/>
      <color rgb="FF000000"/>
      <name val="Arial"/>
      <family val="2"/>
      <scheme val="minor"/>
    </font>
    <font>
      <sz val="11"/>
      <color rgb="FF000000"/>
      <name val="Arial"/>
      <scheme val="minor"/>
    </font>
  </fonts>
  <fills count="16">
    <fill>
      <patternFill patternType="none"/>
    </fill>
    <fill>
      <patternFill patternType="gray125"/>
    </fill>
    <fill>
      <patternFill patternType="solid">
        <fgColor rgb="FFFFF7A0"/>
        <bgColor rgb="FFFFF7A0"/>
      </patternFill>
    </fill>
    <fill>
      <patternFill patternType="solid">
        <fgColor rgb="FFB9C3FF"/>
        <bgColor rgb="FFB9C3FF"/>
      </patternFill>
    </fill>
    <fill>
      <patternFill patternType="solid">
        <fgColor rgb="FFDEA38B"/>
        <bgColor rgb="FFDEA38B"/>
      </patternFill>
    </fill>
    <fill>
      <patternFill patternType="solid">
        <fgColor rgb="FFEEB9C7"/>
        <bgColor rgb="FFEEB9C7"/>
      </patternFill>
    </fill>
    <fill>
      <patternFill patternType="solid">
        <fgColor rgb="FFFFC384"/>
        <bgColor rgb="FFFFC384"/>
      </patternFill>
    </fill>
    <fill>
      <patternFill patternType="solid">
        <fgColor rgb="FFB0A9E4"/>
        <bgColor rgb="FFB0A9E4"/>
      </patternFill>
    </fill>
    <fill>
      <patternFill patternType="solid">
        <fgColor rgb="FFF98284"/>
        <bgColor rgb="FFF98284"/>
      </patternFill>
    </fill>
    <fill>
      <patternFill patternType="solid">
        <fgColor rgb="FFB3E3DA"/>
        <bgColor rgb="FFB3E3DA"/>
      </patternFill>
    </fill>
    <fill>
      <patternFill patternType="solid">
        <fgColor rgb="FFFFC3EC"/>
        <bgColor rgb="FFFFC3EC"/>
      </patternFill>
    </fill>
    <fill>
      <patternFill patternType="solid">
        <fgColor rgb="FFB0EB93"/>
        <bgColor rgb="FFB0EB93"/>
      </patternFill>
    </fill>
    <fill>
      <patternFill patternType="solid">
        <fgColor rgb="FFACCCE4"/>
        <bgColor rgb="FFACCCE4"/>
      </patternFill>
    </fill>
    <fill>
      <patternFill patternType="solid">
        <fgColor theme="9"/>
        <bgColor rgb="FFA4DAB9"/>
      </patternFill>
    </fill>
    <fill>
      <patternFill patternType="solid">
        <fgColor theme="9" tint="0.79998168889431442"/>
        <bgColor theme="9" tint="0.79998168889431442"/>
      </patternFill>
    </fill>
    <fill>
      <patternFill patternType="solid">
        <fgColor theme="9"/>
        <bgColor theme="9"/>
      </patternFill>
    </fill>
  </fills>
  <borders count="29">
    <border>
      <left/>
      <right/>
      <top/>
      <bottom/>
      <diagonal/>
    </border>
    <border>
      <left/>
      <right/>
      <top style="thin">
        <color theme="5"/>
      </top>
      <bottom style="thin">
        <color theme="5"/>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theme="9" tint="0.39997558519241921"/>
      </top>
      <bottom style="thin">
        <color theme="9" tint="0.39997558519241921"/>
      </bottom>
      <diagonal/>
    </border>
    <border>
      <left/>
      <right/>
      <top style="thin">
        <color theme="9" tint="0.39997558519241921"/>
      </top>
      <bottom/>
      <diagonal/>
    </border>
    <border>
      <left style="medium">
        <color rgb="FFCCCCCC"/>
      </left>
      <right/>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diagonal/>
    </border>
  </borders>
  <cellStyleXfs count="5">
    <xf numFmtId="0" fontId="0" fillId="0" borderId="0"/>
    <xf numFmtId="9" fontId="9" fillId="0" borderId="0" applyFont="0" applyFill="0" applyBorder="0" applyAlignment="0" applyProtection="0"/>
    <xf numFmtId="44" fontId="9" fillId="0" borderId="0" applyFont="0" applyFill="0" applyBorder="0" applyAlignment="0" applyProtection="0"/>
    <xf numFmtId="0" fontId="13" fillId="0" borderId="0" applyNumberFormat="0" applyFill="0" applyBorder="0" applyAlignment="0" applyProtection="0"/>
    <xf numFmtId="44" fontId="9" fillId="0" borderId="0" applyFont="0" applyFill="0" applyBorder="0" applyAlignment="0" applyProtection="0"/>
  </cellStyleXfs>
  <cellXfs count="171">
    <xf numFmtId="0" fontId="0" fillId="0" borderId="0" xfId="0"/>
    <xf numFmtId="0" fontId="8" fillId="0" borderId="0" xfId="0" applyFont="1"/>
    <xf numFmtId="0" fontId="8" fillId="0" borderId="0" xfId="0" applyFont="1" applyAlignment="1">
      <alignment wrapText="1"/>
    </xf>
    <xf numFmtId="165" fontId="8" fillId="0" borderId="0" xfId="0" applyNumberFormat="1" applyFont="1"/>
    <xf numFmtId="44" fontId="8" fillId="0" borderId="0" xfId="2" applyFont="1"/>
    <xf numFmtId="44" fontId="8" fillId="0" borderId="0" xfId="0" applyNumberFormat="1" applyFont="1"/>
    <xf numFmtId="10" fontId="8" fillId="0" borderId="0" xfId="1" applyNumberFormat="1" applyFont="1"/>
    <xf numFmtId="164" fontId="8" fillId="0" borderId="0" xfId="1" applyNumberFormat="1" applyFont="1"/>
    <xf numFmtId="165" fontId="8" fillId="0" borderId="0" xfId="1" applyNumberFormat="1" applyFont="1"/>
    <xf numFmtId="14" fontId="8" fillId="0" borderId="0" xfId="0" applyNumberFormat="1" applyFont="1"/>
    <xf numFmtId="166" fontId="8" fillId="0" borderId="0" xfId="0" applyNumberFormat="1" applyFont="1"/>
    <xf numFmtId="14" fontId="6" fillId="0" borderId="0" xfId="0" applyNumberFormat="1" applyFont="1"/>
    <xf numFmtId="44" fontId="12" fillId="0" borderId="0" xfId="2" applyFont="1"/>
    <xf numFmtId="44" fontId="0" fillId="0" borderId="0" xfId="2" applyFont="1"/>
    <xf numFmtId="164" fontId="0" fillId="0" borderId="0" xfId="1" applyNumberFormat="1" applyFont="1"/>
    <xf numFmtId="0" fontId="8" fillId="0" borderId="2" xfId="0" applyFont="1" applyBorder="1"/>
    <xf numFmtId="44" fontId="8" fillId="0" borderId="0" xfId="2" applyFont="1" applyBorder="1"/>
    <xf numFmtId="164" fontId="8" fillId="0" borderId="3" xfId="1" applyNumberFormat="1" applyFont="1" applyBorder="1"/>
    <xf numFmtId="44" fontId="8" fillId="0" borderId="4" xfId="2" applyFont="1" applyBorder="1"/>
    <xf numFmtId="44" fontId="8" fillId="0" borderId="4" xfId="0" applyNumberFormat="1" applyFont="1" applyBorder="1"/>
    <xf numFmtId="164" fontId="8" fillId="0" borderId="5" xfId="1" applyNumberFormat="1" applyFont="1" applyBorder="1"/>
    <xf numFmtId="44" fontId="11" fillId="0" borderId="0" xfId="2" applyFont="1"/>
    <xf numFmtId="0" fontId="11" fillId="0" borderId="6" xfId="0" applyFont="1" applyBorder="1"/>
    <xf numFmtId="44" fontId="11" fillId="0" borderId="6" xfId="2" applyFont="1" applyBorder="1"/>
    <xf numFmtId="164" fontId="11" fillId="0" borderId="7" xfId="1" applyNumberFormat="1" applyFont="1" applyBorder="1"/>
    <xf numFmtId="0" fontId="11" fillId="0" borderId="8" xfId="0" applyFont="1" applyBorder="1"/>
    <xf numFmtId="0" fontId="7" fillId="0" borderId="8" xfId="0" applyFont="1" applyBorder="1"/>
    <xf numFmtId="0" fontId="7" fillId="0" borderId="9" xfId="0" applyFont="1" applyBorder="1"/>
    <xf numFmtId="0" fontId="14" fillId="0" borderId="0" xfId="3" applyFont="1"/>
    <xf numFmtId="0" fontId="4" fillId="0" borderId="0" xfId="0" applyFont="1" applyAlignment="1">
      <alignment wrapText="1"/>
    </xf>
    <xf numFmtId="14" fontId="8" fillId="0" borderId="0" xfId="1" applyNumberFormat="1" applyFont="1"/>
    <xf numFmtId="165" fontId="8" fillId="0" borderId="0" xfId="1" applyNumberFormat="1" applyFont="1" applyAlignment="1">
      <alignment wrapText="1"/>
    </xf>
    <xf numFmtId="14" fontId="7" fillId="0" borderId="1" xfId="0" applyNumberFormat="1" applyFont="1" applyBorder="1"/>
    <xf numFmtId="0" fontId="7" fillId="0" borderId="1" xfId="0" applyFont="1" applyBorder="1"/>
    <xf numFmtId="1" fontId="7" fillId="0" borderId="1" xfId="0" applyNumberFormat="1" applyFont="1" applyBorder="1"/>
    <xf numFmtId="3" fontId="7" fillId="0" borderId="1" xfId="0" applyNumberFormat="1" applyFont="1" applyBorder="1"/>
    <xf numFmtId="10" fontId="7" fillId="0" borderId="1" xfId="0" applyNumberFormat="1" applyFont="1" applyBorder="1"/>
    <xf numFmtId="0" fontId="7" fillId="0" borderId="1" xfId="0" applyFont="1" applyBorder="1" applyAlignment="1">
      <alignment wrapText="1"/>
    </xf>
    <xf numFmtId="3" fontId="7" fillId="0" borderId="1" xfId="0" applyNumberFormat="1" applyFont="1" applyBorder="1" applyAlignment="1">
      <alignment wrapText="1"/>
    </xf>
    <xf numFmtId="44" fontId="16" fillId="0" borderId="0" xfId="2" applyFont="1" applyAlignment="1">
      <alignment vertical="top" wrapText="1"/>
    </xf>
    <xf numFmtId="0" fontId="16" fillId="0" borderId="0" xfId="0" applyFont="1" applyAlignment="1">
      <alignment vertical="top" wrapText="1"/>
    </xf>
    <xf numFmtId="14" fontId="8" fillId="0" borderId="0" xfId="2" applyNumberFormat="1" applyFont="1"/>
    <xf numFmtId="167" fontId="8" fillId="0" borderId="0" xfId="2" applyNumberFormat="1" applyFont="1"/>
    <xf numFmtId="14" fontId="0" fillId="0" borderId="0" xfId="0" applyNumberFormat="1"/>
    <xf numFmtId="44" fontId="7" fillId="0" borderId="1" xfId="2" applyFont="1" applyBorder="1" applyAlignment="1">
      <alignment wrapText="1"/>
    </xf>
    <xf numFmtId="164" fontId="7" fillId="0" borderId="1" xfId="1" applyNumberFormat="1" applyFont="1" applyBorder="1"/>
    <xf numFmtId="44" fontId="7" fillId="0" borderId="1" xfId="2" applyFont="1" applyBorder="1"/>
    <xf numFmtId="14" fontId="7" fillId="0" borderId="1" xfId="0" applyNumberFormat="1" applyFont="1" applyBorder="1" applyAlignment="1">
      <alignment wrapText="1"/>
    </xf>
    <xf numFmtId="44" fontId="7" fillId="0" borderId="0" xfId="2" applyFont="1"/>
    <xf numFmtId="44" fontId="12" fillId="0" borderId="0" xfId="2" applyFont="1" applyAlignment="1">
      <alignment wrapText="1"/>
    </xf>
    <xf numFmtId="14" fontId="7" fillId="0" borderId="0" xfId="0" applyNumberFormat="1" applyFont="1"/>
    <xf numFmtId="14" fontId="16" fillId="0" borderId="1" xfId="0" applyNumberFormat="1" applyFont="1" applyBorder="1" applyAlignment="1">
      <alignment vertical="top" wrapText="1"/>
    </xf>
    <xf numFmtId="0" fontId="16" fillId="0" borderId="1" xfId="0" applyFont="1" applyBorder="1" applyAlignment="1">
      <alignment vertical="top" wrapText="1"/>
    </xf>
    <xf numFmtId="44" fontId="16" fillId="0" borderId="1" xfId="2" applyFont="1" applyBorder="1" applyAlignment="1">
      <alignment vertical="top" wrapText="1"/>
    </xf>
    <xf numFmtId="1" fontId="16" fillId="0" borderId="1" xfId="0" applyNumberFormat="1" applyFont="1" applyBorder="1" applyAlignment="1">
      <alignment vertical="top" wrapText="1"/>
    </xf>
    <xf numFmtId="0" fontId="8" fillId="0" borderId="0" xfId="0" applyFont="1" applyAlignment="1">
      <alignment vertical="top" wrapText="1"/>
    </xf>
    <xf numFmtId="0" fontId="13" fillId="0" borderId="0" xfId="3"/>
    <xf numFmtId="164" fontId="16" fillId="0" borderId="1" xfId="1" applyNumberFormat="1" applyFont="1" applyBorder="1" applyAlignment="1">
      <alignment vertical="top" wrapText="1"/>
    </xf>
    <xf numFmtId="2" fontId="8" fillId="0" borderId="0" xfId="0" applyNumberFormat="1" applyFont="1"/>
    <xf numFmtId="44" fontId="8" fillId="0" borderId="10" xfId="2" applyFont="1" applyBorder="1"/>
    <xf numFmtId="14" fontId="8" fillId="0" borderId="0" xfId="2" applyNumberFormat="1" applyFont="1" applyAlignment="1">
      <alignment horizontal="left"/>
    </xf>
    <xf numFmtId="0" fontId="8" fillId="0" borderId="0" xfId="1" applyNumberFormat="1" applyFont="1"/>
    <xf numFmtId="165" fontId="8" fillId="0" borderId="0" xfId="2" applyNumberFormat="1" applyFont="1"/>
    <xf numFmtId="10" fontId="8" fillId="0" borderId="0" xfId="1" applyNumberFormat="1" applyFont="1" applyBorder="1"/>
    <xf numFmtId="0" fontId="0" fillId="0" borderId="14" xfId="0" applyBorder="1"/>
    <xf numFmtId="0" fontId="8" fillId="0" borderId="15" xfId="0" applyFont="1" applyBorder="1"/>
    <xf numFmtId="0" fontId="8" fillId="0" borderId="14" xfId="0" applyFont="1" applyBorder="1"/>
    <xf numFmtId="44" fontId="8" fillId="0" borderId="15" xfId="2" applyFont="1" applyBorder="1"/>
    <xf numFmtId="0" fontId="8" fillId="0" borderId="16" xfId="0" applyFont="1" applyBorder="1" applyAlignment="1">
      <alignment horizontal="left" wrapText="1"/>
    </xf>
    <xf numFmtId="44" fontId="8" fillId="0" borderId="17" xfId="0" applyNumberFormat="1" applyFont="1" applyBorder="1" applyAlignment="1">
      <alignment horizontal="center"/>
    </xf>
    <xf numFmtId="0" fontId="8" fillId="0" borderId="17" xfId="0" applyFont="1" applyBorder="1"/>
    <xf numFmtId="0" fontId="8" fillId="0" borderId="17" xfId="0" applyFont="1" applyBorder="1" applyAlignment="1">
      <alignment horizontal="left" wrapText="1"/>
    </xf>
    <xf numFmtId="44" fontId="8" fillId="0" borderId="18" xfId="0" applyNumberFormat="1" applyFont="1" applyBorder="1" applyAlignment="1">
      <alignment horizontal="center"/>
    </xf>
    <xf numFmtId="0" fontId="8" fillId="0" borderId="19" xfId="0" applyFont="1" applyBorder="1"/>
    <xf numFmtId="0" fontId="8" fillId="0" borderId="4" xfId="0" applyFont="1" applyBorder="1"/>
    <xf numFmtId="0" fontId="8" fillId="0" borderId="20" xfId="0" applyFont="1" applyBorder="1"/>
    <xf numFmtId="0" fontId="8" fillId="0" borderId="0" xfId="0" applyFont="1" applyAlignment="1">
      <alignment horizontal="center"/>
    </xf>
    <xf numFmtId="0" fontId="8" fillId="0" borderId="15" xfId="0" applyFont="1" applyBorder="1" applyAlignment="1">
      <alignment horizontal="center"/>
    </xf>
    <xf numFmtId="0" fontId="8" fillId="0" borderId="13" xfId="0" applyFont="1" applyBorder="1"/>
    <xf numFmtId="44" fontId="8" fillId="0" borderId="15" xfId="2" applyFont="1" applyBorder="1" applyAlignment="1">
      <alignment horizontal="center"/>
    </xf>
    <xf numFmtId="0" fontId="8" fillId="0" borderId="16" xfId="0" applyFont="1" applyBorder="1"/>
    <xf numFmtId="9" fontId="8" fillId="0" borderId="17" xfId="1" applyFont="1" applyBorder="1"/>
    <xf numFmtId="9" fontId="8" fillId="0" borderId="18" xfId="1" applyFont="1" applyBorder="1"/>
    <xf numFmtId="0" fontId="7" fillId="0" borderId="11" xfId="0" applyFont="1" applyBorder="1"/>
    <xf numFmtId="0" fontId="6" fillId="0" borderId="14" xfId="0" applyFont="1" applyBorder="1"/>
    <xf numFmtId="164" fontId="8" fillId="0" borderId="15" xfId="0" applyNumberFormat="1" applyFont="1" applyBorder="1"/>
    <xf numFmtId="0" fontId="5" fillId="0" borderId="14" xfId="0" applyFont="1" applyBorder="1"/>
    <xf numFmtId="0" fontId="6" fillId="0" borderId="16" xfId="0" applyFont="1" applyBorder="1"/>
    <xf numFmtId="164" fontId="8" fillId="0" borderId="18" xfId="0" applyNumberFormat="1" applyFont="1" applyBorder="1"/>
    <xf numFmtId="0" fontId="8" fillId="0" borderId="21" xfId="0" applyFont="1" applyBorder="1"/>
    <xf numFmtId="44" fontId="8" fillId="0" borderId="22" xfId="2" applyFont="1" applyBorder="1"/>
    <xf numFmtId="10" fontId="19" fillId="0" borderId="0" xfId="0" applyNumberFormat="1" applyFont="1"/>
    <xf numFmtId="14" fontId="8" fillId="0" borderId="0" xfId="0" applyNumberFormat="1" applyFont="1" applyAlignment="1">
      <alignment horizontal="right"/>
    </xf>
    <xf numFmtId="0" fontId="11" fillId="0" borderId="0" xfId="0" applyFont="1"/>
    <xf numFmtId="2" fontId="17" fillId="0" borderId="0" xfId="1" applyNumberFormat="1" applyFont="1"/>
    <xf numFmtId="44" fontId="8" fillId="0" borderId="0" xfId="2" applyFont="1" applyBorder="1" applyAlignment="1">
      <alignment horizontal="center"/>
    </xf>
    <xf numFmtId="14" fontId="20" fillId="0" borderId="0" xfId="0" applyNumberFormat="1" applyFont="1"/>
    <xf numFmtId="44" fontId="20" fillId="0" borderId="0" xfId="2" applyFont="1"/>
    <xf numFmtId="14" fontId="8" fillId="0" borderId="0" xfId="0" applyNumberFormat="1" applyFont="1" applyAlignment="1">
      <alignment horizontal="left"/>
    </xf>
    <xf numFmtId="2" fontId="8" fillId="0" borderId="0" xfId="1" applyNumberFormat="1" applyFont="1"/>
    <xf numFmtId="0" fontId="16" fillId="15" borderId="1" xfId="0" applyFont="1" applyFill="1" applyBorder="1" applyAlignment="1">
      <alignment vertical="top" wrapText="1"/>
    </xf>
    <xf numFmtId="44" fontId="16" fillId="15" borderId="1" xfId="2" applyFont="1" applyFill="1" applyBorder="1" applyAlignment="1">
      <alignment vertical="top" wrapText="1"/>
    </xf>
    <xf numFmtId="164" fontId="16" fillId="15" borderId="1" xfId="1" applyNumberFormat="1" applyFont="1" applyFill="1" applyBorder="1" applyAlignment="1">
      <alignment vertical="top" wrapText="1"/>
    </xf>
    <xf numFmtId="1" fontId="16" fillId="15" borderId="1" xfId="0" applyNumberFormat="1" applyFont="1" applyFill="1" applyBorder="1" applyAlignment="1">
      <alignment vertical="top" wrapText="1"/>
    </xf>
    <xf numFmtId="44" fontId="16" fillId="15" borderId="23" xfId="2" applyFont="1" applyFill="1" applyBorder="1" applyAlignment="1">
      <alignment vertical="top" wrapText="1"/>
    </xf>
    <xf numFmtId="0" fontId="16" fillId="15" borderId="23" xfId="0" applyFont="1" applyFill="1" applyBorder="1" applyAlignment="1">
      <alignment vertical="top" wrapText="1"/>
    </xf>
    <xf numFmtId="1" fontId="16" fillId="15" borderId="0" xfId="0" applyNumberFormat="1" applyFont="1" applyFill="1" applyAlignment="1">
      <alignment vertical="top" wrapText="1"/>
    </xf>
    <xf numFmtId="44" fontId="16" fillId="15" borderId="0" xfId="2" applyFont="1" applyFill="1" applyBorder="1" applyAlignment="1">
      <alignment vertical="top" wrapText="1"/>
    </xf>
    <xf numFmtId="14" fontId="16" fillId="15" borderId="1" xfId="0" applyNumberFormat="1" applyFont="1" applyFill="1" applyBorder="1" applyAlignment="1">
      <alignment vertical="top" wrapText="1"/>
    </xf>
    <xf numFmtId="14" fontId="3" fillId="14" borderId="24" xfId="0" applyNumberFormat="1" applyFont="1" applyFill="1" applyBorder="1"/>
    <xf numFmtId="0" fontId="3" fillId="14" borderId="24" xfId="0" applyFont="1" applyFill="1" applyBorder="1"/>
    <xf numFmtId="44" fontId="3" fillId="14" borderId="24" xfId="0" applyNumberFormat="1" applyFont="1" applyFill="1" applyBorder="1"/>
    <xf numFmtId="164" fontId="3" fillId="14" borderId="24" xfId="1" applyNumberFormat="1" applyFont="1" applyFill="1" applyBorder="1"/>
    <xf numFmtId="44" fontId="3" fillId="14" borderId="24" xfId="2" applyFont="1" applyFill="1" applyBorder="1"/>
    <xf numFmtId="0" fontId="3" fillId="14" borderId="24" xfId="2" applyNumberFormat="1" applyFont="1" applyFill="1" applyBorder="1"/>
    <xf numFmtId="0" fontId="13" fillId="14" borderId="24" xfId="3" applyFill="1" applyBorder="1"/>
    <xf numFmtId="14" fontId="3" fillId="14" borderId="24" xfId="2" applyNumberFormat="1" applyFont="1" applyFill="1" applyBorder="1"/>
    <xf numFmtId="14" fontId="3" fillId="0" borderId="0" xfId="0" applyNumberFormat="1" applyFont="1" applyAlignment="1">
      <alignment horizontal="left"/>
    </xf>
    <xf numFmtId="0" fontId="3" fillId="0" borderId="0" xfId="0" applyFont="1"/>
    <xf numFmtId="44" fontId="3" fillId="0" borderId="0" xfId="2" applyFont="1"/>
    <xf numFmtId="0" fontId="8" fillId="0" borderId="0" xfId="2" applyNumberFormat="1" applyFont="1"/>
    <xf numFmtId="8" fontId="8" fillId="0" borderId="0" xfId="2" applyNumberFormat="1" applyFont="1"/>
    <xf numFmtId="0" fontId="8" fillId="0" borderId="25" xfId="0" applyFont="1" applyBorder="1" applyAlignment="1">
      <alignment wrapText="1"/>
    </xf>
    <xf numFmtId="9" fontId="8" fillId="0" borderId="0" xfId="1" applyFont="1"/>
    <xf numFmtId="168" fontId="8" fillId="0" borderId="0" xfId="0" applyNumberFormat="1" applyFont="1"/>
    <xf numFmtId="168" fontId="19" fillId="0" borderId="0" xfId="0" applyNumberFormat="1" applyFont="1"/>
    <xf numFmtId="44" fontId="8" fillId="0" borderId="14" xfId="2" applyFont="1" applyBorder="1"/>
    <xf numFmtId="44" fontId="8" fillId="0" borderId="26" xfId="2" applyFont="1" applyBorder="1"/>
    <xf numFmtId="44" fontId="8" fillId="0" borderId="27" xfId="0" applyNumberFormat="1" applyFont="1" applyBorder="1"/>
    <xf numFmtId="44" fontId="9" fillId="0" borderId="0" xfId="2" applyFont="1"/>
    <xf numFmtId="0" fontId="0" fillId="0" borderId="0" xfId="2" applyNumberFormat="1" applyFont="1"/>
    <xf numFmtId="0" fontId="5" fillId="2" borderId="0" xfId="0" applyFont="1" applyFill="1"/>
    <xf numFmtId="0" fontId="5" fillId="3" borderId="0" xfId="0" applyFont="1" applyFill="1"/>
    <xf numFmtId="0" fontId="5" fillId="4" borderId="0" xfId="0" applyFont="1" applyFill="1"/>
    <xf numFmtId="0" fontId="5" fillId="5" borderId="0" xfId="0" applyFont="1" applyFill="1"/>
    <xf numFmtId="0" fontId="5" fillId="6" borderId="0" xfId="0" applyFont="1" applyFill="1"/>
    <xf numFmtId="0" fontId="5" fillId="7" borderId="0" xfId="0" applyFont="1" applyFill="1"/>
    <xf numFmtId="0" fontId="5" fillId="8" borderId="0" xfId="0" applyFont="1" applyFill="1"/>
    <xf numFmtId="0" fontId="5" fillId="9" borderId="0" xfId="0" applyFont="1" applyFill="1"/>
    <xf numFmtId="0" fontId="5" fillId="10" borderId="0" xfId="0" applyFont="1" applyFill="1"/>
    <xf numFmtId="0" fontId="5" fillId="11" borderId="0" xfId="0" applyFont="1" applyFill="1"/>
    <xf numFmtId="0" fontId="5" fillId="12" borderId="0" xfId="0" applyFont="1" applyFill="1"/>
    <xf numFmtId="0" fontId="5" fillId="13" borderId="4" xfId="0" applyFont="1" applyFill="1" applyBorder="1"/>
    <xf numFmtId="0" fontId="7" fillId="0" borderId="0" xfId="0" applyFont="1"/>
    <xf numFmtId="1" fontId="8" fillId="0" borderId="0" xfId="2" applyNumberFormat="1" applyFont="1"/>
    <xf numFmtId="0" fontId="8" fillId="0" borderId="28" xfId="0" applyFont="1" applyBorder="1" applyAlignment="1">
      <alignment wrapText="1"/>
    </xf>
    <xf numFmtId="44" fontId="8" fillId="0" borderId="28" xfId="0" applyNumberFormat="1" applyFont="1" applyBorder="1"/>
    <xf numFmtId="0" fontId="0" fillId="0" borderId="28" xfId="0" applyBorder="1"/>
    <xf numFmtId="0" fontId="8" fillId="0" borderId="3" xfId="0" applyFont="1" applyBorder="1" applyAlignment="1">
      <alignment wrapText="1"/>
    </xf>
    <xf numFmtId="10" fontId="8" fillId="0" borderId="3" xfId="1" applyNumberFormat="1" applyFont="1" applyBorder="1"/>
    <xf numFmtId="0" fontId="8" fillId="0" borderId="0" xfId="0" applyFont="1" applyAlignment="1">
      <alignment horizontal="left"/>
    </xf>
    <xf numFmtId="0" fontId="8" fillId="0" borderId="0" xfId="3" applyNumberFormat="1" applyFont="1"/>
    <xf numFmtId="0" fontId="8" fillId="0" borderId="11" xfId="0" applyFont="1" applyBorder="1"/>
    <xf numFmtId="44" fontId="8" fillId="0" borderId="13" xfId="0" applyNumberFormat="1" applyFont="1" applyBorder="1"/>
    <xf numFmtId="10" fontId="8" fillId="0" borderId="18" xfId="0" applyNumberFormat="1" applyFont="1" applyBorder="1"/>
    <xf numFmtId="164" fontId="7" fillId="0" borderId="0" xfId="1" applyNumberFormat="1" applyFont="1"/>
    <xf numFmtId="164" fontId="21" fillId="0" borderId="0" xfId="1" applyNumberFormat="1" applyFont="1"/>
    <xf numFmtId="0" fontId="16" fillId="15" borderId="0" xfId="0" applyFont="1" applyFill="1" applyAlignment="1">
      <alignment vertical="top" wrapText="1"/>
    </xf>
    <xf numFmtId="14" fontId="2" fillId="14" borderId="0" xfId="0" applyNumberFormat="1" applyFont="1" applyFill="1"/>
    <xf numFmtId="0" fontId="18" fillId="0" borderId="11" xfId="0" applyFont="1" applyBorder="1" applyAlignment="1">
      <alignment horizontal="center"/>
    </xf>
    <xf numFmtId="0" fontId="18" fillId="0" borderId="12" xfId="0" applyFont="1" applyBorder="1" applyAlignment="1">
      <alignment horizontal="center"/>
    </xf>
    <xf numFmtId="0" fontId="18" fillId="0" borderId="13" xfId="0" applyFont="1" applyBorder="1" applyAlignment="1">
      <alignment horizontal="center"/>
    </xf>
    <xf numFmtId="44" fontId="11" fillId="0" borderId="11" xfId="2" applyFont="1" applyBorder="1" applyAlignment="1">
      <alignment horizontal="center"/>
    </xf>
    <xf numFmtId="44" fontId="11" fillId="0" borderId="13" xfId="2" applyFont="1" applyBorder="1" applyAlignment="1">
      <alignment horizontal="center"/>
    </xf>
    <xf numFmtId="0" fontId="8" fillId="0" borderId="0" xfId="0" applyFont="1" applyAlignment="1">
      <alignment horizontal="left" wrapText="1"/>
    </xf>
    <xf numFmtId="0" fontId="11" fillId="0" borderId="0" xfId="0" applyFont="1" applyAlignment="1">
      <alignment horizontal="center"/>
    </xf>
    <xf numFmtId="0" fontId="18" fillId="0" borderId="0" xfId="0" applyFont="1" applyAlignment="1">
      <alignment horizontal="center"/>
    </xf>
    <xf numFmtId="10" fontId="8" fillId="0" borderId="0" xfId="1" applyNumberFormat="1" applyFont="1" applyAlignment="1">
      <alignment horizontal="right"/>
    </xf>
    <xf numFmtId="0" fontId="11" fillId="0" borderId="28" xfId="0" applyFont="1" applyBorder="1" applyAlignment="1">
      <alignment horizontal="center"/>
    </xf>
    <xf numFmtId="0" fontId="11" fillId="0" borderId="3" xfId="0" applyFont="1" applyBorder="1" applyAlignment="1">
      <alignment horizontal="center"/>
    </xf>
    <xf numFmtId="0" fontId="1" fillId="14" borderId="24" xfId="0" applyFont="1" applyFill="1" applyBorder="1"/>
  </cellXfs>
  <cellStyles count="5">
    <cellStyle name="Currency" xfId="2" builtinId="4"/>
    <cellStyle name="Currency 2" xfId="4" xr:uid="{B3D07A2F-1F36-46AD-8B9B-03581189C423}"/>
    <cellStyle name="Hyperlink" xfId="3" builtinId="8"/>
    <cellStyle name="Normal" xfId="0" builtinId="0"/>
    <cellStyle name="Percent" xfId="1" builtinId="5"/>
  </cellStyles>
  <dxfs count="165">
    <dxf>
      <fill>
        <patternFill patternType="solid">
          <fgColor rgb="FFB7E1CD"/>
          <bgColor rgb="FFB7E1CD"/>
        </patternFill>
      </fill>
    </dxf>
    <dxf>
      <font>
        <strike val="0"/>
        <color theme="1"/>
      </font>
    </dxf>
    <dxf>
      <font>
        <strike val="0"/>
        <color theme="1"/>
      </font>
    </dxf>
    <dxf>
      <font>
        <strike val="0"/>
        <color theme="1"/>
      </font>
    </dxf>
    <dxf>
      <font>
        <strike val="0"/>
        <color theme="1"/>
      </font>
    </dxf>
    <dxf>
      <font>
        <strike val="0"/>
        <color theme="1"/>
      </font>
    </dxf>
    <dxf>
      <font>
        <strike val="0"/>
        <color theme="1"/>
      </font>
    </dxf>
    <dxf>
      <font>
        <strike val="0"/>
        <color theme="1"/>
      </font>
    </dxf>
    <dxf>
      <font>
        <strike val="0"/>
        <color theme="1"/>
      </font>
    </dxf>
    <dxf>
      <font>
        <strike val="0"/>
        <outline val="0"/>
        <shadow val="0"/>
        <u val="none"/>
        <vertAlign val="baseline"/>
        <sz val="11"/>
        <color rgb="FF000000"/>
        <name val="Arial"/>
        <family val="2"/>
        <scheme val="minor"/>
      </font>
      <numFmt numFmtId="164" formatCode="0.0%"/>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numFmt numFmtId="2" formatCode="0.00"/>
    </dxf>
    <dxf>
      <font>
        <strike val="0"/>
        <outline val="0"/>
        <shadow val="0"/>
        <u val="none"/>
        <vertAlign val="baseline"/>
        <sz val="11"/>
        <color rgb="FF000000"/>
        <name val="Arial"/>
        <family val="2"/>
        <scheme val="minor"/>
      </font>
      <numFmt numFmtId="14" formatCode="0.00%"/>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strike val="0"/>
        <outline val="0"/>
        <shadow val="0"/>
        <u val="none"/>
        <vertAlign val="baseline"/>
        <sz val="11"/>
        <color rgb="FF000000"/>
        <name val="Arial"/>
        <family val="2"/>
        <scheme val="minor"/>
      </font>
      <numFmt numFmtId="14" formatCode="0.00%"/>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ertAlign val="baseline"/>
        <sz val="11"/>
        <color theme="1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19" formatCode="dd/mm/yyyy"/>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b val="0"/>
        <i val="0"/>
        <strike val="0"/>
        <condense val="0"/>
        <extend val="0"/>
        <outline val="0"/>
        <shadow val="0"/>
        <u val="none"/>
        <vertAlign val="baseline"/>
        <sz val="11"/>
        <color rgb="FF000000"/>
        <name val="Arial"/>
        <family val="2"/>
        <scheme val="minor"/>
      </font>
      <numFmt numFmtId="164" formatCode="0.0%"/>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19" formatCode="dd/mm/yyyy"/>
    </dxf>
    <dxf>
      <font>
        <b val="0"/>
        <i val="0"/>
        <strike val="0"/>
        <condense val="0"/>
        <extend val="0"/>
        <outline val="0"/>
        <shadow val="0"/>
        <u val="none"/>
        <vertAlign val="baseline"/>
        <sz val="11"/>
        <color rgb="FF000000"/>
        <name val="Arial"/>
        <family val="2"/>
        <scheme val="minor"/>
      </font>
    </dxf>
    <dxf>
      <font>
        <b/>
        <i val="0"/>
        <strike val="0"/>
        <condense val="0"/>
        <extend val="0"/>
        <outline val="0"/>
        <shadow val="0"/>
        <u val="none"/>
        <vertAlign val="baseline"/>
        <sz val="11"/>
        <color auto="1"/>
        <name val="Arial"/>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19" formatCode="dd/mm/yyyy"/>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19" formatCode="dd/mm/yyyy"/>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164" formatCode="0.0%"/>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19" formatCode="dd/mm/yyyy"/>
      <fill>
        <patternFill patternType="solid">
          <fgColor theme="9" tint="0.79998168889431442"/>
          <bgColor theme="9" tint="0.79998168889431442"/>
        </patternFill>
      </fill>
      <border diagonalUp="0" diagonalDown="0">
        <left/>
        <right/>
        <top style="thin">
          <color theme="9" tint="0.39997558519241921"/>
        </top>
        <bottom/>
        <vertical/>
        <horizontal/>
      </border>
    </dxf>
    <dxf>
      <border outline="0">
        <left style="thin">
          <color theme="9" tint="0.39997558519241921"/>
        </left>
        <bottom style="thin">
          <color theme="9" tint="0.39997558519241921"/>
        </bottom>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dxf>
    <dxf>
      <font>
        <b/>
        <i val="0"/>
        <strike val="0"/>
        <condense val="0"/>
        <extend val="0"/>
        <outline val="0"/>
        <shadow val="0"/>
        <u val="none"/>
        <vertAlign val="baseline"/>
        <sz val="11"/>
        <color auto="1"/>
        <name val="Arial"/>
        <family val="2"/>
        <scheme val="minor"/>
      </font>
      <fill>
        <patternFill patternType="solid">
          <fgColor theme="9"/>
          <bgColor theme="9"/>
        </patternFill>
      </fill>
      <alignment horizontal="general" vertical="top" textRotation="0" wrapText="1" indent="0" justifyLastLine="0" shrinkToFit="0" readingOrder="0"/>
    </dxf>
    <dxf>
      <font>
        <strike val="0"/>
        <outline val="0"/>
        <shadow val="0"/>
        <u val="none"/>
        <vertAlign val="baseline"/>
        <sz val="11"/>
        <color rgb="FF000000"/>
        <name val="Arial"/>
        <family val="2"/>
        <scheme val="minor"/>
      </font>
      <numFmt numFmtId="165" formatCode="#,##0.00\ &quot;€&quot;"/>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165" formatCode="#,##0.00\ &quot;€&quot;"/>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164" formatCode="0.0%"/>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165" formatCode="#,##0.00\ &quot;€&quot;"/>
    </dxf>
    <dxf>
      <font>
        <b val="0"/>
        <i val="0"/>
        <strike val="0"/>
        <condense val="0"/>
        <extend val="0"/>
        <outline val="0"/>
        <shadow val="0"/>
        <u val="none"/>
        <vertAlign val="baseline"/>
        <sz val="11"/>
        <color rgb="FF000000"/>
        <name val="Arial"/>
        <family val="2"/>
        <scheme val="minor"/>
      </font>
      <numFmt numFmtId="164" formatCode="0.0%"/>
    </dxf>
    <dxf>
      <font>
        <b val="0"/>
        <i val="0"/>
        <strike val="0"/>
        <condense val="0"/>
        <extend val="0"/>
        <outline val="0"/>
        <shadow val="0"/>
        <u val="none"/>
        <vertAlign val="baseline"/>
        <sz val="11"/>
        <color rgb="FF000000"/>
        <name val="Arial"/>
        <family val="2"/>
        <scheme val="minor"/>
      </font>
      <numFmt numFmtId="165" formatCode="#,##0.00\ &quot;€&quot;"/>
    </dxf>
    <dxf>
      <font>
        <b val="0"/>
        <i val="0"/>
        <strike val="0"/>
        <condense val="0"/>
        <extend val="0"/>
        <outline val="0"/>
        <shadow val="0"/>
        <u val="none"/>
        <vertAlign val="baseline"/>
        <sz val="11"/>
        <color rgb="FF000000"/>
        <name val="Arial"/>
        <family val="2"/>
        <scheme val="minor"/>
      </font>
      <numFmt numFmtId="165" formatCode="#,##0.00\ &quot;€&quot;"/>
    </dxf>
    <dxf>
      <font>
        <b val="0"/>
        <i val="0"/>
        <strike val="0"/>
        <condense val="0"/>
        <extend val="0"/>
        <outline val="0"/>
        <shadow val="0"/>
        <u val="none"/>
        <vertAlign val="baseline"/>
        <sz val="11"/>
        <color rgb="FF000000"/>
        <name val="Arial"/>
        <family val="2"/>
        <scheme val="minor"/>
      </font>
      <numFmt numFmtId="165" formatCode="#,##0.00\ &quot;€&quot;"/>
    </dxf>
    <dxf>
      <font>
        <b val="0"/>
        <i val="0"/>
        <strike val="0"/>
        <condense val="0"/>
        <extend val="0"/>
        <outline val="0"/>
        <shadow val="0"/>
        <u val="none"/>
        <vertAlign val="baseline"/>
        <sz val="11"/>
        <color rgb="FF000000"/>
        <name val="Arial"/>
        <family val="2"/>
        <scheme val="minor"/>
      </font>
      <numFmt numFmtId="165" formatCode="#,##0.00\ &quot;€&quot;"/>
    </dxf>
    <dxf>
      <font>
        <b val="0"/>
        <i val="0"/>
        <strike val="0"/>
        <condense val="0"/>
        <extend val="0"/>
        <outline val="0"/>
        <shadow val="0"/>
        <u val="none"/>
        <vertAlign val="baseline"/>
        <sz val="11"/>
        <color rgb="FF000000"/>
        <name val="Arial"/>
        <family val="2"/>
        <scheme val="minor"/>
      </font>
      <numFmt numFmtId="164" formatCode="0.0%"/>
    </dxf>
    <dxf>
      <font>
        <b val="0"/>
        <i val="0"/>
        <strike val="0"/>
        <condense val="0"/>
        <extend val="0"/>
        <outline val="0"/>
        <shadow val="0"/>
        <u val="none"/>
        <vertAlign val="baseline"/>
        <sz val="11"/>
        <color rgb="FF000000"/>
        <name val="Arial"/>
        <family val="2"/>
        <scheme val="minor"/>
      </font>
      <numFmt numFmtId="164" formatCode="0.0%"/>
    </dxf>
    <dxf>
      <font>
        <b val="0"/>
        <i val="0"/>
        <strike val="0"/>
        <condense val="0"/>
        <extend val="0"/>
        <outline val="0"/>
        <shadow val="0"/>
        <u val="none"/>
        <vertAlign val="baseline"/>
        <sz val="11"/>
        <color rgb="FF000000"/>
        <name val="Arial"/>
        <family val="2"/>
        <scheme val="minor"/>
      </font>
      <numFmt numFmtId="164" formatCode="0.0%"/>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scheme val="minor"/>
      </font>
    </dxf>
    <dxf>
      <font>
        <b val="0"/>
        <strike val="0"/>
        <outline val="0"/>
        <shadow val="0"/>
        <u val="none"/>
        <vertAlign val="baseline"/>
        <sz val="11"/>
        <color rgb="FF000000"/>
        <name val="Arial"/>
        <scheme val="minor"/>
      </font>
    </dxf>
    <dxf>
      <font>
        <b val="0"/>
        <i val="0"/>
        <strike val="0"/>
        <condense val="0"/>
        <extend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164" formatCode="0.0%"/>
    </dxf>
    <dxf>
      <font>
        <b val="0"/>
        <i val="0"/>
        <strike val="0"/>
        <condense val="0"/>
        <extend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164" formatCode="0.0%"/>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34" formatCode="_-* #,##0.00\ &quot;€&quot;_-;\-* #,##0.00\ &quot;€&quot;_-;_-* &quot;-&quot;??\ &quot;€&quot;_-;_-@_-"/>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19" formatCode="dd/mm/yyyy"/>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19" formatCode="dd/mm/yyyy"/>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2" formatCode="0.00"/>
    </dxf>
    <dxf>
      <font>
        <strike val="0"/>
        <outline val="0"/>
        <shadow val="0"/>
        <u val="none"/>
        <vertAlign val="baseline"/>
        <sz val="11"/>
        <color rgb="FF000000"/>
        <name val="Arial"/>
        <scheme val="minor"/>
      </font>
      <numFmt numFmtId="164" formatCode="0.0%"/>
    </dxf>
    <dxf>
      <font>
        <strike val="0"/>
        <outline val="0"/>
        <shadow val="0"/>
        <u val="none"/>
        <vertAlign val="baseline"/>
        <sz val="11"/>
        <color rgb="FF000000"/>
        <name val="Arial"/>
        <scheme val="minor"/>
      </font>
      <numFmt numFmtId="34" formatCode="_-* #,##0.00\ &quot;€&quot;_-;\-* #,##0.00\ &quot;€&quot;_-;_-* &quot;-&quot;??\ &quot;€&quot;_-;_-@_-"/>
    </dxf>
    <dxf>
      <font>
        <strike val="0"/>
        <outline val="0"/>
        <shadow val="0"/>
        <u val="none"/>
        <vertAlign val="baseline"/>
        <sz val="11"/>
        <color rgb="FF000000"/>
        <name val="Arial"/>
        <scheme val="minor"/>
      </font>
      <numFmt numFmtId="164" formatCode="0.0%"/>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34" formatCode="_-* #,##0.00\ &quot;€&quot;_-;\-* #,##0.00\ &quot;€&quot;_-;_-* &quot;-&quot;??\ &quot;€&quot;_-;_-@_-"/>
    </dxf>
    <dxf>
      <font>
        <strike val="0"/>
        <outline val="0"/>
        <shadow val="0"/>
        <u val="none"/>
        <vertAlign val="baseline"/>
        <sz val="11"/>
        <color rgb="FF000000"/>
        <name val="Arial"/>
        <scheme val="minor"/>
      </font>
      <numFmt numFmtId="34" formatCode="_-* #,##0.00\ &quot;€&quot;_-;\-* #,##0.00\ &quot;€&quot;_-;_-* &quot;-&quot;??\ &quot;€&quot;_-;_-@_-"/>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19" formatCode="dd/mm/yyyy"/>
    </dxf>
    <dxf>
      <font>
        <strike val="0"/>
        <outline val="0"/>
        <shadow val="0"/>
        <u val="none"/>
        <vertAlign val="baseline"/>
        <sz val="11"/>
        <color rgb="FF000000"/>
        <name val="Arial"/>
        <scheme val="minor"/>
      </font>
    </dxf>
    <dxf>
      <font>
        <b/>
        <i val="0"/>
        <strike val="0"/>
        <condense val="0"/>
        <extend val="0"/>
        <outline val="0"/>
        <shadow val="0"/>
        <u val="none"/>
        <vertAlign val="baseline"/>
        <sz val="11"/>
        <color theme="1"/>
        <name val="Arial"/>
        <family val="2"/>
        <scheme val="minor"/>
      </font>
    </dxf>
    <dxf>
      <font>
        <color theme="1"/>
      </font>
    </dxf>
    <dxf>
      <font>
        <color theme="1"/>
      </font>
    </dxf>
  </dxfs>
  <tableStyles count="2" defaultTableStyle="TableStyleMedium2" defaultPivotStyle="PivotStyleLight16">
    <tableStyle name="Table Style 1" pivot="0" count="1" xr9:uid="{B54C6A44-7CD1-4E69-9782-08DBF826F00F}">
      <tableStyleElement type="wholeTable" dxfId="164"/>
    </tableStyle>
    <tableStyle name="Table Style 2" pivot="0" count="1" xr9:uid="{51AE1ADE-EA2A-42E4-B601-628BB5DF69DF}">
      <tableStyleElement type="wholeTable" dxfId="163"/>
    </tableStyle>
  </tableStyles>
  <colors>
    <mruColors>
      <color rgb="FF00B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AT"/>
              <a:t>Branchen nach investierten Kapital</a:t>
            </a:r>
          </a:p>
        </c:rich>
      </c:tx>
      <c:overlay val="0"/>
    </c:title>
    <c:autoTitleDeleted val="0"/>
    <c:plotArea>
      <c:layout>
        <c:manualLayout>
          <c:layoutTarget val="inner"/>
          <c:xMode val="edge"/>
          <c:yMode val="edge"/>
          <c:x val="8.8625021872265952E-2"/>
          <c:y val="4.6720575022461817E-2"/>
          <c:w val="0.56944444444444442"/>
          <c:h val="0.92093441150044919"/>
        </c:manualLayout>
      </c:layout>
      <c:pieChart>
        <c:varyColors val="1"/>
        <c:ser>
          <c:idx val="0"/>
          <c:order val="0"/>
          <c:dPt>
            <c:idx val="0"/>
            <c:bubble3D val="0"/>
            <c:spPr>
              <a:solidFill>
                <a:srgbClr val="FFF7A0"/>
              </a:solidFill>
            </c:spPr>
            <c:extLst>
              <c:ext xmlns:c16="http://schemas.microsoft.com/office/drawing/2014/chart" uri="{C3380CC4-5D6E-409C-BE32-E72D297353CC}">
                <c16:uniqueId val="{00000001-2984-4FD1-B6D6-693087F94D10}"/>
              </c:ext>
            </c:extLst>
          </c:dPt>
          <c:dPt>
            <c:idx val="1"/>
            <c:bubble3D val="0"/>
            <c:spPr>
              <a:solidFill>
                <a:srgbClr val="B9C3FF"/>
              </a:solidFill>
            </c:spPr>
            <c:extLst>
              <c:ext xmlns:c16="http://schemas.microsoft.com/office/drawing/2014/chart" uri="{C3380CC4-5D6E-409C-BE32-E72D297353CC}">
                <c16:uniqueId val="{00000003-2984-4FD1-B6D6-693087F94D10}"/>
              </c:ext>
            </c:extLst>
          </c:dPt>
          <c:dPt>
            <c:idx val="2"/>
            <c:bubble3D val="0"/>
            <c:spPr>
              <a:solidFill>
                <a:srgbClr val="DEA38B"/>
              </a:solidFill>
            </c:spPr>
            <c:extLst>
              <c:ext xmlns:c16="http://schemas.microsoft.com/office/drawing/2014/chart" uri="{C3380CC4-5D6E-409C-BE32-E72D297353CC}">
                <c16:uniqueId val="{00000005-2984-4FD1-B6D6-693087F94D10}"/>
              </c:ext>
            </c:extLst>
          </c:dPt>
          <c:dPt>
            <c:idx val="3"/>
            <c:bubble3D val="0"/>
            <c:spPr>
              <a:solidFill>
                <a:srgbClr val="EEB9C7"/>
              </a:solidFill>
            </c:spPr>
            <c:extLst>
              <c:ext xmlns:c16="http://schemas.microsoft.com/office/drawing/2014/chart" uri="{C3380CC4-5D6E-409C-BE32-E72D297353CC}">
                <c16:uniqueId val="{00000007-2984-4FD1-B6D6-693087F94D10}"/>
              </c:ext>
            </c:extLst>
          </c:dPt>
          <c:dPt>
            <c:idx val="4"/>
            <c:bubble3D val="0"/>
            <c:spPr>
              <a:solidFill>
                <a:srgbClr val="FFC384"/>
              </a:solidFill>
            </c:spPr>
            <c:extLst>
              <c:ext xmlns:c16="http://schemas.microsoft.com/office/drawing/2014/chart" uri="{C3380CC4-5D6E-409C-BE32-E72D297353CC}">
                <c16:uniqueId val="{00000009-2984-4FD1-B6D6-693087F94D10}"/>
              </c:ext>
            </c:extLst>
          </c:dPt>
          <c:dPt>
            <c:idx val="5"/>
            <c:bubble3D val="0"/>
            <c:spPr>
              <a:solidFill>
                <a:srgbClr val="B0A9E4"/>
              </a:solidFill>
            </c:spPr>
            <c:extLst>
              <c:ext xmlns:c16="http://schemas.microsoft.com/office/drawing/2014/chart" uri="{C3380CC4-5D6E-409C-BE32-E72D297353CC}">
                <c16:uniqueId val="{0000000B-2984-4FD1-B6D6-693087F94D10}"/>
              </c:ext>
            </c:extLst>
          </c:dPt>
          <c:dPt>
            <c:idx val="6"/>
            <c:bubble3D val="0"/>
            <c:spPr>
              <a:solidFill>
                <a:srgbClr val="F98284"/>
              </a:solidFill>
            </c:spPr>
            <c:extLst>
              <c:ext xmlns:c16="http://schemas.microsoft.com/office/drawing/2014/chart" uri="{C3380CC4-5D6E-409C-BE32-E72D297353CC}">
                <c16:uniqueId val="{0000000D-2984-4FD1-B6D6-693087F94D10}"/>
              </c:ext>
            </c:extLst>
          </c:dPt>
          <c:dPt>
            <c:idx val="7"/>
            <c:bubble3D val="0"/>
            <c:spPr>
              <a:solidFill>
                <a:srgbClr val="CED5FF"/>
              </a:solidFill>
            </c:spPr>
            <c:extLst>
              <c:ext xmlns:c16="http://schemas.microsoft.com/office/drawing/2014/chart" uri="{C3380CC4-5D6E-409C-BE32-E72D297353CC}">
                <c16:uniqueId val="{0000000F-2984-4FD1-B6D6-693087F94D10}"/>
              </c:ext>
            </c:extLst>
          </c:dPt>
          <c:dPt>
            <c:idx val="8"/>
            <c:bubble3D val="0"/>
            <c:spPr>
              <a:solidFill>
                <a:srgbClr val="FFC3EC"/>
              </a:solidFill>
            </c:spPr>
            <c:extLst>
              <c:ext xmlns:c16="http://schemas.microsoft.com/office/drawing/2014/chart" uri="{C3380CC4-5D6E-409C-BE32-E72D297353CC}">
                <c16:uniqueId val="{00000011-2984-4FD1-B6D6-693087F94D10}"/>
              </c:ext>
            </c:extLst>
          </c:dPt>
          <c:dPt>
            <c:idx val="9"/>
            <c:bubble3D val="0"/>
            <c:spPr>
              <a:solidFill>
                <a:srgbClr val="ACCCE4"/>
              </a:solidFill>
            </c:spPr>
            <c:extLst>
              <c:ext xmlns:c16="http://schemas.microsoft.com/office/drawing/2014/chart" uri="{C3380CC4-5D6E-409C-BE32-E72D297353CC}">
                <c16:uniqueId val="{00000013-2984-4FD1-B6D6-693087F94D10}"/>
              </c:ext>
            </c:extLst>
          </c:dPt>
          <c:dPt>
            <c:idx val="10"/>
            <c:bubble3D val="0"/>
            <c:spPr>
              <a:solidFill>
                <a:srgbClr val="B0EB93"/>
              </a:solidFill>
            </c:spPr>
            <c:extLst>
              <c:ext xmlns:c16="http://schemas.microsoft.com/office/drawing/2014/chart" uri="{C3380CC4-5D6E-409C-BE32-E72D297353CC}">
                <c16:uniqueId val="{00000015-2984-4FD1-B6D6-693087F94D10}"/>
              </c:ext>
            </c:extLst>
          </c:dPt>
          <c:dPt>
            <c:idx val="11"/>
            <c:bubble3D val="0"/>
            <c:spPr>
              <a:solidFill>
                <a:srgbClr val="FBA8A9"/>
              </a:solidFill>
            </c:spPr>
            <c:extLst>
              <c:ext xmlns:c16="http://schemas.microsoft.com/office/drawing/2014/chart" uri="{C3380CC4-5D6E-409C-BE32-E72D297353CC}">
                <c16:uniqueId val="{00000017-2984-4FD1-B6D6-693087F94D10}"/>
              </c:ext>
            </c:extLst>
          </c:dPt>
          <c:dLbls>
            <c:dLbl>
              <c:idx val="5"/>
              <c:layout>
                <c:manualLayout>
                  <c:x val="6.8880306772745259E-2"/>
                  <c:y val="-5.746464653816281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984-4FD1-B6D6-693087F94D10}"/>
                </c:ext>
              </c:extLst>
            </c:dLbl>
            <c:dLbl>
              <c:idx val="6"/>
              <c:layout>
                <c:manualLayout>
                  <c:x val="6.8957830271216103E-2"/>
                  <c:y val="-3.907685562383311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2984-4FD1-B6D6-693087F94D10}"/>
                </c:ext>
              </c:extLst>
            </c:dLbl>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Dashboard!$A$16:$A$27</c:f>
              <c:strCache>
                <c:ptCount val="12"/>
                <c:pt idx="0">
                  <c:v>Finanzen</c:v>
                </c:pt>
                <c:pt idx="1">
                  <c:v>Industriegüter</c:v>
                </c:pt>
                <c:pt idx="2">
                  <c:v>Material</c:v>
                </c:pt>
                <c:pt idx="3">
                  <c:v>Immobilien</c:v>
                </c:pt>
                <c:pt idx="4">
                  <c:v>Energie</c:v>
                </c:pt>
                <c:pt idx="5">
                  <c:v>Informationstechnologie</c:v>
                </c:pt>
                <c:pt idx="6">
                  <c:v>Gesundheit</c:v>
                </c:pt>
                <c:pt idx="7">
                  <c:v>Versorger</c:v>
                </c:pt>
                <c:pt idx="8">
                  <c:v>Kommunikation &amp; Medien</c:v>
                </c:pt>
                <c:pt idx="9">
                  <c:v>Basiskonsumgüter</c:v>
                </c:pt>
                <c:pt idx="10">
                  <c:v>Nicht-Basiskonsumgüter</c:v>
                </c:pt>
                <c:pt idx="11">
                  <c:v>Staatsanleihen</c:v>
                </c:pt>
              </c:strCache>
            </c:strRef>
          </c:cat>
          <c:val>
            <c:numRef>
              <c:f>Dashboard!$B$16:$B$27</c:f>
              <c:numCache>
                <c:formatCode>0.0%</c:formatCode>
                <c:ptCount val="12"/>
                <c:pt idx="0">
                  <c:v>0.33344795076669353</c:v>
                </c:pt>
                <c:pt idx="1">
                  <c:v>8.5295015875895788E-2</c:v>
                </c:pt>
                <c:pt idx="2">
                  <c:v>7.972792390468085E-2</c:v>
                </c:pt>
                <c:pt idx="3">
                  <c:v>3.9808990471532989E-2</c:v>
                </c:pt>
                <c:pt idx="4">
                  <c:v>7.8855806580567636E-2</c:v>
                </c:pt>
                <c:pt idx="5">
                  <c:v>3.4539072629942283E-2</c:v>
                </c:pt>
                <c:pt idx="6">
                  <c:v>2.9778701195898868E-2</c:v>
                </c:pt>
                <c:pt idx="7">
                  <c:v>4.0013031828639925E-2</c:v>
                </c:pt>
                <c:pt idx="8">
                  <c:v>6.7358245615493098E-2</c:v>
                </c:pt>
                <c:pt idx="9">
                  <c:v>3.8882608567458676E-2</c:v>
                </c:pt>
                <c:pt idx="10">
                  <c:v>9.7326140177588311E-2</c:v>
                </c:pt>
                <c:pt idx="11">
                  <c:v>7.4966512385608183E-2</c:v>
                </c:pt>
              </c:numCache>
            </c:numRef>
          </c:val>
          <c:extLst>
            <c:ext xmlns:c16="http://schemas.microsoft.com/office/drawing/2014/chart" uri="{C3380CC4-5D6E-409C-BE32-E72D297353CC}">
              <c16:uniqueId val="{00000018-2984-4FD1-B6D6-693087F94D10}"/>
            </c:ext>
          </c:extLst>
        </c:ser>
        <c:dLbls>
          <c:dLblPos val="bestFit"/>
          <c:showLegendKey val="0"/>
          <c:showVal val="1"/>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DE"/>
        </a:p>
      </c:txPr>
    </c:legend>
    <c:plotVisOnly val="1"/>
    <c:dispBlanksAs val="zero"/>
    <c:showDLblsOverMax val="1"/>
  </c:chart>
  <c:spPr>
    <a:ln w="9525">
      <a:solidFill>
        <a:schemeClr val="bg2">
          <a:lumMod val="50000"/>
        </a:schemeClr>
      </a:solid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de-AT" sz="1800" b="1" i="0" u="none" strike="noStrike" kern="1200" spc="0" baseline="0">
                <a:solidFill>
                  <a:srgbClr val="000000"/>
                </a:solidFill>
                <a:latin typeface="+mn-lt"/>
                <a:ea typeface="+mn-ea"/>
                <a:cs typeface="+mn-cs"/>
              </a:defRPr>
            </a:pPr>
            <a:r>
              <a:rPr lang="de-AT" sz="1800" b="1" i="0" u="none" strike="noStrike" kern="1200" spc="0" baseline="0">
                <a:solidFill>
                  <a:srgbClr val="000000"/>
                </a:solidFill>
                <a:latin typeface="+mn-lt"/>
                <a:ea typeface="+mn-ea"/>
                <a:cs typeface="+mn-cs"/>
              </a:rPr>
              <a:t>Anteile Wertpapierarten</a:t>
            </a:r>
          </a:p>
        </c:rich>
      </c:tx>
      <c:overlay val="0"/>
      <c:spPr>
        <a:noFill/>
        <a:ln>
          <a:noFill/>
        </a:ln>
        <a:effectLst/>
      </c:spPr>
      <c:txPr>
        <a:bodyPr rot="0" spcFirstLastPara="1" vertOverflow="ellipsis" vert="horz" wrap="square" anchor="ctr" anchorCtr="1"/>
        <a:lstStyle/>
        <a:p>
          <a:pPr>
            <a:defRPr lang="de-AT" sz="1800" b="1" i="0" u="none" strike="noStrike" kern="1200" spc="0" baseline="0">
              <a:solidFill>
                <a:srgbClr val="000000"/>
              </a:solidFill>
              <a:latin typeface="+mn-lt"/>
              <a:ea typeface="+mn-ea"/>
              <a:cs typeface="+mn-cs"/>
            </a:defRPr>
          </a:pPr>
          <a:endParaRPr lang="en-DE"/>
        </a:p>
      </c:txPr>
    </c:title>
    <c:autoTitleDeleted val="0"/>
    <c:plotArea>
      <c:layout/>
      <c:barChart>
        <c:barDir val="col"/>
        <c:grouping val="stacked"/>
        <c:varyColors val="0"/>
        <c:ser>
          <c:idx val="0"/>
          <c:order val="0"/>
          <c:tx>
            <c:strRef>
              <c:f>'Historische Ergebnisse'!$R$19</c:f>
              <c:strCache>
                <c:ptCount val="1"/>
                <c:pt idx="0">
                  <c:v>Anteil Anleihen</c:v>
                </c:pt>
              </c:strCache>
            </c:strRef>
          </c:tx>
          <c:spPr>
            <a:solidFill>
              <a:schemeClr val="accent1"/>
            </a:solidFill>
            <a:ln>
              <a:noFill/>
            </a:ln>
            <a:effectLst/>
          </c:spPr>
          <c:invertIfNegative val="0"/>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45455</c:v>
                </c:pt>
              </c:numCache>
            </c:numRef>
          </c:cat>
          <c:val>
            <c:numRef>
              <c:f>'Historische Ergebnisse'!$R$20:$R$31</c:f>
              <c:numCache>
                <c:formatCode>0%</c:formatCode>
                <c:ptCount val="12"/>
                <c:pt idx="0">
                  <c:v>6.5374630000000003E-2</c:v>
                </c:pt>
                <c:pt idx="1">
                  <c:v>0.51939451452182894</c:v>
                </c:pt>
                <c:pt idx="2">
                  <c:v>0.51937785751830523</c:v>
                </c:pt>
                <c:pt idx="3">
                  <c:v>0.51374044464882063</c:v>
                </c:pt>
                <c:pt idx="4">
                  <c:v>0.53023051867813564</c:v>
                </c:pt>
                <c:pt idx="5">
                  <c:v>0.96511742251044896</c:v>
                </c:pt>
                <c:pt idx="6">
                  <c:v>0.95780369856689218</c:v>
                </c:pt>
                <c:pt idx="7">
                  <c:v>0.95646573692913706</c:v>
                </c:pt>
                <c:pt idx="8">
                  <c:v>0.95700082068119774</c:v>
                </c:pt>
                <c:pt idx="9">
                  <c:v>0.95648028388674389</c:v>
                </c:pt>
                <c:pt idx="10">
                  <c:v>0.95661084661027806</c:v>
                </c:pt>
                <c:pt idx="11">
                  <c:v>0</c:v>
                </c:pt>
              </c:numCache>
            </c:numRef>
          </c:val>
          <c:extLst>
            <c:ext xmlns:c16="http://schemas.microsoft.com/office/drawing/2014/chart" uri="{C3380CC4-5D6E-409C-BE32-E72D297353CC}">
              <c16:uniqueId val="{00000000-08A7-4363-91C9-07ED80F49B6E}"/>
            </c:ext>
          </c:extLst>
        </c:ser>
        <c:ser>
          <c:idx val="1"/>
          <c:order val="1"/>
          <c:tx>
            <c:strRef>
              <c:f>'Historische Ergebnisse'!$S$19</c:f>
              <c:strCache>
                <c:ptCount val="1"/>
                <c:pt idx="0">
                  <c:v>Anteil Aktien</c:v>
                </c:pt>
              </c:strCache>
            </c:strRef>
          </c:tx>
          <c:spPr>
            <a:solidFill>
              <a:schemeClr val="accent2"/>
            </a:solidFill>
            <a:ln>
              <a:noFill/>
            </a:ln>
            <a:effectLst/>
          </c:spPr>
          <c:invertIfNegative val="0"/>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45455</c:v>
                </c:pt>
              </c:numCache>
            </c:numRef>
          </c:cat>
          <c:val>
            <c:numRef>
              <c:f>'Historische Ergebnisse'!$S$20:$S$31</c:f>
              <c:numCache>
                <c:formatCode>0%</c:formatCode>
                <c:ptCount val="12"/>
                <c:pt idx="0">
                  <c:v>0</c:v>
                </c:pt>
                <c:pt idx="1">
                  <c:v>0</c:v>
                </c:pt>
                <c:pt idx="2">
                  <c:v>1.9547739847336758E-2</c:v>
                </c:pt>
                <c:pt idx="3">
                  <c:v>1.9356740055659755E-2</c:v>
                </c:pt>
                <c:pt idx="4">
                  <c:v>1.9361489733947256E-2</c:v>
                </c:pt>
                <c:pt idx="5">
                  <c:v>1.9143231524533733E-2</c:v>
                </c:pt>
                <c:pt idx="6">
                  <c:v>1.9833981002939639E-2</c:v>
                </c:pt>
                <c:pt idx="7">
                  <c:v>2.0345980539766727E-2</c:v>
                </c:pt>
                <c:pt idx="8">
                  <c:v>2.0572730311880207E-2</c:v>
                </c:pt>
                <c:pt idx="9">
                  <c:v>2.0498230393846774E-2</c:v>
                </c:pt>
                <c:pt idx="10">
                  <c:v>2.0472730415564026E-2</c:v>
                </c:pt>
                <c:pt idx="11">
                  <c:v>0</c:v>
                </c:pt>
              </c:numCache>
            </c:numRef>
          </c:val>
          <c:extLst>
            <c:ext xmlns:c16="http://schemas.microsoft.com/office/drawing/2014/chart" uri="{C3380CC4-5D6E-409C-BE32-E72D297353CC}">
              <c16:uniqueId val="{00000001-08A7-4363-91C9-07ED80F49B6E}"/>
            </c:ext>
          </c:extLst>
        </c:ser>
        <c:ser>
          <c:idx val="2"/>
          <c:order val="2"/>
          <c:tx>
            <c:strRef>
              <c:f>'Historische Ergebnisse'!$T$19</c:f>
              <c:strCache>
                <c:ptCount val="1"/>
                <c:pt idx="0">
                  <c:v>Anteil Option</c:v>
                </c:pt>
              </c:strCache>
            </c:strRef>
          </c:tx>
          <c:spPr>
            <a:solidFill>
              <a:schemeClr val="accent3"/>
            </a:solidFill>
            <a:ln>
              <a:noFill/>
            </a:ln>
            <a:effectLst/>
          </c:spPr>
          <c:invertIfNegative val="0"/>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45455</c:v>
                </c:pt>
              </c:numCache>
            </c:numRef>
          </c:cat>
          <c:val>
            <c:numRef>
              <c:f>'Historische Ergebnisse'!$T$20:$T$31</c:f>
              <c:numCache>
                <c:formatCode>0%</c:formatCode>
                <c:ptCount val="12"/>
                <c:pt idx="0">
                  <c:v>0</c:v>
                </c:pt>
                <c:pt idx="1">
                  <c:v>0</c:v>
                </c:pt>
                <c:pt idx="2">
                  <c:v>0</c:v>
                </c:pt>
                <c:pt idx="3">
                  <c:v>0</c:v>
                </c:pt>
                <c:pt idx="4">
                  <c:v>0</c:v>
                </c:pt>
                <c:pt idx="5">
                  <c:v>1.4902779714712638E-2</c:v>
                </c:pt>
                <c:pt idx="6">
                  <c:v>1.7851739645928937E-2</c:v>
                </c:pt>
                <c:pt idx="7">
                  <c:v>2.3749659516789888E-2</c:v>
                </c:pt>
                <c:pt idx="8">
                  <c:v>2.3065079525488339E-2</c:v>
                </c:pt>
                <c:pt idx="9">
                  <c:v>2.343369951965063E-2</c:v>
                </c:pt>
                <c:pt idx="10">
                  <c:v>2.3275719523482469E-2</c:v>
                </c:pt>
                <c:pt idx="11">
                  <c:v>0</c:v>
                </c:pt>
              </c:numCache>
            </c:numRef>
          </c:val>
          <c:extLst>
            <c:ext xmlns:c16="http://schemas.microsoft.com/office/drawing/2014/chart" uri="{C3380CC4-5D6E-409C-BE32-E72D297353CC}">
              <c16:uniqueId val="{00000002-08A7-4363-91C9-07ED80F49B6E}"/>
            </c:ext>
          </c:extLst>
        </c:ser>
        <c:ser>
          <c:idx val="3"/>
          <c:order val="3"/>
          <c:tx>
            <c:strRef>
              <c:f>'Historische Ergebnisse'!$U$19</c:f>
              <c:strCache>
                <c:ptCount val="1"/>
                <c:pt idx="0">
                  <c:v>Anteil Tagesgeld</c:v>
                </c:pt>
              </c:strCache>
            </c:strRef>
          </c:tx>
          <c:spPr>
            <a:solidFill>
              <a:schemeClr val="accent4"/>
            </a:solidFill>
            <a:ln>
              <a:noFill/>
            </a:ln>
            <a:effectLst/>
          </c:spPr>
          <c:invertIfNegative val="0"/>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45455</c:v>
                </c:pt>
              </c:numCache>
            </c:numRef>
          </c:cat>
          <c:val>
            <c:numRef>
              <c:f>'Historische Ergebnisse'!$U$20:$U$31</c:f>
              <c:numCache>
                <c:formatCode>0%</c:formatCode>
                <c:ptCount val="12"/>
                <c:pt idx="0">
                  <c:v>0.93462537000000001</c:v>
                </c:pt>
                <c:pt idx="1">
                  <c:v>0.48071638999999999</c:v>
                </c:pt>
                <c:pt idx="2">
                  <c:v>0.46193646999999999</c:v>
                </c:pt>
                <c:pt idx="3">
                  <c:v>0.46634615000000001</c:v>
                </c:pt>
                <c:pt idx="4">
                  <c:v>0.45104628999999996</c:v>
                </c:pt>
                <c:pt idx="5">
                  <c:v>9.19589986295553E-4</c:v>
                </c:pt>
                <c:pt idx="6">
                  <c:v>5.0007199107284499E-3</c:v>
                </c:pt>
                <c:pt idx="7">
                  <c:v>1.8721999555358884E-4</c:v>
                </c:pt>
                <c:pt idx="8">
                  <c:v>1.0947999747483516E-4</c:v>
                </c:pt>
                <c:pt idx="9">
                  <c:v>3.6314169311693335E-4</c:v>
                </c:pt>
                <c:pt idx="10">
                  <c:v>4.426474183839526E-4</c:v>
                </c:pt>
                <c:pt idx="11">
                  <c:v>0</c:v>
                </c:pt>
              </c:numCache>
            </c:numRef>
          </c:val>
          <c:extLst>
            <c:ext xmlns:c16="http://schemas.microsoft.com/office/drawing/2014/chart" uri="{C3380CC4-5D6E-409C-BE32-E72D297353CC}">
              <c16:uniqueId val="{00000003-08A7-4363-91C9-07ED80F49B6E}"/>
            </c:ext>
          </c:extLst>
        </c:ser>
        <c:dLbls>
          <c:showLegendKey val="0"/>
          <c:showVal val="0"/>
          <c:showCatName val="0"/>
          <c:showSerName val="0"/>
          <c:showPercent val="0"/>
          <c:showBubbleSize val="0"/>
        </c:dLbls>
        <c:gapWidth val="150"/>
        <c:overlap val="100"/>
        <c:axId val="1260045408"/>
        <c:axId val="1260020928"/>
      </c:barChart>
      <c:catAx>
        <c:axId val="1260045408"/>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260020928"/>
        <c:crosses val="autoZero"/>
        <c:auto val="0"/>
        <c:lblAlgn val="ctr"/>
        <c:lblOffset val="100"/>
        <c:noMultiLvlLbl val="0"/>
      </c:catAx>
      <c:valAx>
        <c:axId val="1260020928"/>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260045408"/>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0"/>
          <a:lstStyle/>
          <a:p>
            <a:pPr lvl="3" algn="l" rtl="0">
              <a:defRPr lang="en-US" sz="1800" b="1" i="0" u="none" strike="noStrike" kern="1200" spc="0" baseline="0">
                <a:solidFill>
                  <a:srgbClr val="000000"/>
                </a:solidFill>
                <a:latin typeface="+mn-lt"/>
                <a:ea typeface="+mn-ea"/>
                <a:cs typeface="+mn-cs"/>
              </a:defRPr>
            </a:pPr>
            <a:r>
              <a:rPr lang="en-US" sz="1800" b="1" i="0" u="none" strike="noStrike" kern="1200" baseline="0">
                <a:solidFill>
                  <a:srgbClr val="000000"/>
                </a:solidFill>
                <a:latin typeface="+mn-lt"/>
                <a:ea typeface="+mn-ea"/>
                <a:cs typeface="+mn-cs"/>
              </a:rPr>
              <a:t>Anzahl Anleihen </a:t>
            </a:r>
          </a:p>
          <a:p>
            <a:pPr lvl="3" algn="l" rtl="0">
              <a:defRPr lang="en-US" sz="1800" b="1">
                <a:solidFill>
                  <a:srgbClr val="000000"/>
                </a:solidFill>
              </a:defRPr>
            </a:pPr>
            <a:r>
              <a:rPr lang="en-US" sz="1800" b="1" i="0" u="none" strike="noStrike" kern="1200" baseline="0">
                <a:solidFill>
                  <a:srgbClr val="000000"/>
                </a:solidFill>
                <a:latin typeface="+mn-lt"/>
                <a:ea typeface="+mn-ea"/>
                <a:cs typeface="+mn-cs"/>
              </a:rPr>
              <a:t>nach Land des </a:t>
            </a:r>
          </a:p>
          <a:p>
            <a:pPr lvl="3" algn="l" rtl="0">
              <a:defRPr lang="en-US" sz="1800" b="1">
                <a:solidFill>
                  <a:srgbClr val="000000"/>
                </a:solidFill>
              </a:defRPr>
            </a:pPr>
            <a:r>
              <a:rPr lang="en-US" sz="1800" b="1" i="0" u="none" strike="noStrike" kern="1200" baseline="0">
                <a:solidFill>
                  <a:srgbClr val="000000"/>
                </a:solidFill>
                <a:latin typeface="+mn-lt"/>
                <a:ea typeface="+mn-ea"/>
                <a:cs typeface="+mn-cs"/>
              </a:rPr>
              <a:t>Emittenten</a:t>
            </a:r>
          </a:p>
        </c:rich>
      </c:tx>
      <c:layout>
        <c:manualLayout>
          <c:xMode val="edge"/>
          <c:yMode val="edge"/>
          <c:x val="4.5625031475762447E-2"/>
          <c:y val="2.5835928332468474E-2"/>
        </c:manualLayout>
      </c:layout>
      <c:overlay val="0"/>
      <c:spPr>
        <a:noFill/>
        <a:ln>
          <a:noFill/>
        </a:ln>
        <a:effectLst/>
      </c:spPr>
      <c:txPr>
        <a:bodyPr rot="0" spcFirstLastPara="1" vertOverflow="ellipsis" vert="horz" wrap="square" anchor="t" anchorCtr="0"/>
        <a:lstStyle/>
        <a:p>
          <a:pPr lvl="3" algn="l" rtl="0">
            <a:defRPr lang="en-US" sz="1800" b="1" i="0" u="none" strike="noStrike" kern="1200" spc="0" baseline="0">
              <a:solidFill>
                <a:srgbClr val="000000"/>
              </a:solidFill>
              <a:latin typeface="+mn-lt"/>
              <a:ea typeface="+mn-ea"/>
              <a:cs typeface="+mn-cs"/>
            </a:defRPr>
          </a:pPr>
          <a:endParaRPr lang="en-DE"/>
        </a:p>
      </c:txPr>
    </c:title>
    <c:autoTitleDeleted val="0"/>
    <c:plotArea>
      <c:layout>
        <c:manualLayout>
          <c:layoutTarget val="inner"/>
          <c:xMode val="edge"/>
          <c:yMode val="edge"/>
          <c:x val="0.31402819903403933"/>
          <c:y val="0.12792739203765074"/>
          <c:w val="0.64770316284706597"/>
          <c:h val="0.8350682781057126"/>
        </c:manualLayout>
      </c:layout>
      <c:pieChart>
        <c:varyColors val="1"/>
        <c:ser>
          <c:idx val="0"/>
          <c:order val="0"/>
          <c:tx>
            <c:strRef>
              <c:f>Nebenrechnungen!$B$18</c:f>
              <c:strCache>
                <c:ptCount val="1"/>
                <c:pt idx="0">
                  <c:v>Anzahl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DB0-489A-8ADF-93B9BF3701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B0-489A-8ADF-93B9BF37014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DB0-489A-8ADF-93B9BF37014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DB0-489A-8ADF-93B9BF37014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DB0-489A-8ADF-93B9BF37014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DB0-489A-8ADF-93B9BF37014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DB0-489A-8ADF-93B9BF37014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DB0-489A-8ADF-93B9BF37014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DB0-489A-8ADF-93B9BF37014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DB0-489A-8ADF-93B9BF37014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DB0-489A-8ADF-93B9BF37014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DB0-489A-8ADF-93B9BF37014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FDB0-489A-8ADF-93B9BF370148}"/>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FDB0-489A-8ADF-93B9BF370148}"/>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FDB0-489A-8ADF-93B9BF370148}"/>
              </c:ext>
            </c:extLst>
          </c:dPt>
          <c:dLbls>
            <c:dLbl>
              <c:idx val="4"/>
              <c:layout>
                <c:manualLayout>
                  <c:x val="-7.3760910920749306E-3"/>
                  <c:y val="-3.4281217093429919E-2"/>
                </c:manualLayout>
              </c:layout>
              <c:numFmt formatCode="General" sourceLinked="0"/>
              <c:spPr>
                <a:noFill/>
                <a:ln>
                  <a:noFill/>
                </a:ln>
                <a:effectLst/>
              </c:spPr>
              <c:txPr>
                <a:bodyPr rot="0" spcFirstLastPara="1" vertOverflow="overflow" horzOverflow="overflow"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14836882445540839"/>
                      <c:h val="8.8744781420521807E-2"/>
                    </c:manualLayout>
                  </c15:layout>
                </c:ext>
                <c:ext xmlns:c16="http://schemas.microsoft.com/office/drawing/2014/chart" uri="{C3380CC4-5D6E-409C-BE32-E72D297353CC}">
                  <c16:uniqueId val="{00000009-FDB0-489A-8ADF-93B9BF370148}"/>
                </c:ext>
              </c:extLst>
            </c:dLbl>
            <c:dLbl>
              <c:idx val="5"/>
              <c:layout>
                <c:manualLayout>
                  <c:x val="-6.8062475797082741E-3"/>
                  <c:y val="-4.1561591730069529E-3"/>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FDB0-489A-8ADF-93B9BF370148}"/>
                </c:ext>
              </c:extLst>
            </c:dLbl>
            <c:dLbl>
              <c:idx val="6"/>
              <c:layout>
                <c:manualLayout>
                  <c:x val="-3.2885676175723938E-2"/>
                  <c:y val="-1.7699972270486929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D-FDB0-489A-8ADF-93B9BF370148}"/>
                </c:ext>
              </c:extLst>
            </c:dLbl>
            <c:dLbl>
              <c:idx val="7"/>
              <c:layout>
                <c:manualLayout>
                  <c:x val="-5.0337937266038489E-2"/>
                  <c:y val="4.8756326670469752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F-FDB0-489A-8ADF-93B9BF370148}"/>
                </c:ext>
              </c:extLst>
            </c:dLbl>
            <c:numFmt formatCode="General"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bestFit"/>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Nebenrechnungen!$A$19:$A$33</c:f>
              <c:strCache>
                <c:ptCount val="15"/>
                <c:pt idx="0">
                  <c:v>USA</c:v>
                </c:pt>
                <c:pt idx="1">
                  <c:v>Deutschland</c:v>
                </c:pt>
                <c:pt idx="2">
                  <c:v>Luxemburg</c:v>
                </c:pt>
                <c:pt idx="3">
                  <c:v>GB</c:v>
                </c:pt>
                <c:pt idx="4">
                  <c:v>Niederlande</c:v>
                </c:pt>
                <c:pt idx="5">
                  <c:v>Frankreich</c:v>
                </c:pt>
                <c:pt idx="6">
                  <c:v>Italien</c:v>
                </c:pt>
                <c:pt idx="7">
                  <c:v>Türkei</c:v>
                </c:pt>
                <c:pt idx="8">
                  <c:v>Kanada</c:v>
                </c:pt>
                <c:pt idx="9">
                  <c:v>Kaiman Inseln</c:v>
                </c:pt>
                <c:pt idx="10">
                  <c:v>Argentinien</c:v>
                </c:pt>
                <c:pt idx="11">
                  <c:v>Mexiko</c:v>
                </c:pt>
                <c:pt idx="12">
                  <c:v>Irland</c:v>
                </c:pt>
                <c:pt idx="13">
                  <c:v>Jersey</c:v>
                </c:pt>
                <c:pt idx="14">
                  <c:v>Andere</c:v>
                </c:pt>
              </c:strCache>
            </c:strRef>
          </c:cat>
          <c:val>
            <c:numRef>
              <c:f>Nebenrechnungen!$B$19:$B$33</c:f>
              <c:numCache>
                <c:formatCode>0</c:formatCode>
                <c:ptCount val="15"/>
                <c:pt idx="0">
                  <c:v>83</c:v>
                </c:pt>
                <c:pt idx="1">
                  <c:v>70</c:v>
                </c:pt>
                <c:pt idx="2">
                  <c:v>44</c:v>
                </c:pt>
                <c:pt idx="3">
                  <c:v>39</c:v>
                </c:pt>
                <c:pt idx="4">
                  <c:v>34</c:v>
                </c:pt>
                <c:pt idx="5">
                  <c:v>24</c:v>
                </c:pt>
                <c:pt idx="6">
                  <c:v>20</c:v>
                </c:pt>
                <c:pt idx="7">
                  <c:v>20</c:v>
                </c:pt>
                <c:pt idx="8">
                  <c:v>10</c:v>
                </c:pt>
                <c:pt idx="9">
                  <c:v>10</c:v>
                </c:pt>
                <c:pt idx="10">
                  <c:v>10</c:v>
                </c:pt>
                <c:pt idx="11">
                  <c:v>9</c:v>
                </c:pt>
                <c:pt idx="12">
                  <c:v>8</c:v>
                </c:pt>
                <c:pt idx="13">
                  <c:v>8</c:v>
                </c:pt>
                <c:pt idx="14">
                  <c:v>121</c:v>
                </c:pt>
              </c:numCache>
            </c:numRef>
          </c:val>
          <c:extLst>
            <c:ext xmlns:c16="http://schemas.microsoft.com/office/drawing/2014/chart" uri="{C3380CC4-5D6E-409C-BE32-E72D297353CC}">
              <c16:uniqueId val="{0000001E-FDB0-489A-8ADF-93B9BF370148}"/>
            </c:ext>
          </c:extLst>
        </c:ser>
        <c:dLbls>
          <c:showLegendKey val="0"/>
          <c:showVal val="1"/>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de-AT" sz="1800" b="1" i="0" u="none" strike="noStrike" kern="1200" spc="0" baseline="0">
                <a:solidFill>
                  <a:srgbClr val="000000"/>
                </a:solidFill>
                <a:latin typeface="+mn-lt"/>
                <a:ea typeface="+mn-ea"/>
                <a:cs typeface="+mn-cs"/>
              </a:defRPr>
            </a:pPr>
            <a:r>
              <a:rPr lang="de-AT" sz="1800" b="1" i="0" u="none" strike="noStrike" kern="1200" spc="0" baseline="0">
                <a:solidFill>
                  <a:srgbClr val="000000"/>
                </a:solidFill>
                <a:latin typeface="+mn-lt"/>
                <a:ea typeface="+mn-ea"/>
                <a:cs typeface="+mn-cs"/>
              </a:rPr>
              <a:t>Rendite Wertpapierarten</a:t>
            </a:r>
          </a:p>
        </c:rich>
      </c:tx>
      <c:overlay val="0"/>
      <c:spPr>
        <a:noFill/>
        <a:ln>
          <a:noFill/>
        </a:ln>
        <a:effectLst/>
      </c:spPr>
      <c:txPr>
        <a:bodyPr rot="0" spcFirstLastPara="1" vertOverflow="ellipsis" vert="horz" wrap="square" anchor="ctr" anchorCtr="1"/>
        <a:lstStyle/>
        <a:p>
          <a:pPr>
            <a:defRPr lang="de-AT" sz="1800" b="1" i="0" u="none" strike="noStrike" kern="1200" spc="0" baseline="0">
              <a:solidFill>
                <a:srgbClr val="000000"/>
              </a:solidFill>
              <a:latin typeface="+mn-lt"/>
              <a:ea typeface="+mn-ea"/>
              <a:cs typeface="+mn-cs"/>
            </a:defRPr>
          </a:pPr>
          <a:endParaRPr lang="en-DE"/>
        </a:p>
      </c:txPr>
    </c:title>
    <c:autoTitleDeleted val="0"/>
    <c:plotArea>
      <c:layout>
        <c:manualLayout>
          <c:layoutTarget val="inner"/>
          <c:xMode val="edge"/>
          <c:yMode val="edge"/>
          <c:x val="0.23486473347350534"/>
          <c:y val="0.1845403074615673"/>
          <c:w val="0.70821431777023358"/>
          <c:h val="0.69273790776152988"/>
        </c:manualLayout>
      </c:layout>
      <c:barChart>
        <c:barDir val="bar"/>
        <c:grouping val="clustered"/>
        <c:varyColors val="1"/>
        <c:ser>
          <c:idx val="0"/>
          <c:order val="0"/>
          <c:spPr>
            <a:solidFill>
              <a:schemeClr val="accent1"/>
            </a:solidFill>
          </c:spPr>
          <c:invertIfNegative val="0"/>
          <c:dPt>
            <c:idx val="0"/>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2E6-4787-B959-03871ABA76BA}"/>
              </c:ext>
            </c:extLst>
          </c:dPt>
          <c:dPt>
            <c:idx val="1"/>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2E6-4787-B959-03871ABA76BA}"/>
              </c:ext>
            </c:extLst>
          </c:dPt>
          <c:dPt>
            <c:idx val="2"/>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2E6-4787-B959-03871ABA76BA}"/>
              </c:ext>
            </c:extLst>
          </c:dPt>
          <c:dPt>
            <c:idx val="3"/>
            <c:invertIfNegative val="0"/>
            <c:bubble3D val="0"/>
            <c:spPr>
              <a:solidFill>
                <a:schemeClr val="accent3"/>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2E6-4787-B959-03871ABA76BA}"/>
              </c:ext>
            </c:extLst>
          </c:dPt>
          <c:dPt>
            <c:idx val="4"/>
            <c:invertIfNegative val="0"/>
            <c:bubble3D val="0"/>
            <c:spPr>
              <a:solidFill>
                <a:schemeClr val="accent5"/>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2E6-4787-B959-03871ABA76BA}"/>
              </c:ext>
            </c:extLst>
          </c:dPt>
          <c:dLbls>
            <c:dLbl>
              <c:idx val="4"/>
              <c:layout>
                <c:manualLayout>
                  <c:x val="-7.7876091723951088E-2"/>
                  <c:y val="-2.1747475145372231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2E6-4787-B959-03871ABA76B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'Historische Ergebnisse'!$B$18:$K$18</c15:sqref>
                  </c15:fullRef>
                </c:ext>
              </c:extLst>
              <c:f>('Historische Ergebnisse'!$B$18,'Historische Ergebnisse'!$D$18,'Historische Ergebnisse'!$F$18,'Historische Ergebnisse'!$H$18,'Historische Ergebnisse'!$J$18)</c:f>
              <c:strCache>
                <c:ptCount val="5"/>
                <c:pt idx="0">
                  <c:v>Anleihen Zinsen</c:v>
                </c:pt>
                <c:pt idx="1">
                  <c:v>Anleihen Kursgewinne</c:v>
                </c:pt>
                <c:pt idx="2">
                  <c:v>Aktien ohne Währungseffekte</c:v>
                </c:pt>
                <c:pt idx="3">
                  <c:v>Option</c:v>
                </c:pt>
                <c:pt idx="4">
                  <c:v>Währungseffekte</c:v>
                </c:pt>
              </c:strCache>
            </c:strRef>
          </c:cat>
          <c:val>
            <c:numRef>
              <c:extLst>
                <c:ext xmlns:c15="http://schemas.microsoft.com/office/drawing/2012/chart" uri="{02D57815-91ED-43cb-92C2-25804820EDAC}">
                  <c15:fullRef>
                    <c15:sqref>'Historische Ergebnisse'!$B$32:$K$32</c15:sqref>
                  </c15:fullRef>
                </c:ext>
              </c:extLst>
              <c:f>('Historische Ergebnisse'!$B$32,'Historische Ergebnisse'!$D$32,'Historische Ergebnisse'!$F$32,'Historische Ergebnisse'!$H$32,'Historische Ergebnisse'!$J$32)</c:f>
              <c:numCache>
                <c:formatCode>0.00%</c:formatCode>
                <c:ptCount val="5"/>
                <c:pt idx="0">
                  <c:v>1.7281557628861854E-2</c:v>
                </c:pt>
                <c:pt idx="1">
                  <c:v>7.9933378510221864E-4</c:v>
                </c:pt>
                <c:pt idx="2">
                  <c:v>6.7097996688057826E-2</c:v>
                </c:pt>
                <c:pt idx="3">
                  <c:v>0.56183745583038891</c:v>
                </c:pt>
                <c:pt idx="4">
                  <c:v>-1.8409750812757864E-3</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C2E6-4787-B959-03871ABA76BA}"/>
            </c:ext>
          </c:extLst>
        </c:ser>
        <c:dLbls>
          <c:dLblPos val="outEnd"/>
          <c:showLegendKey val="0"/>
          <c:showVal val="1"/>
          <c:showCatName val="0"/>
          <c:showSerName val="0"/>
          <c:showPercent val="0"/>
          <c:showBubbleSize val="0"/>
        </c:dLbls>
        <c:gapWidth val="115"/>
        <c:overlap val="-20"/>
        <c:axId val="419190032"/>
        <c:axId val="419182352"/>
      </c:barChart>
      <c:catAx>
        <c:axId val="419190032"/>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0" spcFirstLastPara="1" vertOverflow="ellipsis"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DE"/>
          </a:p>
        </c:txPr>
        <c:crossAx val="419182352"/>
        <c:crosses val="autoZero"/>
        <c:auto val="1"/>
        <c:lblAlgn val="ctr"/>
        <c:lblOffset val="100"/>
        <c:noMultiLvlLbl val="0"/>
      </c:catAx>
      <c:valAx>
        <c:axId val="419182352"/>
        <c:scaling>
          <c:orientation val="minMax"/>
          <c:max val="0.60000000000000009"/>
          <c:min val="0"/>
        </c:scaling>
        <c:delete val="0"/>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419190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D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AT" sz="1600" b="1" i="0" u="none" strike="noStrike" kern="1200" spc="0" baseline="0">
                <a:solidFill>
                  <a:srgbClr val="000000"/>
                </a:solidFill>
              </a:rPr>
              <a:t>Gewinn Wertpapierarten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DE"/>
        </a:p>
      </c:txPr>
    </c:title>
    <c:autoTitleDeleted val="0"/>
    <c:plotArea>
      <c:layout>
        <c:manualLayout>
          <c:layoutTarget val="inner"/>
          <c:xMode val="edge"/>
          <c:yMode val="edge"/>
          <c:x val="0.30806851309535405"/>
          <c:y val="0.20037527223990617"/>
          <c:w val="0.69867960245518967"/>
          <c:h val="0.69108765659611704"/>
        </c:manualLayout>
      </c:layout>
      <c:barChart>
        <c:barDir val="bar"/>
        <c:grouping val="clustered"/>
        <c:varyColors val="1"/>
        <c:ser>
          <c:idx val="0"/>
          <c:order val="0"/>
          <c:spPr>
            <a:solidFill>
              <a:schemeClr val="accent1"/>
            </a:solidFill>
          </c:spPr>
          <c:invertIfNegative val="0"/>
          <c:dPt>
            <c:idx val="0"/>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D40-4886-825E-19236B9ABA94}"/>
              </c:ext>
            </c:extLst>
          </c:dPt>
          <c:dPt>
            <c:idx val="1"/>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D40-4886-825E-19236B9ABA94}"/>
              </c:ext>
            </c:extLst>
          </c:dPt>
          <c:dPt>
            <c:idx val="2"/>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D40-4886-825E-19236B9ABA94}"/>
              </c:ext>
            </c:extLst>
          </c:dPt>
          <c:dPt>
            <c:idx val="3"/>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D40-4886-825E-19236B9ABA94}"/>
              </c:ext>
            </c:extLst>
          </c:dPt>
          <c:dPt>
            <c:idx val="4"/>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D40-4886-825E-19236B9ABA94}"/>
              </c:ext>
            </c:extLst>
          </c:dPt>
          <c:dPt>
            <c:idx val="5"/>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D40-4886-825E-19236B9ABA94}"/>
              </c:ext>
            </c:extLst>
          </c:dPt>
          <c:dPt>
            <c:idx val="6"/>
            <c:invertIfNegative val="0"/>
            <c:bubble3D val="0"/>
            <c:spPr>
              <a:solidFill>
                <a:schemeClr val="accent3"/>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D40-4886-825E-19236B9ABA94}"/>
              </c:ext>
            </c:extLst>
          </c:dPt>
          <c:dPt>
            <c:idx val="7"/>
            <c:invertIfNegative val="0"/>
            <c:bubble3D val="0"/>
            <c:spPr>
              <a:solidFill>
                <a:schemeClr val="accent3"/>
              </a:solidFill>
              <a:ln cmpd="dbl">
                <a:solidFill>
                  <a:schemeClr val="bg2">
                    <a:lumMod val="50000"/>
                  </a:schemeClr>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D40-4886-825E-19236B9ABA94}"/>
              </c:ext>
            </c:extLst>
          </c:dPt>
          <c:dPt>
            <c:idx val="8"/>
            <c:invertIfNegative val="0"/>
            <c:bubble3D val="0"/>
            <c:spPr>
              <a:solidFill>
                <a:schemeClr val="accent5"/>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7D40-4886-825E-19236B9ABA94}"/>
              </c:ext>
            </c:extLst>
          </c:dPt>
          <c:dPt>
            <c:idx val="9"/>
            <c:invertIfNegative val="0"/>
            <c:bubble3D val="0"/>
            <c:spPr>
              <a:solidFill>
                <a:schemeClr val="accent5"/>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7D40-4886-825E-19236B9ABA94}"/>
              </c:ext>
            </c:extLst>
          </c:dPt>
          <c:dLbls>
            <c:dLbl>
              <c:idx val="3"/>
              <c:layout>
                <c:manualLayout>
                  <c:x val="-8.2681311486861614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D40-4886-825E-19236B9ABA94}"/>
                </c:ext>
              </c:extLst>
            </c:dLbl>
            <c:numFmt formatCode="#,##0\ &quot;€&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'Historische Ergebnisse'!$B$18:$K$18</c:f>
              <c:strCache>
                <c:ptCount val="9"/>
                <c:pt idx="0">
                  <c:v>Anleihen Zinsen</c:v>
                </c:pt>
                <c:pt idx="2">
                  <c:v>Anleihen Kursgewinne</c:v>
                </c:pt>
                <c:pt idx="4">
                  <c:v>Aktien ohne Währungseffekte</c:v>
                </c:pt>
                <c:pt idx="6">
                  <c:v>Option</c:v>
                </c:pt>
                <c:pt idx="8">
                  <c:v>Währungseffekte</c:v>
                </c:pt>
              </c:strCache>
            </c:strRef>
          </c:cat>
          <c:val>
            <c:numRef>
              <c:f>'Historische Ergebnisse'!$B$33:$K$33</c:f>
              <c:numCache>
                <c:formatCode>_("€"* #,##0.00_);_("€"* \(#,##0.00\);_("€"* "-"??_);_(@_)</c:formatCode>
                <c:ptCount val="10"/>
                <c:pt idx="1">
                  <c:v>12186.343926285874</c:v>
                </c:pt>
                <c:pt idx="3">
                  <c:v>1727.5194702621175</c:v>
                </c:pt>
                <c:pt idx="5">
                  <c:v>1321.4224026790823</c:v>
                </c:pt>
                <c:pt idx="7">
                  <c:v>8741.56</c:v>
                </c:pt>
                <c:pt idx="9">
                  <c:v>-7001.082003996723</c:v>
                </c:pt>
              </c:numCache>
            </c:numRef>
          </c:val>
          <c:extLst>
            <c:ext xmlns:c16="http://schemas.microsoft.com/office/drawing/2014/chart" uri="{C3380CC4-5D6E-409C-BE32-E72D297353CC}">
              <c16:uniqueId val="{00000014-7D40-4886-825E-19236B9ABA94}"/>
            </c:ext>
          </c:extLst>
        </c:ser>
        <c:dLbls>
          <c:dLblPos val="outEnd"/>
          <c:showLegendKey val="0"/>
          <c:showVal val="1"/>
          <c:showCatName val="0"/>
          <c:showSerName val="0"/>
          <c:showPercent val="0"/>
          <c:showBubbleSize val="0"/>
        </c:dLbls>
        <c:gapWidth val="0"/>
        <c:overlap val="27"/>
        <c:axId val="419190032"/>
        <c:axId val="419182352"/>
      </c:barChart>
      <c:catAx>
        <c:axId val="419190032"/>
        <c:scaling>
          <c:orientation val="minMax"/>
        </c:scaling>
        <c:delete val="0"/>
        <c:axPos val="l"/>
        <c:numFmt formatCode="General" sourceLinked="1"/>
        <c:majorTickMark val="out"/>
        <c:minorTickMark val="none"/>
        <c:tickLblPos val="low"/>
        <c:spPr>
          <a:noFill/>
          <a:ln w="12700" cap="flat" cmpd="sng" algn="ctr">
            <a:solidFill>
              <a:schemeClr val="tx1">
                <a:lumMod val="15000"/>
                <a:lumOff val="85000"/>
              </a:schemeClr>
            </a:solidFill>
            <a:round/>
          </a:ln>
          <a:effectLst/>
        </c:spPr>
        <c:txPr>
          <a:bodyPr rot="0" spcFirstLastPara="1" vertOverflow="ellipsis" wrap="square" anchor="t" anchorCtr="0"/>
          <a:lstStyle/>
          <a:p>
            <a:pPr>
              <a:defRPr sz="900" b="0" i="0" u="none" strike="noStrike" kern="1200" baseline="0">
                <a:solidFill>
                  <a:schemeClr val="tx1">
                    <a:lumMod val="65000"/>
                    <a:lumOff val="35000"/>
                  </a:schemeClr>
                </a:solidFill>
                <a:latin typeface="+mn-lt"/>
                <a:ea typeface="+mn-ea"/>
                <a:cs typeface="+mn-cs"/>
              </a:defRPr>
            </a:pPr>
            <a:endParaRPr lang="en-DE"/>
          </a:p>
        </c:txPr>
        <c:crossAx val="419182352"/>
        <c:crosses val="autoZero"/>
        <c:auto val="1"/>
        <c:lblAlgn val="ctr"/>
        <c:lblOffset val="0"/>
        <c:noMultiLvlLbl val="0"/>
      </c:catAx>
      <c:valAx>
        <c:axId val="419182352"/>
        <c:scaling>
          <c:orientation val="minMax"/>
        </c:scaling>
        <c:delete val="0"/>
        <c:axPos val="b"/>
        <c:majorGridlines>
          <c:spPr>
            <a:ln w="9525" cap="flat" cmpd="sng" algn="ctr">
              <a:solidFill>
                <a:schemeClr val="tx1">
                  <a:lumMod val="15000"/>
                  <a:lumOff val="85000"/>
                </a:schemeClr>
              </a:solidFill>
              <a:round/>
            </a:ln>
            <a:effectLst/>
          </c:spPr>
        </c:majorGridlines>
        <c:numFmt formatCode="#,##0\ &quot;€&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419190032"/>
        <c:crosses val="autoZero"/>
        <c:crossBetween val="between"/>
        <c:maj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de-AT" sz="1800" b="1" i="0" u="none" strike="noStrike" kern="1200" baseline="0">
                <a:solidFill>
                  <a:srgbClr val="000000"/>
                </a:solidFill>
              </a:rPr>
              <a:t>Rendite mit Benchmarkvergleich</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DE"/>
        </a:p>
      </c:txPr>
    </c:title>
    <c:autoTitleDeleted val="0"/>
    <c:plotArea>
      <c:layout/>
      <c:lineChart>
        <c:grouping val="standard"/>
        <c:varyColors val="0"/>
        <c:ser>
          <c:idx val="0"/>
          <c:order val="0"/>
          <c:tx>
            <c:strRef>
              <c:f>'Historische Ergebnisse'!$S$2</c:f>
              <c:strCache>
                <c:ptCount val="1"/>
                <c:pt idx="0">
                  <c:v>Portfolio</c:v>
                </c:pt>
              </c:strCache>
            </c:strRef>
          </c:tx>
          <c:spPr>
            <a:ln w="28575" cap="rnd">
              <a:solidFill>
                <a:schemeClr val="accent6"/>
              </a:solidFill>
              <a:round/>
            </a:ln>
            <a:effectLst/>
          </c:spPr>
          <c:marker>
            <c:symbol val="none"/>
          </c:marker>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45455</c:v>
                </c:pt>
              </c:numCache>
            </c:numRef>
          </c:cat>
          <c:val>
            <c:numRef>
              <c:f>'Historische Ergebnisse'!$S$3:$S$14</c:f>
              <c:numCache>
                <c:formatCode>0.0%</c:formatCode>
                <c:ptCount val="12"/>
                <c:pt idx="0">
                  <c:v>0</c:v>
                </c:pt>
                <c:pt idx="1">
                  <c:v>2.3076000000000932E-4</c:v>
                </c:pt>
                <c:pt idx="2">
                  <c:v>1.7936699999999254E-3</c:v>
                </c:pt>
                <c:pt idx="3">
                  <c:v>-1.1447699999999022E-3</c:v>
                </c:pt>
                <c:pt idx="4">
                  <c:v>1.3587700000000187E-3</c:v>
                </c:pt>
                <c:pt idx="5">
                  <c:v>2.3806300000000047E-3</c:v>
                </c:pt>
                <c:pt idx="6">
                  <c:v>1.1616149999999907E-2</c:v>
                </c:pt>
                <c:pt idx="7">
                  <c:v>1.7196040000000037E-2</c:v>
                </c:pt>
                <c:pt idx="8">
                  <c:v>1.7398719999999972E-2</c:v>
                </c:pt>
                <c:pt idx="9">
                  <c:v>1.7816650879631982E-2</c:v>
                </c:pt>
                <c:pt idx="10">
                  <c:v>1.848305339727737E-2</c:v>
                </c:pt>
              </c:numCache>
            </c:numRef>
          </c:val>
          <c:smooth val="0"/>
          <c:extLst>
            <c:ext xmlns:c16="http://schemas.microsoft.com/office/drawing/2014/chart" uri="{C3380CC4-5D6E-409C-BE32-E72D297353CC}">
              <c16:uniqueId val="{00000000-2413-42D9-8D66-2E284755EECD}"/>
            </c:ext>
          </c:extLst>
        </c:ser>
        <c:ser>
          <c:idx val="1"/>
          <c:order val="1"/>
          <c:tx>
            <c:strRef>
              <c:f>'Historische Ergebnisse'!$T$2</c:f>
              <c:strCache>
                <c:ptCount val="1"/>
                <c:pt idx="0">
                  <c:v>DAX</c:v>
                </c:pt>
              </c:strCache>
            </c:strRef>
          </c:tx>
          <c:spPr>
            <a:ln w="28575" cap="rnd">
              <a:solidFill>
                <a:schemeClr val="accent5"/>
              </a:solidFill>
              <a:round/>
            </a:ln>
            <a:effectLst/>
          </c:spPr>
          <c:marker>
            <c:symbol val="none"/>
          </c:marker>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45455</c:v>
                </c:pt>
              </c:numCache>
            </c:numRef>
          </c:cat>
          <c:val>
            <c:numRef>
              <c:f>'Historische Ergebnisse'!$T$3:$T$14</c:f>
              <c:numCache>
                <c:formatCode>0.0%</c:formatCode>
                <c:ptCount val="12"/>
                <c:pt idx="0">
                  <c:v>0</c:v>
                </c:pt>
                <c:pt idx="1">
                  <c:v>-5.9192221285927493E-3</c:v>
                </c:pt>
                <c:pt idx="2">
                  <c:v>-2.0554643615417811E-2</c:v>
                </c:pt>
                <c:pt idx="3">
                  <c:v>-3.8267389507763427E-2</c:v>
                </c:pt>
                <c:pt idx="4">
                  <c:v>-2.102008487267204E-2</c:v>
                </c:pt>
                <c:pt idx="5">
                  <c:v>-2.9491656965463853E-2</c:v>
                </c:pt>
                <c:pt idx="6">
                  <c:v>1.1522377170865017E-3</c:v>
                </c:pt>
                <c:pt idx="7">
                  <c:v>2.1230074649200681E-2</c:v>
                </c:pt>
                <c:pt idx="8">
                  <c:v>1.3512409151007931E-2</c:v>
                </c:pt>
                <c:pt idx="9">
                  <c:v>1.0866429724593951E-2</c:v>
                </c:pt>
                <c:pt idx="10">
                  <c:v>-3.8669509105601074E-3</c:v>
                </c:pt>
              </c:numCache>
            </c:numRef>
          </c:val>
          <c:smooth val="0"/>
          <c:extLst>
            <c:ext xmlns:c16="http://schemas.microsoft.com/office/drawing/2014/chart" uri="{C3380CC4-5D6E-409C-BE32-E72D297353CC}">
              <c16:uniqueId val="{00000001-2413-42D9-8D66-2E284755EECD}"/>
            </c:ext>
          </c:extLst>
        </c:ser>
        <c:ser>
          <c:idx val="2"/>
          <c:order val="2"/>
          <c:tx>
            <c:strRef>
              <c:f>'Historische Ergebnisse'!$U$2</c:f>
              <c:strCache>
                <c:ptCount val="1"/>
                <c:pt idx="0">
                  <c:v>DowJones </c:v>
                </c:pt>
              </c:strCache>
            </c:strRef>
          </c:tx>
          <c:spPr>
            <a:ln w="28575" cap="rnd">
              <a:solidFill>
                <a:schemeClr val="accent4"/>
              </a:solidFill>
              <a:round/>
            </a:ln>
            <a:effectLst/>
          </c:spPr>
          <c:marker>
            <c:symbol val="none"/>
          </c:marker>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45455</c:v>
                </c:pt>
              </c:numCache>
            </c:numRef>
          </c:cat>
          <c:val>
            <c:numRef>
              <c:f>'Historische Ergebnisse'!$U$3:$U$14</c:f>
              <c:numCache>
                <c:formatCode>0.0%</c:formatCode>
                <c:ptCount val="12"/>
                <c:pt idx="0">
                  <c:v>0</c:v>
                </c:pt>
                <c:pt idx="1">
                  <c:v>-1.5918982054362152E-2</c:v>
                </c:pt>
                <c:pt idx="2">
                  <c:v>-3.2660145553027098E-2</c:v>
                </c:pt>
                <c:pt idx="3">
                  <c:v>-5.0471980941688366E-2</c:v>
                </c:pt>
                <c:pt idx="4">
                  <c:v>-3.2674984557375275E-2</c:v>
                </c:pt>
                <c:pt idx="5">
                  <c:v>-4.8897285920953992E-2</c:v>
                </c:pt>
                <c:pt idx="6">
                  <c:v>-1.7698405033390374E-2</c:v>
                </c:pt>
                <c:pt idx="7">
                  <c:v>3.7203144460473681E-3</c:v>
                </c:pt>
                <c:pt idx="8">
                  <c:v>-2.2394321138187179E-3</c:v>
                </c:pt>
                <c:pt idx="9">
                  <c:v>-2.2817358516381336E-2</c:v>
                </c:pt>
                <c:pt idx="10">
                  <c:v>-2.6377965034275586E-2</c:v>
                </c:pt>
              </c:numCache>
            </c:numRef>
          </c:val>
          <c:smooth val="0"/>
          <c:extLst>
            <c:ext xmlns:c16="http://schemas.microsoft.com/office/drawing/2014/chart" uri="{C3380CC4-5D6E-409C-BE32-E72D297353CC}">
              <c16:uniqueId val="{00000002-2413-42D9-8D66-2E284755EECD}"/>
            </c:ext>
          </c:extLst>
        </c:ser>
        <c:dLbls>
          <c:showLegendKey val="0"/>
          <c:showVal val="0"/>
          <c:showCatName val="0"/>
          <c:showSerName val="0"/>
          <c:showPercent val="0"/>
          <c:showBubbleSize val="0"/>
        </c:dLbls>
        <c:smooth val="0"/>
        <c:axId val="1007803376"/>
        <c:axId val="1007784176"/>
      </c:lineChart>
      <c:dateAx>
        <c:axId val="1007803376"/>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07784176"/>
        <c:crosses val="autoZero"/>
        <c:auto val="1"/>
        <c:lblOffset val="100"/>
        <c:baseTimeUnit val="days"/>
      </c:dateAx>
      <c:valAx>
        <c:axId val="10077841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07803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9</xdr:col>
      <xdr:colOff>133350</xdr:colOff>
      <xdr:row>0</xdr:row>
      <xdr:rowOff>133351</xdr:rowOff>
    </xdr:from>
    <xdr:ext cx="5495925" cy="3847148"/>
    <xdr:graphicFrame macro="">
      <xdr:nvGraphicFramePr>
        <xdr:cNvPr id="3" name="Chart 2" title="Diagramm">
          <a:extLst>
            <a:ext uri="{FF2B5EF4-FFF2-40B4-BE49-F238E27FC236}">
              <a16:creationId xmlns:a16="http://schemas.microsoft.com/office/drawing/2014/main" id="{CBA26DD2-4422-4556-A078-633EC8DA66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0</xdr:col>
      <xdr:colOff>238125</xdr:colOff>
      <xdr:row>19</xdr:row>
      <xdr:rowOff>114300</xdr:rowOff>
    </xdr:from>
    <xdr:to>
      <xdr:col>8</xdr:col>
      <xdr:colOff>256761</xdr:colOff>
      <xdr:row>36</xdr:row>
      <xdr:rowOff>142875</xdr:rowOff>
    </xdr:to>
    <xdr:graphicFrame macro="">
      <xdr:nvGraphicFramePr>
        <xdr:cNvPr id="4" name="Chart 3">
          <a:extLst>
            <a:ext uri="{FF2B5EF4-FFF2-40B4-BE49-F238E27FC236}">
              <a16:creationId xmlns:a16="http://schemas.microsoft.com/office/drawing/2014/main" id="{3FD749B7-7D4F-4A0A-962C-FD2157234D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428626</xdr:colOff>
      <xdr:row>0</xdr:row>
      <xdr:rowOff>123824</xdr:rowOff>
    </xdr:from>
    <xdr:to>
      <xdr:col>26</xdr:col>
      <xdr:colOff>476250</xdr:colOff>
      <xdr:row>24</xdr:row>
      <xdr:rowOff>57150</xdr:rowOff>
    </xdr:to>
    <xdr:graphicFrame macro="">
      <xdr:nvGraphicFramePr>
        <xdr:cNvPr id="5" name="Chart 4">
          <a:extLst>
            <a:ext uri="{FF2B5EF4-FFF2-40B4-BE49-F238E27FC236}">
              <a16:creationId xmlns:a16="http://schemas.microsoft.com/office/drawing/2014/main" id="{0ECD75C4-4A76-48FD-86DD-1FD2A0A721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190499</xdr:colOff>
      <xdr:row>37</xdr:row>
      <xdr:rowOff>133350</xdr:rowOff>
    </xdr:from>
    <xdr:to>
      <xdr:col>8</xdr:col>
      <xdr:colOff>238125</xdr:colOff>
      <xdr:row>54</xdr:row>
      <xdr:rowOff>47625</xdr:rowOff>
    </xdr:to>
    <xdr:graphicFrame macro="">
      <xdr:nvGraphicFramePr>
        <xdr:cNvPr id="6" name="Chart 5">
          <a:extLst>
            <a:ext uri="{FF2B5EF4-FFF2-40B4-BE49-F238E27FC236}">
              <a16:creationId xmlns:a16="http://schemas.microsoft.com/office/drawing/2014/main" id="{45B276B1-D01F-439F-8C80-F63BA9802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171450</xdr:colOff>
      <xdr:row>55</xdr:row>
      <xdr:rowOff>76200</xdr:rowOff>
    </xdr:from>
    <xdr:to>
      <xdr:col>8</xdr:col>
      <xdr:colOff>219076</xdr:colOff>
      <xdr:row>72</xdr:row>
      <xdr:rowOff>9525</xdr:rowOff>
    </xdr:to>
    <xdr:graphicFrame macro="">
      <xdr:nvGraphicFramePr>
        <xdr:cNvPr id="7" name="Chart 6">
          <a:extLst>
            <a:ext uri="{FF2B5EF4-FFF2-40B4-BE49-F238E27FC236}">
              <a16:creationId xmlns:a16="http://schemas.microsoft.com/office/drawing/2014/main" id="{A58BE836-5106-49DB-96CE-7BC1993BBE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240195</xdr:colOff>
      <xdr:row>1</xdr:row>
      <xdr:rowOff>49695</xdr:rowOff>
    </xdr:from>
    <xdr:to>
      <xdr:col>8</xdr:col>
      <xdr:colOff>265044</xdr:colOff>
      <xdr:row>18</xdr:row>
      <xdr:rowOff>40170</xdr:rowOff>
    </xdr:to>
    <xdr:graphicFrame macro="">
      <xdr:nvGraphicFramePr>
        <xdr:cNvPr id="8" name="Chart 7">
          <a:extLst>
            <a:ext uri="{FF2B5EF4-FFF2-40B4-BE49-F238E27FC236}">
              <a16:creationId xmlns:a16="http://schemas.microsoft.com/office/drawing/2014/main" id="{3B71B3BD-54AA-44FD-B399-CD5D09B12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180975</xdr:colOff>
      <xdr:row>58</xdr:row>
      <xdr:rowOff>142875</xdr:rowOff>
    </xdr:from>
    <xdr:to>
      <xdr:col>2</xdr:col>
      <xdr:colOff>495514</xdr:colOff>
      <xdr:row>69</xdr:row>
      <xdr:rowOff>124071</xdr:rowOff>
    </xdr:to>
    <xdr:pic>
      <xdr:nvPicPr>
        <xdr:cNvPr id="2" name="Picture 1">
          <a:extLst>
            <a:ext uri="{FF2B5EF4-FFF2-40B4-BE49-F238E27FC236}">
              <a16:creationId xmlns:a16="http://schemas.microsoft.com/office/drawing/2014/main" id="{07CEC012-9E63-99A7-0F79-A66A02F84CD0}"/>
            </a:ext>
          </a:extLst>
        </xdr:cNvPr>
        <xdr:cNvPicPr>
          <a:picLocks noChangeAspect="1"/>
        </xdr:cNvPicPr>
      </xdr:nvPicPr>
      <xdr:blipFill>
        <a:blip xmlns:r="http://schemas.openxmlformats.org/officeDocument/2006/relationships" r:embed="rId7"/>
        <a:stretch>
          <a:fillRect/>
        </a:stretch>
      </xdr:blipFill>
      <xdr:spPr>
        <a:xfrm>
          <a:off x="180975" y="9534525"/>
          <a:ext cx="1533739" cy="1762371"/>
        </a:xfrm>
        <a:prstGeom prst="rect">
          <a:avLst/>
        </a:prstGeom>
      </xdr:spPr>
    </xdr:pic>
    <xdr:clientData/>
  </xdr:twoCellAnchor>
  <xdr:twoCellAnchor editAs="oneCell">
    <xdr:from>
      <xdr:col>1</xdr:col>
      <xdr:colOff>47625</xdr:colOff>
      <xdr:row>69</xdr:row>
      <xdr:rowOff>66675</xdr:rowOff>
    </xdr:from>
    <xdr:to>
      <xdr:col>2</xdr:col>
      <xdr:colOff>476395</xdr:colOff>
      <xdr:row>70</xdr:row>
      <xdr:rowOff>38119</xdr:rowOff>
    </xdr:to>
    <xdr:pic>
      <xdr:nvPicPr>
        <xdr:cNvPr id="9" name="Picture 8">
          <a:extLst>
            <a:ext uri="{FF2B5EF4-FFF2-40B4-BE49-F238E27FC236}">
              <a16:creationId xmlns:a16="http://schemas.microsoft.com/office/drawing/2014/main" id="{16CE61E0-0F64-66AC-83B3-E7284D34ECEF}"/>
            </a:ext>
          </a:extLst>
        </xdr:cNvPr>
        <xdr:cNvPicPr>
          <a:picLocks noChangeAspect="1"/>
        </xdr:cNvPicPr>
      </xdr:nvPicPr>
      <xdr:blipFill>
        <a:blip xmlns:r="http://schemas.openxmlformats.org/officeDocument/2006/relationships" r:embed="rId8"/>
        <a:stretch>
          <a:fillRect/>
        </a:stretch>
      </xdr:blipFill>
      <xdr:spPr>
        <a:xfrm>
          <a:off x="657225" y="11239500"/>
          <a:ext cx="1038370" cy="133369"/>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A5B15302-4830-44F9-A0F4-F670E3682993}" autoFormatId="16" applyNumberFormats="0" applyBorderFormats="0" applyFontFormats="0" applyPatternFormats="0" applyAlignmentFormats="0" applyWidthHeightFormats="0">
  <queryTableRefresh nextId="12">
    <queryTableFields count="11">
      <queryTableField id="1" name="Datum" tableColumnId="1"/>
      <queryTableField id="2" name="Art" tableColumnId="2"/>
      <queryTableField id="3" name="Unternehmensname" tableColumnId="3"/>
      <queryTableField id="11" dataBound="0" tableColumnId="11"/>
      <queryTableField id="4" name="Wechselkurs" tableColumnId="4"/>
      <queryTableField id="5" name="Währung" tableColumnId="5"/>
      <queryTableField id="6" name="Anteile" tableColumnId="6"/>
      <queryTableField id="7" name="Stückelung" tableColumnId="7"/>
      <queryTableField id="8" name="Coupon" tableColumnId="8"/>
      <queryTableField id="9" name="Zinszahlungen pro Jahr" tableColumnId="9"/>
      <queryTableField id="10" name="ISIN"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9D83885-CC4A-4503-8E83-368D23010C91}" autoFormatId="16" applyNumberFormats="0" applyBorderFormats="0" applyFontFormats="0" applyPatternFormats="0" applyAlignmentFormats="0" applyWidthHeightFormats="0">
  <queryTableRefresh nextId="73" unboundColumnsRight="1">
    <queryTableFields count="28">
      <queryTableField id="2" name="Unternehmensname" tableColumnId="2"/>
      <queryTableField id="3" name="Branche des Hauptkonzern" tableColumnId="3"/>
      <queryTableField id="4" name="Coupon" tableColumnId="4"/>
      <queryTableField id="5" name="Aktueller Kurs" tableColumnId="5"/>
      <queryTableField id="30" dataBound="0" tableColumnId="20"/>
      <queryTableField id="34" dataBound="0" tableColumnId="7"/>
      <queryTableField id="42" dataBound="0" tableColumnId="19"/>
      <queryTableField id="41" dataBound="0" tableColumnId="14"/>
      <queryTableField id="40" dataBound="0" tableColumnId="9"/>
      <queryTableField id="38" dataBound="0" tableColumnId="18"/>
      <queryTableField id="35" dataBound="0" tableColumnId="8"/>
      <queryTableField id="60" name="Kaufpreis" tableColumnId="1"/>
      <queryTableField id="12" name="Kaufkurs" tableColumnId="12"/>
      <queryTableField id="45" name="Wechselkurs am Kauftag" tableColumnId="11"/>
      <queryTableField id="46" name="Aktueller Wechselkurs" tableColumnId="13"/>
      <queryTableField id="47" name="Währung" tableColumnId="17"/>
      <queryTableField id="19" name="Kaufdatum" tableColumnId="15"/>
      <queryTableField id="20" name="Anteile" tableColumnId="16"/>
      <queryTableField id="53" name="Stückelung" tableColumnId="21"/>
      <queryTableField id="54" name="Letzte Zinszahlung" tableColumnId="23"/>
      <queryTableField id="55" name="Zinszahlungen pro Jahr" tableColumnId="24"/>
      <queryTableField id="64" dataBound="0" tableColumnId="10"/>
      <queryTableField id="61" name="Stückzinsen am Kauftag" tableColumnId="6"/>
      <queryTableField id="70" name="Land" tableColumnId="26"/>
      <queryTableField id="68" name="Börse" tableColumnId="28"/>
      <queryTableField id="56" name="ISIN" tableColumnId="25"/>
      <queryTableField id="72" name="Quelle" tableColumnId="27"/>
      <queryTableField id="31" dataBound="0" tableColumnId="2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0EFAC7E6-683F-444A-ACD3-E286CDC34D6C}" autoFormatId="16" applyNumberFormats="0" applyBorderFormats="0" applyFontFormats="0" applyPatternFormats="0" applyAlignmentFormats="0" applyWidthHeightFormats="0">
  <queryTableRefresh nextId="27" unboundColumnsRight="1">
    <queryTableFields count="20">
      <queryTableField id="1" name="Kaufdatum" tableColumnId="1"/>
      <queryTableField id="2" name="Unternehmensname" tableColumnId="2"/>
      <queryTableField id="3" name="Branche des Hauptkonzern" tableColumnId="3"/>
      <queryTableField id="24" dataBound="0" tableColumnId="21"/>
      <queryTableField id="16" dataBound="0" tableColumnId="16"/>
      <queryTableField id="4" name="Anteile" tableColumnId="4"/>
      <queryTableField id="5" name="Stückelung" tableColumnId="5"/>
      <queryTableField id="6" name="Kaufkurs" tableColumnId="6"/>
      <queryTableField id="17" dataBound="0" tableColumnId="17"/>
      <queryTableField id="7" name="Coupon" tableColumnId="7"/>
      <queryTableField id="20" name="Wechselkurs am Kauftag" tableColumnId="19"/>
      <queryTableField id="21" name="Währung" tableColumnId="20"/>
      <queryTableField id="8" name="Zinszahlungen pro Jahr" tableColumnId="8"/>
      <queryTableField id="9" name="Letzter Zinstermin" tableColumnId="9"/>
      <queryTableField id="10" name="Land" tableColumnId="10"/>
      <queryTableField id="11" name="Börse" tableColumnId="11"/>
      <queryTableField id="12" name="ISIN" tableColumnId="12"/>
      <queryTableField id="13" name="Quelle" tableColumnId="13"/>
      <queryTableField id="14" name="Kaufbar" tableColumnId="14"/>
      <queryTableField id="18" dataBound="0" tableColumnId="18"/>
    </queryTableFields>
    <queryTableDeletedFields count="2">
      <deletedField name="Bereits Gekauft"/>
      <deletedField name="Bereits Gekauft"/>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5A65326-33E8-4958-915D-EB7F0BAA778B}" name="anleihenkäufe" displayName="anleihenkäufe" ref="A1:Z535" totalsRowShown="0" headerRowDxfId="162" dataDxfId="161">
  <autoFilter ref="A1:Z535" xr:uid="{35A65326-33E8-4958-915D-EB7F0BAA778B}"/>
  <sortState xmlns:xlrd2="http://schemas.microsoft.com/office/spreadsheetml/2017/richdata2" ref="A2:Y535">
    <sortCondition ref="A1:A535"/>
  </sortState>
  <tableColumns count="26">
    <tableColumn id="1" xr3:uid="{0E4E6586-4461-403A-BC9E-39A063F93DAB}" name="Kaufdatum" dataDxfId="160"/>
    <tableColumn id="2" xr3:uid="{567C05DE-A9D6-403D-9F43-0AA8A5010026}" name="Unternehmensname" dataDxfId="159"/>
    <tableColumn id="3" xr3:uid="{E9715E86-5F3C-4B1D-BD44-7954258CA723}" name="Branche des Hauptkonzern" dataDxfId="158"/>
    <tableColumn id="4" xr3:uid="{6701EE80-E24B-4BB6-BE3F-DAFBCC145D20}" name="Dirty Kaufpreis" dataDxfId="157" dataCellStyle="Currency">
      <calculatedColumnFormula>E2+I2</calculatedColumnFormula>
    </tableColumn>
    <tableColumn id="5" xr3:uid="{1A58218F-FB4C-42CC-B8C1-3CB57428C9C0}" name="Clean Kaufpreis" dataDxfId="156" dataCellStyle="Currency">
      <calculatedColumnFormula>G2*H2*F2/K2</calculatedColumnFormula>
    </tableColumn>
    <tableColumn id="6" xr3:uid="{FC2F5364-2203-4EAC-B6ED-949648BBADA4}" name="Anteile" dataDxfId="155"/>
    <tableColumn id="7" xr3:uid="{2F305218-D040-41D6-9D22-5E1A436A16D5}" name="Stückelung" dataDxfId="154"/>
    <tableColumn id="8" xr3:uid="{E3013D84-DEB7-4EEF-81C8-1DF8E83AE4A3}" name="Kaufkurs" dataDxfId="153" dataCellStyle="Percent"/>
    <tableColumn id="9" xr3:uid="{DCF81C10-D0A0-4A7C-B2FB-A12578B745F8}" name="Stückzinsen" dataDxfId="152" dataCellStyle="Currency">
      <calculatedColumnFormula>G2*J2*(A2-N2)/365*F2/K2</calculatedColumnFormula>
    </tableColumn>
    <tableColumn id="10" xr3:uid="{13984962-A78B-4E23-883B-48C1272FB762}" name="Coupon" dataDxfId="151" dataCellStyle="Percent"/>
    <tableColumn id="11" xr3:uid="{E921F08C-B0AD-4CAA-96F5-09ECA76F2F53}" name="Wechselkurs am Kauftag" dataDxfId="150"/>
    <tableColumn id="12" xr3:uid="{E71500E4-8352-44CD-B798-BDFE551F9725}" name="Währung" dataDxfId="149"/>
    <tableColumn id="13" xr3:uid="{2D0C3D7E-7FA2-4D76-A4E8-DA5323064D77}" name="Zinszahlungen pro Jahr" dataDxfId="148"/>
    <tableColumn id="14" xr3:uid="{3C229A01-B42C-4D13-B524-84C9EB0A7C56}" name="Letzter Zinstermin" dataDxfId="147"/>
    <tableColumn id="15" xr3:uid="{29BC7D4A-0477-44A7-81F9-2E46B72E485A}" name="Land" dataDxfId="146"/>
    <tableColumn id="16" xr3:uid="{67813C82-E7E1-4D5D-AF9A-08B5462D743D}" name="Börse" dataDxfId="145"/>
    <tableColumn id="17" xr3:uid="{FFA32B9D-EB6D-48C8-A20F-02050F590F74}" name="ISIN" dataDxfId="144"/>
    <tableColumn id="18" xr3:uid="{D6E28E09-EB42-411C-8E58-E38219D21BE4}" name="Quelle" dataDxfId="143"/>
    <tableColumn id="19" xr3:uid="{A27E090D-B243-4BFF-AE1F-F46CCC77ED00}" name="Im Besitz" dataDxfId="142"/>
    <tableColumn id="21" xr3:uid="{C5B3667F-EE95-4422-9E30-05F616BD62C4}" name="Verkauft am" dataDxfId="141"/>
    <tableColumn id="22" xr3:uid="{83101270-9F97-4BE4-8612-76D80369F3AF}" name="Verkaufspreis" dataDxfId="140" dataCellStyle="Currency"/>
    <tableColumn id="23" xr3:uid="{1A126C33-C80E-45EB-9A48-EF9CF07749A7}" name="Gewinn aus Kursänderung" dataDxfId="139" dataCellStyle="Currency"/>
    <tableColumn id="24" xr3:uid="{62DD8F85-8037-4027-B21D-2ECD579FCA9D}" name="Gewinn aus Zinsen" dataDxfId="138" dataCellStyle="Currency"/>
    <tableColumn id="25" xr3:uid="{761CF09A-C996-4C59-9D89-B89C88B4EAA9}" name="Gewinn aus Währungseffekten" dataDxfId="137" dataCellStyle="Currency"/>
    <tableColumn id="27" xr3:uid="{807D812E-D6C8-4323-8BF8-0694B38A2FD0}" name="Gewinn gesamt" dataDxfId="136" dataCellStyle="Currency">
      <calculatedColumnFormula>IF(anleihenkäufe[[#This Row],[Verkauft am]]="","",anleihenkäufe[[#This Row],[Gewinn aus Kursänderung]]+anleihenkäufe[[#This Row],[Gewinn aus Zinsen]]+anleihenkäufe[[#This Row],[Gewinn aus Währungseffekten]])</calculatedColumnFormula>
    </tableColumn>
    <tableColumn id="20" xr3:uid="{8506F9AE-188D-46CE-A6A2-FBB563E901BF}" name="Rendite" dataDxfId="135" dataCellStyle="Percent">
      <calculatedColumnFormula>IF(anleihenkäufe[[#This Row],[Verkauft am]]="","",anleihenkäufe[[#This Row],[Gewinn gesamt]]/anleihenkäufe[[#This Row],[Dirty Kaufpreis]])</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4429FE-D960-4FF9-88EA-FE2732A8260C}" name="zinszahlungen" displayName="zinszahlungen" ref="A1:K166" tableType="queryTable" totalsRowShown="0" headerRowDxfId="134" dataDxfId="133">
  <autoFilter ref="A1:K166" xr:uid="{134429FE-D960-4FF9-88EA-FE2732A8260C}"/>
  <tableColumns count="11">
    <tableColumn id="1" xr3:uid="{9EEADDA6-F753-46D6-B4C2-0753435FB7AF}" uniqueName="1" name="Datum" queryTableFieldId="1" dataDxfId="132" totalsRowDxfId="131"/>
    <tableColumn id="2" xr3:uid="{289DE581-00DE-43C4-AFBB-5AE51BE43E07}" uniqueName="2" name="Art" queryTableFieldId="2" dataDxfId="130" totalsRowDxfId="129"/>
    <tableColumn id="3" xr3:uid="{C61C9DA9-C01A-41EE-A09B-FC834E48D420}" uniqueName="3" name="Unternehmensname" queryTableFieldId="3" dataDxfId="128" totalsRowDxfId="127"/>
    <tableColumn id="11" xr3:uid="{A56A6FB3-4D17-4782-A4B2-14008A52DD11}" uniqueName="11" name="Zahlung in Euro" queryTableFieldId="11" dataDxfId="126" totalsRowDxfId="125" dataCellStyle="Currency" totalsRowCellStyle="Currency">
      <calculatedColumnFormula>zinszahlungen[[#This Row],[Coupon]]/zinszahlungen[[#This Row],[Zinszahlungen pro Jahr]]*zinszahlungen[[#This Row],[Anteile]]*zinszahlungen[[#This Row],[Stückelung]]/zinszahlungen[[#This Row],[Wechselkurs]]</calculatedColumnFormula>
    </tableColumn>
    <tableColumn id="4" xr3:uid="{7B92A41F-2B08-4BF9-8A65-2A7F39E946EF}" uniqueName="4" name="Wechselkurs" queryTableFieldId="4" dataDxfId="124" totalsRowDxfId="123"/>
    <tableColumn id="5" xr3:uid="{896A3FA5-4F70-4326-B243-9A513E515D83}" uniqueName="5" name="Währung" queryTableFieldId="5" dataDxfId="122" totalsRowDxfId="121"/>
    <tableColumn id="6" xr3:uid="{35C3903B-1E3B-460A-9353-F8801042CA1B}" uniqueName="6" name="Anteile" queryTableFieldId="6" dataDxfId="120" totalsRowDxfId="119"/>
    <tableColumn id="7" xr3:uid="{8CB1A2A6-920D-414C-9236-A8E760C9175A}" uniqueName="7" name="Stückelung" queryTableFieldId="7" dataDxfId="118" totalsRowDxfId="117"/>
    <tableColumn id="8" xr3:uid="{4AE6837D-7F43-487C-945E-037900C55DC4}" uniqueName="8" name="Coupon" queryTableFieldId="8" dataDxfId="116" totalsRowDxfId="115" dataCellStyle="Percent" totalsRowCellStyle="Percent"/>
    <tableColumn id="9" xr3:uid="{E3F680D1-A348-49EA-90E8-5C93DFB19A49}" uniqueName="9" name="Zinszahlungen pro Jahr" queryTableFieldId="9" dataDxfId="114" totalsRowDxfId="113"/>
    <tableColumn id="10" xr3:uid="{CC7F7F26-7A95-4124-9204-1956F26E815B}" uniqueName="10" name="ISIN" queryTableFieldId="10" dataDxfId="112" totalsRowDxfId="1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BA7116-490A-47A3-B82B-C2336A396F31}" name="aktuelleAnleihen" displayName="aktuelleAnleihen" ref="A1:AB511" tableType="queryTable" totalsRowShown="0" headerRowDxfId="110" dataDxfId="109">
  <autoFilter ref="A1:AB511" xr:uid="{1ABA7116-490A-47A3-B82B-C2336A396F31}"/>
  <sortState xmlns:xlrd2="http://schemas.microsoft.com/office/spreadsheetml/2017/richdata2" ref="A2:AB511">
    <sortCondition ref="G1:G511"/>
  </sortState>
  <tableColumns count="28">
    <tableColumn id="2" xr3:uid="{8A5C54A7-92D3-4F8E-ACB3-BFA64C56D2B4}" uniqueName="2" name="Unternehmensname" queryTableFieldId="2" dataDxfId="108"/>
    <tableColumn id="3" xr3:uid="{8B2BE692-8F1C-490A-8A30-1C1A1B85C7B8}" uniqueName="3" name="Branche des Hauptkonzern" queryTableFieldId="3" dataDxfId="107"/>
    <tableColumn id="4" xr3:uid="{19134657-528D-43D5-81B6-A6BEEB3B6ACB}" uniqueName="4" name="Coupon" queryTableFieldId="4" dataDxfId="106" dataCellStyle="Percent"/>
    <tableColumn id="5" xr3:uid="{9B33F9A2-BA27-49FF-AFE1-84B34D0F67DF}" uniqueName="5" name="Aktueller Kurs" queryTableFieldId="5" dataDxfId="105" dataCellStyle="Percent"/>
    <tableColumn id="20" xr3:uid="{09E04BD4-6BB3-4351-AA84-8914605BA2E8}" uniqueName="20" name="Kursdifferenz" queryTableFieldId="30" dataDxfId="104" dataCellStyle="Percent">
      <calculatedColumnFormula>aktuelleAnleihen[[#This Row],[Aktueller Kurs]]-aktuelleAnleihen[[#This Row],[Kaufkurs]]</calculatedColumnFormula>
    </tableColumn>
    <tableColumn id="7" xr3:uid="{12B5D5A4-7242-44D4-B0E6-4BD008F7B5D9}" uniqueName="7" name="Verkaufspreis" queryTableFieldId="34" dataDxfId="103" dataCellStyle="Percent">
      <calculatedColumnFormula>aktuelleAnleihen[[#This Row],[Stückelung]]*aktuelleAnleihen[[#This Row],[Aktueller Kurs]]*aktuelleAnleihen[[#This Row],[Anteile]]/aktuelleAnleihen[[#This Row],[Aktueller Wechselkurs]]+aktuelleAnleihen[[#This Row],[Stückzinsen]]</calculatedColumnFormula>
    </tableColumn>
    <tableColumn id="19" xr3:uid="{A5E9B55E-8253-40C6-9E4A-28FB8C476C4E}" uniqueName="19" name="Gewinn aus Kursänderung" queryTableFieldId="42" dataDxfId="102" dataCellStyle="Percent">
      <calculatedColumnFormula>aktuelleAnleihen[[#This Row],[Kursdifferenz]]*aktuelleAnleihen[[#This Row],[Anteile]]*aktuelleAnleihen[[#This Row],[Stückelung]]/aktuelleAnleihen[[#This Row],[Wechselkurs am Kauftag]]</calculatedColumnFormula>
    </tableColumn>
    <tableColumn id="14" xr3:uid="{676A79E6-BD67-4C52-B283-8B7E16A373C0}" uniqueName="14" name="Gewinn aus Zinsen" queryTableFieldId="41" dataDxfId="101" dataCellStyle="Percent">
      <calculatedColumnFormula>aktuelleAnleihen[[#This Row],[Stückzinsen]]-aktuelleAnleihen[[#This Row],[Stückzinsen am Kauftag]]+aktuelleAnleihen[[#This Row],[Zinszahlungen]]</calculatedColumnFormula>
    </tableColumn>
    <tableColumn id="9" xr3:uid="{21DBF2C5-FA07-4CA2-B9FD-A6F3FC3EDDD2}" uniqueName="9" name="Gewinn aus Währungseffekten" queryTableFieldId="40" dataDxfId="100" dataCellStyle="Percent">
      <calculatedColumnFormula>aktuelleAnleihen[[#This Row],[Gewinn gesamt]]-aktuelleAnleihen[[#This Row],[Gewinn aus Kursänderung]]-aktuelleAnleihen[[#This Row],[Gewinn aus Zinsen]]</calculatedColumnFormula>
    </tableColumn>
    <tableColumn id="18" xr3:uid="{3B7486E8-14D7-433F-8C01-C1028A314635}" uniqueName="18" name="Rendite" queryTableFieldId="38" dataDxfId="99" dataCellStyle="Percent">
      <calculatedColumnFormula>aktuelleAnleihen[[#This Row],[Gewinn gesamt]]/aktuelleAnleihen[[#This Row],[Kaufpreis]]</calculatedColumnFormula>
    </tableColumn>
    <tableColumn id="8" xr3:uid="{0D4BCA9E-CD4F-42A2-894C-3EFE6401E261}" uniqueName="8" name="Gewinn gesamt" queryTableFieldId="35" dataDxfId="98">
      <calculatedColumnFormula>aktuelleAnleihen[[#This Row],[Verkaufspreis]]-aktuelleAnleihen[[#This Row],[Kaufpreis]]+aktuelleAnleihen[[#This Row],[Zinszahlungen]]</calculatedColumnFormula>
    </tableColumn>
    <tableColumn id="1" xr3:uid="{1C319E3E-B07B-4507-9A3E-9438BF6D17D2}" uniqueName="1" name="Kaufpreis" queryTableFieldId="60" dataDxfId="97" dataCellStyle="Currency"/>
    <tableColumn id="12" xr3:uid="{10FB1520-0D59-41DD-A5BF-B05BE2F5E6F6}" uniqueName="12" name="Kaufkurs" queryTableFieldId="12" dataDxfId="96" dataCellStyle="Percent"/>
    <tableColumn id="11" xr3:uid="{D0E3F06A-DE24-49E4-9F4A-1EE7C0A7FC22}" uniqueName="11" name="Wechselkurs am Kauftag" queryTableFieldId="45" dataDxfId="95" dataCellStyle="Percent"/>
    <tableColumn id="13" xr3:uid="{8331D64C-FA9E-4335-BD67-4B992986BD3A}" uniqueName="13" name="Aktueller Wechselkurs" queryTableFieldId="46" dataDxfId="94"/>
    <tableColumn id="17" xr3:uid="{C0DCD332-90D9-4092-BAC4-CB09FBD01040}" uniqueName="17" name="Währung" queryTableFieldId="47" dataDxfId="93"/>
    <tableColumn id="15" xr3:uid="{6381F76A-18B1-475C-87EB-9C727AAFEAD6}" uniqueName="15" name="Kaufdatum" queryTableFieldId="19" dataDxfId="92" dataCellStyle="Percent"/>
    <tableColumn id="16" xr3:uid="{12DE7E8E-230A-4374-8DA8-DB51EC08A9B5}" uniqueName="16" name="Anteile" queryTableFieldId="20" dataDxfId="91"/>
    <tableColumn id="21" xr3:uid="{BBFB273C-79CB-4647-97FB-5593749EFA44}" uniqueName="21" name="Stückelung" queryTableFieldId="53" dataDxfId="90"/>
    <tableColumn id="23" xr3:uid="{C7A774BC-5FB7-4D00-8E2D-6D55913BFD98}" uniqueName="23" name="Letzte Zinszahlung" queryTableFieldId="54" dataDxfId="89"/>
    <tableColumn id="24" xr3:uid="{8B431716-3F33-44F8-B13A-1EFA17C79F3E}" uniqueName="24" name="Zinszahlungen pro Jahr" queryTableFieldId="55" dataDxfId="88"/>
    <tableColumn id="10" xr3:uid="{C5A0D883-41E9-4F47-93E3-EB01E89BE51A}" uniqueName="10" name="Stückzinsen" queryTableFieldId="64" dataDxfId="87" dataCellStyle="Currency">
      <calculatedColumnFormula>aktuelleAnleihen[[#This Row],[Stückelung]]*aktuelleAnleihen[[#This Row],[Anteile]]*aktuelleAnleihen[[#This Row],[Coupon]]/aktuelleAnleihen[[#This Row],[Aktueller Wechselkurs]]*($AC$1-aktuelleAnleihen[[#This Row],[Letzte Zinszahlung]])/365</calculatedColumnFormula>
    </tableColumn>
    <tableColumn id="6" xr3:uid="{F32B2151-19CE-4DD8-ADD6-F9F215C52C4F}" uniqueName="6" name="Stückzinsen am Kauftag" queryTableFieldId="61" dataDxfId="86" dataCellStyle="Currency"/>
    <tableColumn id="26" xr3:uid="{4E0E051F-A324-46DD-B05A-0B13FA9BF903}" uniqueName="26" name="Land" queryTableFieldId="70" dataDxfId="85" dataCellStyle="Currency"/>
    <tableColumn id="28" xr3:uid="{499DD8A2-A3F4-4B94-890B-AD8210BA4B34}" uniqueName="28" name="Börse" queryTableFieldId="68" dataDxfId="84" dataCellStyle="Currency"/>
    <tableColumn id="25" xr3:uid="{21BC4DB2-2DC5-4CC1-8A09-98C7395C033F}" uniqueName="25" name="ISIN" queryTableFieldId="56" dataDxfId="83"/>
    <tableColumn id="27" xr3:uid="{3B0F2032-F43B-4FEF-BE26-E5BE45AC81FB}" uniqueName="27" name="Quelle" queryTableFieldId="72" dataDxfId="82"/>
    <tableColumn id="22" xr3:uid="{216AEFBC-0520-4E6F-8D4E-F6C2ECC9599B}" uniqueName="22" name="Zinszahlungen" queryTableFieldId="31" dataDxfId="81">
      <calculatedColumnFormula>SUMIF('Zinszahlungen Anleihen'!K:K,aktuelleAnleihen[[#This Row],[ISIN]],'Zinszahlungen Anleihen'!D:D)</calculatedColumnFormula>
    </tableColumn>
  </tableColumns>
  <tableStyleInfo name="TableStyleMedium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947E94-EDBD-40FC-A3F0-CF9C9C58BF6B}" name="optionen" displayName="optionen" ref="A1:T2" totalsRowShown="0" headerRowDxfId="80" dataDxfId="79" tableBorderDxfId="78">
  <autoFilter ref="A1:T2" xr:uid="{5E947E94-EDBD-40FC-A3F0-CF9C9C58BF6B}"/>
  <tableColumns count="20">
    <tableColumn id="1" xr3:uid="{EF4CBCE9-DC0D-416A-BFD6-16E31AFB5966}" name="Kaufdatum" dataDxfId="77"/>
    <tableColumn id="2" xr3:uid="{93A1F546-624E-4197-911C-F8BD712DAE95}" name="Name" dataDxfId="76"/>
    <tableColumn id="3" xr3:uid="{49D3BE13-8843-485B-887B-4C41ED741687}" name="Investmentrichtung" dataDxfId="75"/>
    <tableColumn id="4" xr3:uid="{08C83965-3116-49D2-843C-93D0F1CD92F1}" name="Gewinn" dataDxfId="74">
      <calculatedColumnFormula>optionen[[#This Row],[Verkaufspreis]]-optionen[[#This Row],[Kaufpreis]]</calculatedColumnFormula>
    </tableColumn>
    <tableColumn id="5" xr3:uid="{44388E98-17D6-4446-B45C-C65E692AF40B}" name="Rendite" dataDxfId="73" dataCellStyle="Percent">
      <calculatedColumnFormula>optionen[[#This Row],[Gewinn]]/optionen[[#This Row],[Kaufpreis]]</calculatedColumnFormula>
    </tableColumn>
    <tableColumn id="6" xr3:uid="{7141AE25-9CF6-44A8-91B5-D71D27B5A7AF}" name="Verkaufspreis" dataDxfId="72" dataCellStyle="Currency">
      <calculatedColumnFormula>optionen[[#This Row],[Aktueller Kurs]]*optionen[[#This Row],[Anteile]]</calculatedColumnFormula>
    </tableColumn>
    <tableColumn id="7" xr3:uid="{115AA736-3BDF-4B9E-80D1-D576DAEB556F}" name="Kaufpreis" dataDxfId="71" dataCellStyle="Currency">
      <calculatedColumnFormula>optionen[[#This Row],[Kaufkurs]]*optionen[[#This Row],[Anteile]]</calculatedColumnFormula>
    </tableColumn>
    <tableColumn id="8" xr3:uid="{41793417-612C-403D-AB82-2CED6E0F5512}" name="Anteile" dataDxfId="70"/>
    <tableColumn id="9" xr3:uid="{7D1E1558-1934-44A2-8E8C-71DBD85059C8}" name="Aktueller Kurs" dataDxfId="69" dataCellStyle="Currency"/>
    <tableColumn id="10" xr3:uid="{D88D1861-FF2F-4C80-BE97-B6890F3ADB54}" name="Kaufkurs" dataDxfId="68" dataCellStyle="Currency"/>
    <tableColumn id="11" xr3:uid="{E0D4487B-4090-4768-ACC3-1B68737061AC}" name="Ausübungsart" dataDxfId="67" dataCellStyle="Currency"/>
    <tableColumn id="12" xr3:uid="{6C3A2EF7-0721-487F-BC01-B9F1F58A95B1}" name="Strike" dataDxfId="66" dataCellStyle="Currency"/>
    <tableColumn id="13" xr3:uid="{E5E6B289-E52A-4967-B514-B9E664281478}" name="Ratio" dataDxfId="65" dataCellStyle="Currency"/>
    <tableColumn id="14" xr3:uid="{6BC123B5-06FA-46D3-BBEA-39457B548815}" name="Bewertungstag" dataDxfId="64" dataCellStyle="Currency"/>
    <tableColumn id="15" xr3:uid="{D550EFDF-3B13-432A-93BB-535F733AA39C}" name="Zahltag" dataDxfId="63" dataCellStyle="Currency"/>
    <tableColumn id="16" xr3:uid="{2DDA1C47-0846-4A11-97C8-D9F501B3EA64}" name="Börse" dataDxfId="62"/>
    <tableColumn id="17" xr3:uid="{9B484E15-729B-4608-A991-8FD1A8A19C14}" name="ISIN" dataDxfId="61"/>
    <tableColumn id="18" xr3:uid="{FAE37BF4-B711-4661-8071-C570D6F9472F}" name="Quelle" dataDxfId="60" dataCellStyle="Hyperlink"/>
    <tableColumn id="19" xr3:uid="{95FEC844-D6A4-4017-A6A6-CC5C1495FBAF}" name="Im Besitz" dataDxfId="59"/>
    <tableColumn id="20" xr3:uid="{3924C157-069D-4EBF-A4E9-0114FF40FC67}" name="Verkauf am" dataDxfId="5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A50C41-A10F-4D58-AE4C-AD0824C95B81}" name="aktien" displayName="aktien" ref="A1:W4" totalsRowShown="0" headerRowDxfId="57" dataDxfId="56">
  <autoFilter ref="A1:W4" xr:uid="{14A50C41-A10F-4D58-AE4C-AD0824C95B81}"/>
  <tableColumns count="23">
    <tableColumn id="1" xr3:uid="{F0C7A2C0-2428-4A3B-ABDF-8368B5492388}" name="Kaufdatum" dataDxfId="55"/>
    <tableColumn id="2" xr3:uid="{CAE3D66C-EB78-458B-BD5E-144861FFFD15}" name="Unternehmensname" dataDxfId="54"/>
    <tableColumn id="3" xr3:uid="{4E6C3A4F-D327-4C54-866D-D5313A0DEE7C}" name="Branche des Hauptkonzern" dataDxfId="53"/>
    <tableColumn id="17" xr3:uid="{A5A4FB3F-0DD4-4BEC-B41D-E551DA4E5591}" name="Aktueller Kurs" dataDxfId="52" dataCellStyle="Currency"/>
    <tableColumn id="19" xr3:uid="{716861A9-54E4-44DE-B376-62E07AA9B59A}" name="Gewinn aus Kursänderung" dataDxfId="51">
      <calculatedColumnFormula>aktien[[#This Row],[Verkaufspreis]]-aktien[[#This Row],[Kaufpreis]]-aktien[[#This Row],[Gewinn aus Währungseffekten]]</calculatedColumnFormula>
    </tableColumn>
    <tableColumn id="20" xr3:uid="{F89241AD-1743-4954-9141-61269E67CDBD}" name="Gewinn aus Dividende" dataDxfId="50" dataCellStyle="Currency"/>
    <tableColumn id="21" xr3:uid="{1C03B802-75ED-4A53-BD14-87FEC54D2CF9}" name="Gewinn aus Währungseffekten" dataDxfId="49">
      <calculatedColumnFormula>aktien[[#This Row],[Kaufpreis]]*(aktien[[#This Row],[Wechselkurs Kaufdatum Währung pro Euro]]/aktien[[#This Row],[Aktueller Wechselkurs]]-1)</calculatedColumnFormula>
    </tableColumn>
    <tableColumn id="22" xr3:uid="{70B4FE5C-93BF-4450-9595-8C122433819D}" name="Gewinn gesamt" dataDxfId="48">
      <calculatedColumnFormula>aktien[[#This Row],[Gewinn aus Kursänderung]]+aktien[[#This Row],[Gewinn aus Dividende]]+aktien[[#This Row],[Gewinn aus Währungseffekten]]</calculatedColumnFormula>
    </tableColumn>
    <tableColumn id="23" xr3:uid="{23A2BFC3-F5B6-4D13-847B-8F1C4BD423DF}" name="Rendite" dataDxfId="47" dataCellStyle="Percent">
      <calculatedColumnFormula>aktien[[#This Row],[Gewinn gesamt]]/aktien[[#This Row],[Kaufpreis]]</calculatedColumnFormula>
    </tableColumn>
    <tableColumn id="18" xr3:uid="{6B3F6D5A-C728-496D-A7D3-0378BECEEACA}" name="Verkaufspreis" dataDxfId="46" dataCellStyle="Currency">
      <calculatedColumnFormula>aktien[[#This Row],[Aktueller Kurs]]*aktien[[#This Row],[Anteile]]</calculatedColumnFormula>
    </tableColumn>
    <tableColumn id="4" xr3:uid="{A8DA4DDC-6924-43A2-AF96-872441AA4AAF}" name="Kaufpreis" dataDxfId="45" dataCellStyle="Currency">
      <calculatedColumnFormula>L2*M2</calculatedColumnFormula>
    </tableColumn>
    <tableColumn id="5" xr3:uid="{E96C5462-DE82-4A3C-A7C6-CF5B05B0B635}" name="Anteile" dataDxfId="44"/>
    <tableColumn id="6" xr3:uid="{C2F56C75-4B01-4A1E-B884-C0B04B99C14A}" name="Kaufkurs in Euro" dataDxfId="43" dataCellStyle="Currency"/>
    <tableColumn id="7" xr3:uid="{2CC11585-0FBB-44BC-B411-D2BEC43581DF}" name="Währung" dataDxfId="42"/>
    <tableColumn id="9" xr3:uid="{44947B58-5CFA-4FE0-BDDF-840F7FA2E085}" name="Aktueller Wechselkurs" dataDxfId="41"/>
    <tableColumn id="8" xr3:uid="{B74C9CA1-B6A0-44B3-9B22-F0005CFBFDF0}" name="Wechselkurs Kaufdatum Währung pro Euro" dataDxfId="40"/>
    <tableColumn id="10" xr3:uid="{D211FF5D-1943-4F18-8075-AFDCC646312F}" name="Nächste Dividendenzahlung" dataDxfId="39" dataCellStyle="Currency"/>
    <tableColumn id="11" xr3:uid="{99B7247B-0C56-43A4-9AFE-62059F73DD15}" name="Land" dataDxfId="38"/>
    <tableColumn id="12" xr3:uid="{7C89D8F6-F729-408D-893B-4D248643574C}" name="Börse" dataDxfId="37"/>
    <tableColumn id="13" xr3:uid="{CDD57767-1776-4CA7-86D7-AFA198C34293}" name="ISIN" dataDxfId="36"/>
    <tableColumn id="14" xr3:uid="{C98A421C-49FC-4932-9A4C-71FC4C60C823}" name="Quelle" dataDxfId="35" dataCellStyle="Hyperlink"/>
    <tableColumn id="15" xr3:uid="{BCAA97AC-BF99-4051-9E46-E05424A2CB6B}" name="Im Besitz" dataDxfId="34"/>
    <tableColumn id="16" xr3:uid="{09B8A70E-0048-465E-8F0A-5500BCB1D65B}" name="Begründung" dataDxfId="3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A074CE-23BC-4AB6-90CC-6F9C74C1673A}" name="filepath" displayName="filepath" ref="I3:I4" totalsRowShown="0" headerRowDxfId="32" tableBorderDxfId="31">
  <autoFilter ref="I3:I4" xr:uid="{77A074CE-23BC-4AB6-90CC-6F9C74C1673A}"/>
  <tableColumns count="1">
    <tableColumn id="1" xr3:uid="{706A7645-923C-4B8A-AC67-CFB1D1A0B82E}" name="Dateipfad">
      <calculatedColumnFormula array="1">LEFT(CELL("filename",A2),FIND("[",CELL("filename",A2))-1)</calculatedColumnFormula>
    </tableColumn>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573780-A6E5-4945-979F-BA6DFF257104}" name="neueAnleihen" displayName="neueAnleihen" ref="A1:T5" tableType="queryTable" totalsRowShown="0" headerRowDxfId="30" dataDxfId="29">
  <autoFilter ref="A1:T5" xr:uid="{39573780-A6E5-4945-979F-BA6DFF257104}"/>
  <sortState xmlns:xlrd2="http://schemas.microsoft.com/office/spreadsheetml/2017/richdata2" ref="A2:T5">
    <sortCondition descending="1" ref="T1:T5"/>
  </sortState>
  <tableColumns count="20">
    <tableColumn id="1" xr3:uid="{37B801FA-2BC6-4830-A74E-5A6468BDFAF3}" uniqueName="1" name="Kaufdatum" queryTableFieldId="1" dataDxfId="28"/>
    <tableColumn id="2" xr3:uid="{5C0F5D1B-B702-4FDD-B502-5E035FA0E003}" uniqueName="2" name="Unternehmensname" queryTableFieldId="2" dataDxfId="27"/>
    <tableColumn id="3" xr3:uid="{5355B52F-1EAB-4DD5-B502-4FDC6C0562D1}" uniqueName="3" name="Branche des Hauptkonzern" queryTableFieldId="3" dataDxfId="26"/>
    <tableColumn id="21" xr3:uid="{8F77728B-0291-4AB4-9465-BB9B700AC9F3}" uniqueName="21" name="Dirty Kaufpreis" queryTableFieldId="24" dataDxfId="25">
      <calculatedColumnFormula>E2+I2</calculatedColumnFormula>
    </tableColumn>
    <tableColumn id="16" xr3:uid="{F1FB7174-5A98-41C3-9E95-E6DAD657C7D9}" uniqueName="16" name="Clean Kaufpreis" queryTableFieldId="16" dataDxfId="24">
      <calculatedColumnFormula>G2*H2*F2/K2</calculatedColumnFormula>
    </tableColumn>
    <tableColumn id="4" xr3:uid="{61B47FD6-D48A-4EE2-BBA5-AF5A02DE0107}" uniqueName="4" name="Anteile" queryTableFieldId="4" dataDxfId="23"/>
    <tableColumn id="5" xr3:uid="{CC51F9A5-2ED6-4EF9-8F57-543F97EFF2F1}" uniqueName="5" name="Stückelung" queryTableFieldId="5" dataDxfId="22"/>
    <tableColumn id="6" xr3:uid="{0BED1BE2-7877-474C-B7C8-8B8FBDE3B92A}" uniqueName="6" name="Kaufkurs" queryTableFieldId="6" dataDxfId="21" dataCellStyle="Percent"/>
    <tableColumn id="17" xr3:uid="{2EDDB921-172A-4F1F-893B-25B2B488DF6E}" uniqueName="17" name="Stückzinsen" queryTableFieldId="17" dataDxfId="20" dataCellStyle="Currency">
      <calculatedColumnFormula>G2*J2*(A2-N2)/365*F2/K2</calculatedColumnFormula>
    </tableColumn>
    <tableColumn id="7" xr3:uid="{F9F002C6-D104-4B7A-94EA-E1CD06F99EF9}" uniqueName="7" name="Coupon" queryTableFieldId="7" dataDxfId="19" dataCellStyle="Percent"/>
    <tableColumn id="19" xr3:uid="{C5978C9D-2787-4DAD-9D26-0CAF1BC1435A}" uniqueName="19" name="Wechselkurs am Kauftag" queryTableFieldId="20" dataDxfId="18" dataCellStyle="Percent"/>
    <tableColumn id="20" xr3:uid="{CC2EF422-D975-4078-9400-2E10FC240490}" uniqueName="20" name="Währung" queryTableFieldId="21" dataDxfId="17"/>
    <tableColumn id="8" xr3:uid="{5FB382A5-2214-4F62-A161-6AA92D547EDA}" uniqueName="8" name="Zinszahlungen pro Jahr" queryTableFieldId="8" dataDxfId="16"/>
    <tableColumn id="9" xr3:uid="{7D7002FD-83A3-47F9-B24E-12BE78BBC76E}" uniqueName="9" name="Letzter Zinstermin" queryTableFieldId="9" dataDxfId="15"/>
    <tableColumn id="10" xr3:uid="{D17F5692-9744-4488-A3F3-CCBD53D5E3D1}" uniqueName="10" name="Land" queryTableFieldId="10" dataDxfId="14"/>
    <tableColumn id="11" xr3:uid="{23CA5344-EEFC-4BBF-9C7D-452944425791}" uniqueName="11" name="Börse" queryTableFieldId="11" dataDxfId="13"/>
    <tableColumn id="12" xr3:uid="{ADC7415E-95C0-4C11-BA6C-B96881C62082}" uniqueName="12" name="ISIN" queryTableFieldId="12" dataDxfId="12"/>
    <tableColumn id="13" xr3:uid="{6302B484-A022-45F4-B744-8EDEF4E76C5A}" uniqueName="13" name="Quelle" queryTableFieldId="13" dataDxfId="11"/>
    <tableColumn id="14" xr3:uid="{967FD09B-9232-4934-9AD6-61731B8A1A18}" uniqueName="14" name="Kaufbar" queryTableFieldId="14" dataDxfId="10"/>
    <tableColumn id="18" xr3:uid="{78543B06-7634-4379-85E1-39E1D8420FE2}" uniqueName="18" name="Couponrendite" queryTableFieldId="18" dataDxfId="9" dataCellStyle="Percent">
      <calculatedColumnFormula>neueAnleihen[[#This Row],[Anteile]]*neueAnleihen[[#This Row],[Stückelung]]*neueAnleihen[[#This Row],[Coupon]]/neueAnleihen[[#This Row],[Clean Kaufpreis]]</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Sheets">
  <a:themeElements>
    <a:clrScheme name="Anteile">
      <a:dk1>
        <a:srgbClr val="000000"/>
      </a:dk1>
      <a:lt1>
        <a:srgbClr val="FFFFFF"/>
      </a:lt1>
      <a:dk2>
        <a:srgbClr val="000000"/>
      </a:dk2>
      <a:lt2>
        <a:srgbClr val="FFFFFF"/>
      </a:lt2>
      <a:accent1>
        <a:srgbClr val="00B0F0"/>
      </a:accent1>
      <a:accent2>
        <a:srgbClr val="F4272B"/>
      </a:accent2>
      <a:accent3>
        <a:srgbClr val="00B050"/>
      </a:accent3>
      <a:accent4>
        <a:srgbClr val="FFF685"/>
      </a:accent4>
      <a:accent5>
        <a:srgbClr val="B0A9E4"/>
      </a:accent5>
      <a:accent6>
        <a:srgbClr val="F98284"/>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hromatisGit/FiMa-Planspie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3" Type="http://schemas.openxmlformats.org/officeDocument/2006/relationships/hyperlink" Target="https://www.finanzen.net/anleihen/a2nbk3-hertha-bscaa-anleihe" TargetMode="External"/><Relationship Id="rId18" Type="http://schemas.openxmlformats.org/officeDocument/2006/relationships/hyperlink" Target="https://www.finanzen.net/anleihen/a3kt6m-iutecredit-finance-sarl-anleihe" TargetMode="External"/><Relationship Id="rId26" Type="http://schemas.openxmlformats.org/officeDocument/2006/relationships/hyperlink" Target="https://www.finanzen.net/anleihen/a3h3k6-pcf-anleihe" TargetMode="External"/><Relationship Id="rId39" Type="http://schemas.openxmlformats.org/officeDocument/2006/relationships/hyperlink" Target="https://www.finanzen.net/anleihen/a2sa44-jaguar-land-rover-automotive-anleihe" TargetMode="External"/><Relationship Id="rId21" Type="http://schemas.openxmlformats.org/officeDocument/2006/relationships/hyperlink" Target="https://www.finanzen.net/anleihen/a3ktc6-multitude-se-anleihe" TargetMode="External"/><Relationship Id="rId34" Type="http://schemas.openxmlformats.org/officeDocument/2006/relationships/hyperlink" Target="https://www.finanzen.net/anleihen/a3lje8-ziton-a-s-anleihe" TargetMode="External"/><Relationship Id="rId42" Type="http://schemas.openxmlformats.org/officeDocument/2006/relationships/hyperlink" Target="https://www.finanzen.net/anleihen/a286nv-global-agrajes-sl-anleihe" TargetMode="External"/><Relationship Id="rId47" Type="http://schemas.openxmlformats.org/officeDocument/2006/relationships/hyperlink" Target="https://www.finanzen.net/anleihen/a3knpx-viridien-anleihe" TargetMode="External"/><Relationship Id="rId7" Type="http://schemas.openxmlformats.org/officeDocument/2006/relationships/hyperlink" Target="https://www.finanzen.net/anleihen/a3k0j3-calligo-uk-anleihe" TargetMode="External"/><Relationship Id="rId2" Type="http://schemas.openxmlformats.org/officeDocument/2006/relationships/hyperlink" Target="https://www.finanzen.net/anleihen/a3lrmp-ams-osram-anleihe" TargetMode="External"/><Relationship Id="rId16" Type="http://schemas.openxmlformats.org/officeDocument/2006/relationships/hyperlink" Target="https://www.finanzen.net/anleihen/a3lb1y-intrum-ab-anleihe" TargetMode="External"/><Relationship Id="rId29" Type="http://schemas.openxmlformats.org/officeDocument/2006/relationships/hyperlink" Target="https://www.finanzen.net/anleihen/a30vmc-prestigebidco-anleihe" TargetMode="External"/><Relationship Id="rId11" Type="http://schemas.openxmlformats.org/officeDocument/2006/relationships/hyperlink" Target="https://www.finanzen.net/anleihen/a3lq87-gaming-innovation-group-anleihe" TargetMode="External"/><Relationship Id="rId24" Type="http://schemas.openxmlformats.org/officeDocument/2006/relationships/hyperlink" Target="https://www.finanzen.net/anleihen/a28y6c-pardus-capital-holdings-anleihe" TargetMode="External"/><Relationship Id="rId32" Type="http://schemas.openxmlformats.org/officeDocument/2006/relationships/hyperlink" Target="https://www.finanzen.net/anleihen/a2g8wj-stern-immobilien-anleihe" TargetMode="External"/><Relationship Id="rId37" Type="http://schemas.openxmlformats.org/officeDocument/2006/relationships/hyperlink" Target="https://www.finanzen.net/anleihen/a3e5rq-apcoa-holdings-anleihe" TargetMode="External"/><Relationship Id="rId40" Type="http://schemas.openxmlformats.org/officeDocument/2006/relationships/hyperlink" Target="https://www.finanzen.net/anleihen/a287rb-benin-anleihe" TargetMode="External"/><Relationship Id="rId45" Type="http://schemas.openxmlformats.org/officeDocument/2006/relationships/hyperlink" Target="https://www.finanzen.net/anleihen/a3h3kl-kirk-beauty-sun-anleihe" TargetMode="External"/><Relationship Id="rId5" Type="http://schemas.openxmlformats.org/officeDocument/2006/relationships/hyperlink" Target="https://www.finanzen.net/anleihen/a351n8-b4h-brennstoffzelle4home-anleihe" TargetMode="External"/><Relationship Id="rId15" Type="http://schemas.openxmlformats.org/officeDocument/2006/relationships/hyperlink" Target="https://www.finanzen.net/anleihen/a284ns-idavang-as-anleihe" TargetMode="External"/><Relationship Id="rId23" Type="http://schemas.openxmlformats.org/officeDocument/2006/relationships/hyperlink" Target="https://www.finanzen.net/anleihen/a19zhp-novafivess-anleihe" TargetMode="External"/><Relationship Id="rId28" Type="http://schemas.openxmlformats.org/officeDocument/2006/relationships/hyperlink" Target="https://www.finanzen.net/anleihen/a3k6y5-preem-holdings-ab-anleihe" TargetMode="External"/><Relationship Id="rId36" Type="http://schemas.openxmlformats.org/officeDocument/2006/relationships/hyperlink" Target="https://www.finanzen.net/anleihen/a2tr43-huber-automotive-anleihe" TargetMode="External"/><Relationship Id="rId49" Type="http://schemas.openxmlformats.org/officeDocument/2006/relationships/table" Target="../tables/table1.xml"/><Relationship Id="rId10" Type="http://schemas.openxmlformats.org/officeDocument/2006/relationships/hyperlink" Target="https://www.finanzen.net/anleihen/a3ldf8-european-energy-as-anleihe" TargetMode="External"/><Relationship Id="rId19" Type="http://schemas.openxmlformats.org/officeDocument/2006/relationships/hyperlink" Target="https://www.finanzen.net/anleihen/a2ynra-lifefit-group-midco-anleihe" TargetMode="External"/><Relationship Id="rId31" Type="http://schemas.openxmlformats.org/officeDocument/2006/relationships/hyperlink" Target="https://www.finanzen.net/anleihen/a351sk-secop-group-holding-anleihe" TargetMode="External"/><Relationship Id="rId44" Type="http://schemas.openxmlformats.org/officeDocument/2006/relationships/hyperlink" Target="https://www.finanzen.net/anleihen/a3kxk8-eleving-group-anleihe" TargetMode="External"/><Relationship Id="rId4" Type="http://schemas.openxmlformats.org/officeDocument/2006/relationships/hyperlink" Target="https://www.finanzen.net/anleihen/a3lnlx-azerion-group-anleihe" TargetMode="External"/><Relationship Id="rId9" Type="http://schemas.openxmlformats.org/officeDocument/2006/relationships/hyperlink" Target="https://www.finanzen.net/anleihen/a3ll7m-eleving-group-anleihe" TargetMode="External"/><Relationship Id="rId14" Type="http://schemas.openxmlformats.org/officeDocument/2006/relationships/hyperlink" Target="https://www.finanzen.net/anleihen/a3kqfw-hse-finance-sa-rl-anleihe" TargetMode="External"/><Relationship Id="rId22" Type="http://schemas.openxmlformats.org/officeDocument/2006/relationships/hyperlink" Target="https://www.finanzen.net/anleihen/a30v9t-mutares-se-kgaa-anleihe" TargetMode="External"/><Relationship Id="rId27" Type="http://schemas.openxmlformats.org/officeDocument/2006/relationships/hyperlink" Target="https://www.finanzen.net/anleihen/a3lb6c-phm-group-holding-oy-anleihe" TargetMode="External"/><Relationship Id="rId30" Type="http://schemas.openxmlformats.org/officeDocument/2006/relationships/hyperlink" Target="https://www.finanzen.net/anleihen/a3k86d-schletter-international-bv-anleihe" TargetMode="External"/><Relationship Id="rId35" Type="http://schemas.openxmlformats.org/officeDocument/2006/relationships/hyperlink" Target="https://www.finanzen.net/anleihen/a181zp-4finance-anleihe" TargetMode="External"/><Relationship Id="rId43" Type="http://schemas.openxmlformats.org/officeDocument/2006/relationships/hyperlink" Target="https://www.finanzen.net/anleihen/a3e45a-tk-elevator-midco-anleihe" TargetMode="External"/><Relationship Id="rId48" Type="http://schemas.openxmlformats.org/officeDocument/2006/relationships/printerSettings" Target="../printerSettings/printerSettings3.bin"/><Relationship Id="rId8" Type="http://schemas.openxmlformats.org/officeDocument/2006/relationships/hyperlink" Target="https://www.finanzen.net/anleihen/a2800k-csm-securities-sa-rl-acting-in-respect-of-fiduciary-estate-1-anleihe" TargetMode="External"/><Relationship Id="rId3" Type="http://schemas.openxmlformats.org/officeDocument/2006/relationships/hyperlink" Target="https://www.finanzen.net/anleihen/a19lr8-anacap-financial-europe-anleihe" TargetMode="External"/><Relationship Id="rId12" Type="http://schemas.openxmlformats.org/officeDocument/2006/relationships/hyperlink" Target="https://www.finanzen.net/anleihen/a284k6-garfunkelux-holdco-3-anleihe" TargetMode="External"/><Relationship Id="rId17" Type="http://schemas.openxmlformats.org/officeDocument/2006/relationships/hyperlink" Target="https://www.finanzen.net/anleihen/a3ldpn-iqera-group-sas-anleihe" TargetMode="External"/><Relationship Id="rId25" Type="http://schemas.openxmlformats.org/officeDocument/2006/relationships/hyperlink" Target="https://www.finanzen.net/anleihen/a3510d-parq-energy-anleihe" TargetMode="External"/><Relationship Id="rId33" Type="http://schemas.openxmlformats.org/officeDocument/2006/relationships/hyperlink" Target="https://www.finanzen.net/anleihen/a3h3fh-the-grounds-real-estate-development-anleihe" TargetMode="External"/><Relationship Id="rId38" Type="http://schemas.openxmlformats.org/officeDocument/2006/relationships/hyperlink" Target="https://www.finanzen.net/anleihen/a3klye-northern-oil-and-gas-anleihe" TargetMode="External"/><Relationship Id="rId46" Type="http://schemas.openxmlformats.org/officeDocument/2006/relationships/hyperlink" Target="https://www.finanzen.net/anleihen/a3lj7z-assemblin-caverion-group-ab-anleihe" TargetMode="External"/><Relationship Id="rId20" Type="http://schemas.openxmlformats.org/officeDocument/2006/relationships/hyperlink" Target="https://www.finanzen.net/anleihen/a3513a-lr-health-beauty-se-anleihe" TargetMode="External"/><Relationship Id="rId41" Type="http://schemas.openxmlformats.org/officeDocument/2006/relationships/hyperlink" Target="https://www.finanzen.net/anleihen/a3h3kz-trisor-beteiligungs-ii-anleihe" TargetMode="External"/><Relationship Id="rId1" Type="http://schemas.openxmlformats.org/officeDocument/2006/relationships/hyperlink" Target="https://www.finanzen.net/anleihen/a3le0t-amber-beverage-group-holding-sa-rl-anleihe" TargetMode="External"/><Relationship Id="rId6" Type="http://schemas.openxmlformats.org/officeDocument/2006/relationships/hyperlink" Target="https://www.finanzen.net/anleihen/a351yn-bdt-media-automation-anleihe"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www.finanzen.net/optionsscheine/auf-eur-usd-euro-us-dollar/gg6vw7"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finanzen.net/aktien/nextera_energy-aktie" TargetMode="External"/><Relationship Id="rId2" Type="http://schemas.openxmlformats.org/officeDocument/2006/relationships/hyperlink" Target="https://www.finanzen.net/aktien/verizon-aktie" TargetMode="External"/><Relationship Id="rId1" Type="http://schemas.openxmlformats.org/officeDocument/2006/relationships/hyperlink" Target="https://www.finanzen.net/aktien/microsoft-aktie" TargetMode="External"/><Relationship Id="rId4"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ummaryRight="0"/>
  </sheetPr>
  <dimension ref="A1:B22"/>
  <sheetViews>
    <sheetView topLeftCell="A8" workbookViewId="0">
      <selection activeCell="B23" sqref="B23"/>
    </sheetView>
  </sheetViews>
  <sheetFormatPr defaultColWidth="12.5703125" defaultRowHeight="15.75" customHeight="1" x14ac:dyDescent="0.2"/>
  <cols>
    <col min="1" max="1" width="12.5703125" style="9"/>
    <col min="2" max="2" width="183.140625" style="1" customWidth="1"/>
    <col min="3" max="16384" width="12.5703125" style="1"/>
  </cols>
  <sheetData>
    <row r="1" spans="1:2" ht="42.75" x14ac:dyDescent="0.2">
      <c r="A1" s="11">
        <v>45378</v>
      </c>
      <c r="B1" s="2" t="s">
        <v>1832</v>
      </c>
    </row>
    <row r="2" spans="1:2" ht="42.75" x14ac:dyDescent="0.2">
      <c r="A2" s="11"/>
      <c r="B2" s="2" t="s">
        <v>1876</v>
      </c>
    </row>
    <row r="3" spans="1:2" ht="28.5" x14ac:dyDescent="0.2">
      <c r="B3" s="2" t="s">
        <v>883</v>
      </c>
    </row>
    <row r="4" spans="1:2" ht="71.25" x14ac:dyDescent="0.2">
      <c r="A4" s="11">
        <v>45385</v>
      </c>
      <c r="B4" s="2" t="s">
        <v>884</v>
      </c>
    </row>
    <row r="5" spans="1:2" ht="57" x14ac:dyDescent="0.2">
      <c r="A5" s="9">
        <v>45390</v>
      </c>
      <c r="B5" s="29" t="s">
        <v>919</v>
      </c>
    </row>
    <row r="6" spans="1:2" ht="42.75" x14ac:dyDescent="0.2">
      <c r="B6" s="2" t="s">
        <v>949</v>
      </c>
    </row>
    <row r="7" spans="1:2" ht="28.5" x14ac:dyDescent="0.2">
      <c r="B7" s="2" t="s">
        <v>948</v>
      </c>
    </row>
    <row r="8" spans="1:2" ht="42.75" x14ac:dyDescent="0.2">
      <c r="B8" s="2" t="s">
        <v>1776</v>
      </c>
    </row>
    <row r="9" spans="1:2" ht="15.75" customHeight="1" x14ac:dyDescent="0.2">
      <c r="B9" s="1" t="s">
        <v>951</v>
      </c>
    </row>
    <row r="10" spans="1:2" ht="15.75" customHeight="1" x14ac:dyDescent="0.2">
      <c r="A10" s="9">
        <v>45399</v>
      </c>
      <c r="B10" s="28" t="s">
        <v>950</v>
      </c>
    </row>
    <row r="11" spans="1:2" ht="15.75" customHeight="1" x14ac:dyDescent="0.2">
      <c r="A11" s="9">
        <v>45406</v>
      </c>
      <c r="B11" s="1" t="s">
        <v>985</v>
      </c>
    </row>
    <row r="12" spans="1:2" ht="71.25" x14ac:dyDescent="0.2">
      <c r="A12" s="9">
        <v>45412</v>
      </c>
      <c r="B12" s="2" t="s">
        <v>1775</v>
      </c>
    </row>
    <row r="13" spans="1:2" ht="42.75" x14ac:dyDescent="0.2">
      <c r="B13" s="2" t="s">
        <v>1777</v>
      </c>
    </row>
    <row r="14" spans="1:2" ht="57" x14ac:dyDescent="0.2">
      <c r="B14" s="2" t="s">
        <v>1778</v>
      </c>
    </row>
    <row r="15" spans="1:2" ht="28.5" x14ac:dyDescent="0.2">
      <c r="B15" s="2" t="s">
        <v>1779</v>
      </c>
    </row>
    <row r="16" spans="1:2" ht="28.5" x14ac:dyDescent="0.2">
      <c r="A16" s="9">
        <v>45420</v>
      </c>
      <c r="B16" s="2" t="s">
        <v>1783</v>
      </c>
    </row>
    <row r="17" spans="1:2" ht="42.75" x14ac:dyDescent="0.2">
      <c r="A17" s="9">
        <v>45427</v>
      </c>
      <c r="B17" s="2" t="s">
        <v>1807</v>
      </c>
    </row>
    <row r="18" spans="1:2" ht="42.75" x14ac:dyDescent="0.2">
      <c r="A18" s="9">
        <v>45434</v>
      </c>
      <c r="B18" s="2" t="s">
        <v>1833</v>
      </c>
    </row>
    <row r="19" spans="1:2" ht="28.5" x14ac:dyDescent="0.2">
      <c r="B19" s="2" t="s">
        <v>1859</v>
      </c>
    </row>
    <row r="20" spans="1:2" ht="28.5" x14ac:dyDescent="0.2">
      <c r="A20" s="9">
        <v>45441</v>
      </c>
      <c r="B20" s="2" t="s">
        <v>1875</v>
      </c>
    </row>
    <row r="21" spans="1:2" ht="15.75" customHeight="1" x14ac:dyDescent="0.2">
      <c r="A21" s="9">
        <v>45448</v>
      </c>
      <c r="B21" s="1" t="s">
        <v>1874</v>
      </c>
    </row>
    <row r="22" spans="1:2" ht="28.5" x14ac:dyDescent="0.2">
      <c r="A22" s="9">
        <v>45450</v>
      </c>
      <c r="B22" s="2" t="s">
        <v>1879</v>
      </c>
    </row>
  </sheetData>
  <hyperlinks>
    <hyperlink ref="B10" r:id="rId1" xr:uid="{F2E8F242-0BA7-40B7-9751-25FC4005E53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O27"/>
  <sheetViews>
    <sheetView topLeftCell="B1" workbookViewId="0">
      <selection activeCell="D8" sqref="D8"/>
    </sheetView>
  </sheetViews>
  <sheetFormatPr defaultColWidth="12.5703125" defaultRowHeight="15.75" customHeight="1" x14ac:dyDescent="0.2"/>
  <cols>
    <col min="1" max="1" width="30.28515625" style="1" bestFit="1" customWidth="1"/>
    <col min="2" max="2" width="18.7109375" style="1" customWidth="1"/>
    <col min="3" max="3" width="14.5703125" style="1" bestFit="1" customWidth="1"/>
    <col min="4" max="4" width="20.140625" style="1" customWidth="1"/>
    <col min="5" max="5" width="20.42578125" style="1" customWidth="1"/>
    <col min="6" max="6" width="17.7109375" style="1" bestFit="1" customWidth="1"/>
    <col min="7" max="7" width="12.5703125" style="4"/>
    <col min="8" max="8" width="11" style="1" customWidth="1"/>
    <col min="9" max="9" width="16.28515625" style="1" customWidth="1"/>
    <col min="10" max="10" width="16.42578125" style="1" customWidth="1"/>
    <col min="11" max="11" width="4.7109375" style="1" customWidth="1"/>
    <col min="12" max="12" width="16.28515625" style="4" bestFit="1" customWidth="1"/>
    <col min="13" max="13" width="17.85546875" style="1" customWidth="1"/>
    <col min="14" max="14" width="14.5703125" style="1" bestFit="1" customWidth="1"/>
    <col min="15" max="15" width="16.28515625" style="1" bestFit="1" customWidth="1"/>
    <col min="16" max="16384" width="12.5703125" style="1"/>
  </cols>
  <sheetData>
    <row r="1" spans="1:15" ht="15.75" customHeight="1" thickBot="1" x14ac:dyDescent="0.3">
      <c r="A1" s="159" t="s">
        <v>942</v>
      </c>
      <c r="B1" s="160"/>
      <c r="C1" s="160"/>
      <c r="D1" s="160"/>
      <c r="E1" s="161"/>
    </row>
    <row r="2" spans="1:15" ht="15.75" customHeight="1" x14ac:dyDescent="0.25">
      <c r="A2" s="66"/>
      <c r="B2" s="1" t="s">
        <v>908</v>
      </c>
      <c r="C2" s="1" t="s">
        <v>909</v>
      </c>
      <c r="D2" s="1" t="s">
        <v>910</v>
      </c>
      <c r="E2" s="65" t="s">
        <v>20</v>
      </c>
      <c r="I2" s="159" t="s">
        <v>947</v>
      </c>
      <c r="J2" s="160"/>
      <c r="K2" s="160"/>
      <c r="L2" s="160"/>
      <c r="M2" s="161"/>
    </row>
    <row r="3" spans="1:15" ht="15.75" customHeight="1" x14ac:dyDescent="0.2">
      <c r="A3" s="66" t="s">
        <v>940</v>
      </c>
      <c r="B3" s="16">
        <f>SUM('Aktuelle Anleihen'!H:H)+SUM(anleihenkäufe[Gewinn aus Zinsen])</f>
        <v>12186.343926285874</v>
      </c>
      <c r="C3" s="16">
        <f>SUM(Aktien!F:F)</f>
        <v>360.48903870849387</v>
      </c>
      <c r="D3" s="95" t="s">
        <v>945</v>
      </c>
      <c r="E3" s="67">
        <f>SUMIF(Tagesgeldkonto!C:C,"Tagesgeldkonto",Tagesgeldkonto!D:D)</f>
        <v>535.1337764892088</v>
      </c>
      <c r="I3" s="64"/>
      <c r="J3" s="76" t="s">
        <v>942</v>
      </c>
      <c r="L3" s="16"/>
      <c r="M3" s="77" t="s">
        <v>933</v>
      </c>
      <c r="N3"/>
      <c r="O3"/>
    </row>
    <row r="4" spans="1:15" ht="14.25" x14ac:dyDescent="0.2">
      <c r="A4" s="66" t="s">
        <v>882</v>
      </c>
      <c r="B4" s="16">
        <f>SUM('Aktuelle Anleihen'!G:G)+SUM(anleihenkäufe[Gewinn aus Kursänderung])</f>
        <v>1727.5194702621175</v>
      </c>
      <c r="C4" s="16">
        <f>SUM(Aktien!E:E)</f>
        <v>960.93336397058852</v>
      </c>
      <c r="D4" s="16" cm="1">
        <f t="array" ref="D4">optionen[Gewinn]</f>
        <v>8741.56</v>
      </c>
      <c r="E4" s="79" t="s">
        <v>945</v>
      </c>
      <c r="I4" s="66" t="s">
        <v>908</v>
      </c>
      <c r="J4" s="16">
        <f>B6</f>
        <v>6948.7147565218565</v>
      </c>
      <c r="L4" s="1" t="s">
        <v>908</v>
      </c>
      <c r="M4" s="67">
        <f>B7</f>
        <v>972863.92903392273</v>
      </c>
      <c r="N4"/>
      <c r="O4"/>
    </row>
    <row r="5" spans="1:15" ht="15.75" customHeight="1" x14ac:dyDescent="0.2">
      <c r="A5" s="66" t="s">
        <v>911</v>
      </c>
      <c r="B5" s="16">
        <f>SUM('Aktuelle Anleihen'!I:I)+SUM(anleihenkäufe[Gewinn aus Währungseffekten])</f>
        <v>-6965.1486400261347</v>
      </c>
      <c r="C5" s="16">
        <f>SUM(Aktien!G:G)</f>
        <v>-35.933363970588111</v>
      </c>
      <c r="D5" s="95" t="s">
        <v>945</v>
      </c>
      <c r="E5" s="79" t="s">
        <v>945</v>
      </c>
      <c r="I5" s="66" t="s">
        <v>909</v>
      </c>
      <c r="J5" s="16">
        <f>C6</f>
        <v>1285.4890387084943</v>
      </c>
      <c r="L5" s="1" t="s">
        <v>909</v>
      </c>
      <c r="M5" s="67">
        <f>C7</f>
        <v>20472.75</v>
      </c>
      <c r="N5"/>
      <c r="O5"/>
    </row>
    <row r="6" spans="1:15" ht="14.25" x14ac:dyDescent="0.2">
      <c r="A6" s="66" t="s">
        <v>912</v>
      </c>
      <c r="B6" s="16">
        <f>SUM(B3:B5)</f>
        <v>6948.7147565218565</v>
      </c>
      <c r="C6" s="16">
        <f t="shared" ref="C6:D6" si="0">SUM(C3:C5)</f>
        <v>1285.4890387084943</v>
      </c>
      <c r="D6" s="16">
        <f t="shared" si="0"/>
        <v>8741.56</v>
      </c>
      <c r="E6" s="67">
        <f>SUM(E3:E5)</f>
        <v>535.1337764892088</v>
      </c>
      <c r="I6" s="66" t="s">
        <v>910</v>
      </c>
      <c r="J6" s="16">
        <f>D6</f>
        <v>8741.56</v>
      </c>
      <c r="L6" s="1" t="s">
        <v>910</v>
      </c>
      <c r="M6" s="67">
        <f>D7</f>
        <v>0</v>
      </c>
      <c r="N6"/>
      <c r="O6"/>
    </row>
    <row r="7" spans="1:15" ht="14.25" customHeight="1" x14ac:dyDescent="0.2">
      <c r="A7" s="89" t="s">
        <v>932</v>
      </c>
      <c r="B7" s="59">
        <f>SUM('Aktuelle Anleihen'!F:F)</f>
        <v>972863.92903392273</v>
      </c>
      <c r="C7" s="59">
        <f>SUMIF(aktien[Im Besitz],TRUE,aktien[Verkaufspreis])</f>
        <v>20472.75</v>
      </c>
      <c r="D7" s="59">
        <v>0</v>
      </c>
      <c r="E7" s="90">
        <f>SUM(Tagesgeldkonto!D:D)</f>
        <v>24174.215415097689</v>
      </c>
      <c r="I7" s="66" t="s">
        <v>943</v>
      </c>
      <c r="J7" s="16">
        <f>E6</f>
        <v>535.1337764892088</v>
      </c>
      <c r="L7" s="1" t="s">
        <v>943</v>
      </c>
      <c r="M7" s="67">
        <f>E7</f>
        <v>24174.215415097689</v>
      </c>
      <c r="N7"/>
      <c r="O7"/>
    </row>
    <row r="8" spans="1:15" ht="15" thickBot="1" x14ac:dyDescent="0.25">
      <c r="A8" s="80" t="s">
        <v>941</v>
      </c>
      <c r="B8" s="81">
        <f>B7/($M$9+1000000)</f>
        <v>0.95612138832255567</v>
      </c>
      <c r="C8" s="81">
        <f>C7/($M$9+1000000)</f>
        <v>2.0120423389752444E-2</v>
      </c>
      <c r="D8" s="81">
        <f>D7/($M$9+1000000)</f>
        <v>0</v>
      </c>
      <c r="E8" s="82">
        <f>E7/($M$9+1000000)</f>
        <v>2.3758188287691964E-2</v>
      </c>
      <c r="H8" s="2"/>
      <c r="I8" s="73"/>
      <c r="J8" s="18"/>
      <c r="K8" s="74"/>
      <c r="L8" s="74"/>
      <c r="M8" s="75"/>
      <c r="N8"/>
      <c r="O8"/>
    </row>
    <row r="9" spans="1:15" ht="29.25" thickBot="1" x14ac:dyDescent="0.25">
      <c r="I9" s="68" t="s">
        <v>944</v>
      </c>
      <c r="J9" s="69">
        <f>SUM(J4:J7)</f>
        <v>17510.897571719557</v>
      </c>
      <c r="K9" s="70"/>
      <c r="L9" s="71" t="s">
        <v>934</v>
      </c>
      <c r="M9" s="72">
        <f>SUM(M4:M7)-1000000</f>
        <v>17510.894449020387</v>
      </c>
      <c r="O9" s="5"/>
    </row>
    <row r="10" spans="1:15" ht="15" thickBot="1" x14ac:dyDescent="0.25">
      <c r="B10" s="63"/>
      <c r="C10" s="63"/>
      <c r="F10" s="5"/>
      <c r="J10" s="5"/>
    </row>
    <row r="11" spans="1:15" ht="14.25" x14ac:dyDescent="0.2">
      <c r="A11" s="152" t="s">
        <v>906</v>
      </c>
      <c r="B11" s="153">
        <f>J9</f>
        <v>17510.897571719557</v>
      </c>
      <c r="E11" s="5"/>
      <c r="J11" s="5">
        <f>J9-M9</f>
        <v>3.1226991704897955E-3</v>
      </c>
    </row>
    <row r="12" spans="1:15" ht="15" thickBot="1" x14ac:dyDescent="0.25">
      <c r="A12" s="80" t="s">
        <v>907</v>
      </c>
      <c r="B12" s="154">
        <f>B11/1000000</f>
        <v>1.7510897571719558E-2</v>
      </c>
      <c r="L12" s="1"/>
      <c r="M12"/>
    </row>
    <row r="13" spans="1:15" ht="14.25" x14ac:dyDescent="0.2">
      <c r="A13"/>
      <c r="B13"/>
      <c r="J13" s="4"/>
      <c r="L13" s="1"/>
      <c r="M13"/>
    </row>
    <row r="14" spans="1:15" customFormat="1" ht="15" thickBot="1" x14ac:dyDescent="0.25">
      <c r="A14" s="1"/>
      <c r="B14" s="1"/>
      <c r="C14" s="1"/>
      <c r="E14" s="13"/>
      <c r="I14" s="1"/>
    </row>
    <row r="15" spans="1:15" ht="15" x14ac:dyDescent="0.25">
      <c r="A15" s="83" t="s">
        <v>946</v>
      </c>
      <c r="B15" s="78"/>
      <c r="C15"/>
      <c r="L15" s="162" t="s">
        <v>1838</v>
      </c>
      <c r="M15" s="163"/>
    </row>
    <row r="16" spans="1:15" ht="14.25" x14ac:dyDescent="0.2">
      <c r="A16" s="84" t="s">
        <v>0</v>
      </c>
      <c r="B16" s="85">
        <f>Nebenrechnungen!G5</f>
        <v>0.33344795076669353</v>
      </c>
      <c r="C16"/>
      <c r="J16" s="5"/>
      <c r="L16" s="126" t="s">
        <v>908</v>
      </c>
      <c r="M16" s="67">
        <f>SUMIF(aktuelleAnleihen[Währung],"USD",aktuelleAnleihen[Verkaufspreis])</f>
        <v>457398.8188311829</v>
      </c>
    </row>
    <row r="17" spans="1:13" ht="14.25" x14ac:dyDescent="0.2">
      <c r="A17" s="84" t="s">
        <v>1</v>
      </c>
      <c r="B17" s="85">
        <f>Nebenrechnungen!G6</f>
        <v>8.5295015875895788E-2</v>
      </c>
      <c r="C17"/>
      <c r="L17" s="126" t="s">
        <v>909</v>
      </c>
      <c r="M17" s="67">
        <f>SUMIF(aktien[Im Besitz],TRUE,aktien[Verkaufspreis])</f>
        <v>20472.75</v>
      </c>
    </row>
    <row r="18" spans="1:13" ht="15" thickBot="1" x14ac:dyDescent="0.25">
      <c r="A18" s="84" t="s">
        <v>2</v>
      </c>
      <c r="B18" s="85">
        <f>Nebenrechnungen!G7</f>
        <v>7.972792390468085E-2</v>
      </c>
      <c r="C18"/>
      <c r="L18" s="127" t="s">
        <v>890</v>
      </c>
      <c r="M18" s="128">
        <f>SUM(M16:M17)</f>
        <v>477871.5688311829</v>
      </c>
    </row>
    <row r="19" spans="1:13" ht="15.75" customHeight="1" x14ac:dyDescent="0.2">
      <c r="A19" s="84" t="s">
        <v>3</v>
      </c>
      <c r="B19" s="85">
        <f>Nebenrechnungen!G8</f>
        <v>3.9808990471532989E-2</v>
      </c>
    </row>
    <row r="20" spans="1:13" ht="15.75" customHeight="1" x14ac:dyDescent="0.2">
      <c r="A20" s="84" t="s">
        <v>4</v>
      </c>
      <c r="B20" s="85">
        <f>Nebenrechnungen!G9</f>
        <v>7.8855806580567636E-2</v>
      </c>
    </row>
    <row r="21" spans="1:13" ht="15.75" customHeight="1" x14ac:dyDescent="0.2">
      <c r="A21" s="86" t="s">
        <v>5</v>
      </c>
      <c r="B21" s="85">
        <f>Nebenrechnungen!G10</f>
        <v>3.4539072629942283E-2</v>
      </c>
    </row>
    <row r="22" spans="1:13" ht="15.75" customHeight="1" x14ac:dyDescent="0.2">
      <c r="A22" s="84" t="s">
        <v>6</v>
      </c>
      <c r="B22" s="85">
        <f>Nebenrechnungen!G11</f>
        <v>2.9778701195898868E-2</v>
      </c>
    </row>
    <row r="23" spans="1:13" ht="15.75" customHeight="1" x14ac:dyDescent="0.2">
      <c r="A23" s="84" t="s">
        <v>7</v>
      </c>
      <c r="B23" s="85">
        <f>Nebenrechnungen!G12</f>
        <v>4.0013031828639925E-2</v>
      </c>
    </row>
    <row r="24" spans="1:13" ht="15.75" customHeight="1" x14ac:dyDescent="0.2">
      <c r="A24" s="86" t="s">
        <v>8</v>
      </c>
      <c r="B24" s="85">
        <f>Nebenrechnungen!G13</f>
        <v>6.7358245615493098E-2</v>
      </c>
    </row>
    <row r="25" spans="1:13" ht="15.75" customHeight="1" x14ac:dyDescent="0.2">
      <c r="A25" s="84" t="s">
        <v>9</v>
      </c>
      <c r="B25" s="85">
        <f>Nebenrechnungen!G14</f>
        <v>3.8882608567458676E-2</v>
      </c>
    </row>
    <row r="26" spans="1:13" ht="15.75" customHeight="1" x14ac:dyDescent="0.2">
      <c r="A26" s="84" t="s">
        <v>10</v>
      </c>
      <c r="B26" s="85">
        <f>Nebenrechnungen!G15</f>
        <v>9.7326140177588311E-2</v>
      </c>
      <c r="I26" s="2"/>
    </row>
    <row r="27" spans="1:13" ht="15.75" customHeight="1" thickBot="1" x14ac:dyDescent="0.25">
      <c r="A27" s="87" t="s">
        <v>11</v>
      </c>
      <c r="B27" s="88">
        <f>Nebenrechnungen!G16</f>
        <v>7.4966512385608183E-2</v>
      </c>
    </row>
  </sheetData>
  <mergeCells count="3">
    <mergeCell ref="I2:M2"/>
    <mergeCell ref="A1:E1"/>
    <mergeCell ref="L15:M1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C2C02-4D6C-43B5-A400-4E2A75AD9F39}">
  <dimension ref="A1"/>
  <sheetViews>
    <sheetView workbookViewId="0">
      <selection activeCell="D77" sqref="D77"/>
    </sheetView>
  </sheetViews>
  <sheetFormatPr defaultRowHeight="12.7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19C57-D7DD-43A1-8E45-6EA984EC391C}">
  <dimension ref="A1:Z50"/>
  <sheetViews>
    <sheetView topLeftCell="A8" workbookViewId="0">
      <selection activeCell="A36" sqref="A36"/>
    </sheetView>
  </sheetViews>
  <sheetFormatPr defaultRowHeight="12.75" x14ac:dyDescent="0.2"/>
  <cols>
    <col min="1" max="1" width="14.85546875" customWidth="1"/>
    <col min="2" max="2" width="13.42578125" bestFit="1" customWidth="1"/>
    <col min="3" max="3" width="13.42578125" customWidth="1"/>
    <col min="4" max="4" width="14.5703125" bestFit="1" customWidth="1"/>
    <col min="5" max="5" width="13.7109375" customWidth="1"/>
    <col min="6" max="6" width="15.28515625" customWidth="1"/>
    <col min="7" max="7" width="15.85546875" customWidth="1"/>
    <col min="8" max="8" width="17" customWidth="1"/>
    <col min="9" max="9" width="19" customWidth="1"/>
    <col min="10" max="10" width="14.7109375" bestFit="1" customWidth="1"/>
    <col min="11" max="12" width="13.5703125" bestFit="1" customWidth="1"/>
    <col min="13" max="14" width="16.42578125" customWidth="1"/>
    <col min="15" max="16" width="12" customWidth="1"/>
    <col min="18" max="18" width="16.28515625" bestFit="1" customWidth="1"/>
    <col min="19" max="19" width="9.28515625" bestFit="1" customWidth="1"/>
    <col min="20" max="20" width="9.85546875" customWidth="1"/>
    <col min="21" max="21" width="10.5703125" customWidth="1"/>
    <col min="22" max="22" width="9" bestFit="1" customWidth="1"/>
    <col min="23" max="24" width="7.85546875" bestFit="1" customWidth="1"/>
    <col min="25" max="25" width="10.85546875" bestFit="1" customWidth="1"/>
  </cols>
  <sheetData>
    <row r="1" spans="1:26" ht="15" x14ac:dyDescent="0.25">
      <c r="R1" s="166" t="s">
        <v>1845</v>
      </c>
      <c r="S1" s="166"/>
      <c r="T1" s="166"/>
      <c r="U1" s="166"/>
    </row>
    <row r="2" spans="1:26" ht="34.5" customHeight="1" x14ac:dyDescent="0.2">
      <c r="A2" s="9" t="s">
        <v>1831</v>
      </c>
      <c r="B2" s="2" t="s">
        <v>1815</v>
      </c>
      <c r="C2" s="2" t="s">
        <v>1816</v>
      </c>
      <c r="D2" s="2" t="s">
        <v>1817</v>
      </c>
      <c r="E2" s="2" t="s">
        <v>1818</v>
      </c>
      <c r="F2" s="2" t="s">
        <v>1819</v>
      </c>
      <c r="G2" s="2" t="s">
        <v>1820</v>
      </c>
      <c r="H2" s="2" t="s">
        <v>1821</v>
      </c>
      <c r="I2" s="2" t="s">
        <v>1822</v>
      </c>
      <c r="J2" s="2" t="s">
        <v>1823</v>
      </c>
      <c r="K2" s="2" t="s">
        <v>1824</v>
      </c>
      <c r="L2" s="2" t="s">
        <v>1825</v>
      </c>
      <c r="M2" s="2" t="s">
        <v>20</v>
      </c>
      <c r="N2" s="2" t="s">
        <v>1840</v>
      </c>
      <c r="O2" s="2" t="s">
        <v>1830</v>
      </c>
      <c r="P2" s="2" t="s">
        <v>1834</v>
      </c>
      <c r="Q2" s="122"/>
      <c r="R2" s="122" t="s">
        <v>1842</v>
      </c>
      <c r="S2" s="122" t="s">
        <v>1846</v>
      </c>
      <c r="T2" s="122" t="s">
        <v>1847</v>
      </c>
      <c r="U2" s="122" t="s">
        <v>1848</v>
      </c>
      <c r="Z2" s="1"/>
    </row>
    <row r="3" spans="1:26" ht="14.25" x14ac:dyDescent="0.2">
      <c r="A3" s="98">
        <v>45378</v>
      </c>
      <c r="B3" s="4">
        <v>0</v>
      </c>
      <c r="C3" s="4">
        <v>0</v>
      </c>
      <c r="D3" s="4">
        <v>0</v>
      </c>
      <c r="E3" s="4">
        <v>0</v>
      </c>
      <c r="F3" s="4">
        <v>0</v>
      </c>
      <c r="G3" s="4">
        <v>0</v>
      </c>
      <c r="H3" s="4">
        <v>0</v>
      </c>
      <c r="I3" s="4">
        <v>0</v>
      </c>
      <c r="J3" s="4">
        <v>65374.63</v>
      </c>
      <c r="K3" s="4">
        <v>0</v>
      </c>
      <c r="L3" s="4">
        <v>0</v>
      </c>
      <c r="M3" s="4">
        <v>934625.37</v>
      </c>
      <c r="N3" s="4">
        <v>0</v>
      </c>
      <c r="O3" s="124">
        <v>18477.09</v>
      </c>
      <c r="P3" s="124">
        <v>39760.080000000002</v>
      </c>
      <c r="Q3" s="1"/>
      <c r="R3" s="5">
        <f t="shared" ref="R3" si="0">J3+K3+L3+M3-1000000</f>
        <v>0</v>
      </c>
      <c r="S3" s="7">
        <f t="shared" ref="S3" si="1">R3/1000000</f>
        <v>0</v>
      </c>
      <c r="T3" s="7">
        <f t="shared" ref="T3:U12" si="2">O3/O$3-1</f>
        <v>0</v>
      </c>
      <c r="U3" s="7">
        <f t="shared" si="2"/>
        <v>0</v>
      </c>
      <c r="Z3" s="1"/>
    </row>
    <row r="4" spans="1:26" ht="14.25" x14ac:dyDescent="0.2">
      <c r="A4" s="98">
        <v>45385</v>
      </c>
      <c r="B4" s="4">
        <v>149.63999999999999</v>
      </c>
      <c r="C4" s="4">
        <v>0</v>
      </c>
      <c r="D4" s="4">
        <v>179.34</v>
      </c>
      <c r="E4" s="4">
        <v>-98.22</v>
      </c>
      <c r="F4" s="4">
        <v>0</v>
      </c>
      <c r="G4" s="4">
        <v>0</v>
      </c>
      <c r="H4" s="4">
        <v>0</v>
      </c>
      <c r="I4" s="4">
        <v>0</v>
      </c>
      <c r="J4" s="4">
        <v>519514.37</v>
      </c>
      <c r="K4" s="4">
        <v>0</v>
      </c>
      <c r="L4" s="4">
        <v>0</v>
      </c>
      <c r="M4" s="4">
        <v>480716.39</v>
      </c>
      <c r="N4" s="4">
        <v>0</v>
      </c>
      <c r="O4" s="125">
        <v>18367.72</v>
      </c>
      <c r="P4" s="125">
        <v>39127.14</v>
      </c>
      <c r="Q4" s="1"/>
      <c r="R4" s="5">
        <f t="shared" ref="R4:R12" si="3">J4+K4+L4+M4-1000000</f>
        <v>230.76000000000931</v>
      </c>
      <c r="S4" s="7">
        <f t="shared" ref="S4:S12" si="4">R4/1000000</f>
        <v>2.3076000000000932E-4</v>
      </c>
      <c r="T4" s="7">
        <f t="shared" si="2"/>
        <v>-5.9192221285927493E-3</v>
      </c>
      <c r="U4" s="7">
        <f t="shared" si="2"/>
        <v>-1.5918982054362152E-2</v>
      </c>
      <c r="Z4" s="1"/>
    </row>
    <row r="5" spans="1:26" ht="14.25" x14ac:dyDescent="0.2">
      <c r="A5" s="98">
        <v>45392</v>
      </c>
      <c r="B5" s="4">
        <v>758.61</v>
      </c>
      <c r="C5" s="4">
        <v>0</v>
      </c>
      <c r="D5" s="4">
        <v>267.92</v>
      </c>
      <c r="E5" s="4">
        <v>767.14</v>
      </c>
      <c r="F5" s="4">
        <v>0</v>
      </c>
      <c r="G5" s="4">
        <v>0</v>
      </c>
      <c r="H5" s="4">
        <v>0</v>
      </c>
      <c r="I5" s="4">
        <v>0</v>
      </c>
      <c r="J5" s="4">
        <v>520309.45</v>
      </c>
      <c r="K5" s="4">
        <v>19547.75</v>
      </c>
      <c r="L5" s="4">
        <v>0</v>
      </c>
      <c r="M5" s="4">
        <v>461936.47</v>
      </c>
      <c r="N5" s="4">
        <v>19547.75</v>
      </c>
      <c r="O5" s="125">
        <v>18097.3</v>
      </c>
      <c r="P5" s="125">
        <v>38461.51</v>
      </c>
      <c r="Q5" s="1"/>
      <c r="R5" s="5">
        <f t="shared" si="3"/>
        <v>1793.6699999999255</v>
      </c>
      <c r="S5" s="7">
        <f t="shared" si="4"/>
        <v>1.7936699999999254E-3</v>
      </c>
      <c r="T5" s="7">
        <f t="shared" si="2"/>
        <v>-2.0554643615417811E-2</v>
      </c>
      <c r="U5" s="7">
        <f t="shared" si="2"/>
        <v>-3.2660145553027098E-2</v>
      </c>
      <c r="Z5" s="1"/>
    </row>
    <row r="6" spans="1:26" ht="14.25" x14ac:dyDescent="0.2">
      <c r="A6" s="98">
        <v>45399</v>
      </c>
      <c r="B6" s="4">
        <v>1854.35</v>
      </c>
      <c r="C6" s="4">
        <v>0</v>
      </c>
      <c r="D6" s="4">
        <v>356.69</v>
      </c>
      <c r="E6" s="4">
        <v>-3164.81</v>
      </c>
      <c r="F6" s="4">
        <v>-638.41</v>
      </c>
      <c r="G6" s="4">
        <v>0</v>
      </c>
      <c r="H6" s="4">
        <v>0</v>
      </c>
      <c r="I6" s="4">
        <v>447.41</v>
      </c>
      <c r="J6" s="4">
        <v>513152.33</v>
      </c>
      <c r="K6" s="4">
        <v>19356.75</v>
      </c>
      <c r="L6" s="4">
        <v>0</v>
      </c>
      <c r="M6" s="4">
        <v>466346.15</v>
      </c>
      <c r="N6" s="4">
        <v>21252.129728298245</v>
      </c>
      <c r="O6" s="125">
        <v>17770.02</v>
      </c>
      <c r="P6" s="125">
        <v>37753.31</v>
      </c>
      <c r="Q6" s="1"/>
      <c r="R6" s="5">
        <f t="shared" si="3"/>
        <v>-1144.7699999999022</v>
      </c>
      <c r="S6" s="7">
        <f t="shared" si="4"/>
        <v>-1.1447699999999022E-3</v>
      </c>
      <c r="T6" s="7">
        <f t="shared" si="2"/>
        <v>-3.8267389507763427E-2</v>
      </c>
      <c r="U6" s="7">
        <f t="shared" si="2"/>
        <v>-5.0471980941688366E-2</v>
      </c>
      <c r="Z6" s="1"/>
    </row>
    <row r="7" spans="1:26" ht="14.25" x14ac:dyDescent="0.2">
      <c r="A7" s="98">
        <v>45406</v>
      </c>
      <c r="B7" s="4">
        <v>2697.88</v>
      </c>
      <c r="C7" s="4">
        <v>0</v>
      </c>
      <c r="D7" s="4">
        <v>446.17</v>
      </c>
      <c r="E7" s="4">
        <v>-1583.95</v>
      </c>
      <c r="F7" s="4">
        <v>-472.99</v>
      </c>
      <c r="G7" s="4">
        <v>0</v>
      </c>
      <c r="H7" s="4">
        <v>-15.07</v>
      </c>
      <c r="I7" s="4">
        <v>286.74</v>
      </c>
      <c r="J7" s="4">
        <v>530950.98</v>
      </c>
      <c r="K7" s="4">
        <v>19361.5</v>
      </c>
      <c r="L7" s="4">
        <v>0</v>
      </c>
      <c r="M7" s="4">
        <v>451046.29</v>
      </c>
      <c r="N7" s="4">
        <v>21244.561847977588</v>
      </c>
      <c r="O7" s="125">
        <v>18088.7</v>
      </c>
      <c r="P7" s="125">
        <v>38460.92</v>
      </c>
      <c r="Q7" s="1"/>
      <c r="R7" s="5">
        <f t="shared" si="3"/>
        <v>1358.7700000000186</v>
      </c>
      <c r="S7" s="7">
        <f t="shared" si="4"/>
        <v>1.3587700000000187E-3</v>
      </c>
      <c r="T7" s="7">
        <f t="shared" si="2"/>
        <v>-2.102008487267204E-2</v>
      </c>
      <c r="U7" s="7">
        <f t="shared" si="2"/>
        <v>-3.2674984557375275E-2</v>
      </c>
      <c r="Z7" s="1"/>
    </row>
    <row r="8" spans="1:26" ht="14.25" x14ac:dyDescent="0.2">
      <c r="A8" s="98">
        <v>45412</v>
      </c>
      <c r="B8" s="4">
        <v>3448.4</v>
      </c>
      <c r="C8" s="4">
        <v>0</v>
      </c>
      <c r="D8" s="4">
        <v>532.74</v>
      </c>
      <c r="E8" s="4">
        <v>-1177.31</v>
      </c>
      <c r="F8" s="4">
        <v>-654.25</v>
      </c>
      <c r="G8" s="4">
        <v>0</v>
      </c>
      <c r="H8" s="4">
        <v>-18.690000000000001</v>
      </c>
      <c r="I8" s="4">
        <v>249.75</v>
      </c>
      <c r="J8" s="4">
        <v>967415.01</v>
      </c>
      <c r="K8" s="4">
        <v>19143.25</v>
      </c>
      <c r="L8" s="4">
        <v>14902.78</v>
      </c>
      <c r="M8" s="4">
        <v>919.59</v>
      </c>
      <c r="N8" s="4">
        <v>475621.65271647502</v>
      </c>
      <c r="O8" s="125">
        <v>17932.169999999998</v>
      </c>
      <c r="P8" s="125">
        <v>37815.919999999998</v>
      </c>
      <c r="Q8" s="1"/>
      <c r="R8" s="5">
        <f t="shared" si="3"/>
        <v>2380.6300000000047</v>
      </c>
      <c r="S8" s="7">
        <f t="shared" si="4"/>
        <v>2.3806300000000047E-3</v>
      </c>
      <c r="T8" s="7">
        <f t="shared" si="2"/>
        <v>-2.9491656965463853E-2</v>
      </c>
      <c r="U8" s="7">
        <f t="shared" si="2"/>
        <v>-4.8897285920953992E-2</v>
      </c>
      <c r="Z8" s="1"/>
    </row>
    <row r="9" spans="1:26" ht="14.25" x14ac:dyDescent="0.2">
      <c r="A9" s="98">
        <v>45420</v>
      </c>
      <c r="B9" s="4">
        <v>5286.97</v>
      </c>
      <c r="C9" s="4">
        <v>246</v>
      </c>
      <c r="D9" s="4">
        <v>533.26</v>
      </c>
      <c r="E9" s="4">
        <v>3712.05</v>
      </c>
      <c r="F9" s="4">
        <v>97.24</v>
      </c>
      <c r="G9" s="4">
        <v>2948.96</v>
      </c>
      <c r="H9" s="4">
        <v>-1397.33</v>
      </c>
      <c r="I9" s="4">
        <v>189.01</v>
      </c>
      <c r="J9" s="4">
        <v>968929.69</v>
      </c>
      <c r="K9" s="4">
        <v>19834</v>
      </c>
      <c r="L9" s="4">
        <v>17851.740000000002</v>
      </c>
      <c r="M9" s="4">
        <v>5000.72</v>
      </c>
      <c r="N9" s="4">
        <v>477670.54824067617</v>
      </c>
      <c r="O9" s="125">
        <v>18498.38</v>
      </c>
      <c r="P9" s="125">
        <v>39056.39</v>
      </c>
      <c r="Q9" s="1"/>
      <c r="R9" s="5">
        <f t="shared" si="3"/>
        <v>11616.149999999907</v>
      </c>
      <c r="S9" s="7">
        <f t="shared" si="4"/>
        <v>1.1616149999999907E-2</v>
      </c>
      <c r="T9" s="7">
        <f t="shared" si="2"/>
        <v>1.1522377170865017E-3</v>
      </c>
      <c r="U9" s="7">
        <f t="shared" si="2"/>
        <v>-1.7698405033390374E-2</v>
      </c>
      <c r="Z9" s="1"/>
    </row>
    <row r="10" spans="1:26" ht="14.25" x14ac:dyDescent="0.2">
      <c r="A10" s="98">
        <v>45427</v>
      </c>
      <c r="B10" s="4">
        <v>6865.16</v>
      </c>
      <c r="C10" s="4">
        <v>246</v>
      </c>
      <c r="D10" s="4">
        <v>534.33000000000004</v>
      </c>
      <c r="E10" s="4">
        <v>3832.74</v>
      </c>
      <c r="F10" s="4">
        <v>720.54</v>
      </c>
      <c r="G10" s="4">
        <v>8846.8799999999992</v>
      </c>
      <c r="H10" s="4">
        <v>-3927.32</v>
      </c>
      <c r="I10" s="4">
        <v>77.709999999999994</v>
      </c>
      <c r="J10" s="4">
        <v>972913.16</v>
      </c>
      <c r="K10" s="4">
        <v>20346</v>
      </c>
      <c r="L10" s="4">
        <v>23749.66</v>
      </c>
      <c r="M10" s="4">
        <v>187.22</v>
      </c>
      <c r="N10" s="4">
        <v>475206.94713926961</v>
      </c>
      <c r="O10" s="125">
        <v>18869.36</v>
      </c>
      <c r="P10" s="125">
        <v>39908</v>
      </c>
      <c r="Q10" s="1"/>
      <c r="R10" s="5">
        <f t="shared" si="3"/>
        <v>17196.040000000037</v>
      </c>
      <c r="S10" s="7">
        <f t="shared" si="4"/>
        <v>1.7196040000000037E-2</v>
      </c>
      <c r="T10" s="7">
        <f t="shared" si="2"/>
        <v>2.1230074649200681E-2</v>
      </c>
      <c r="U10" s="7">
        <f t="shared" si="2"/>
        <v>3.7203144460473681E-3</v>
      </c>
      <c r="Z10" s="1"/>
    </row>
    <row r="11" spans="1:26" ht="14.25" x14ac:dyDescent="0.2">
      <c r="A11" s="98">
        <v>45434</v>
      </c>
      <c r="B11" s="4">
        <v>8473.6200000000008</v>
      </c>
      <c r="C11" s="4">
        <v>246</v>
      </c>
      <c r="D11" s="4">
        <v>534.51</v>
      </c>
      <c r="E11" s="4">
        <v>4451.66</v>
      </c>
      <c r="F11" s="4">
        <v>1016</v>
      </c>
      <c r="G11" s="4">
        <v>8162.3</v>
      </c>
      <c r="H11" s="4">
        <v>-5494.37</v>
      </c>
      <c r="I11" s="4">
        <v>9</v>
      </c>
      <c r="J11" s="4">
        <v>973651.41</v>
      </c>
      <c r="K11" s="4">
        <v>20572.75</v>
      </c>
      <c r="L11" s="4">
        <v>23065.08</v>
      </c>
      <c r="M11" s="4">
        <v>109.48</v>
      </c>
      <c r="N11" s="4">
        <v>474621.7595720049</v>
      </c>
      <c r="O11" s="125">
        <v>18726.759999999998</v>
      </c>
      <c r="P11" s="125">
        <v>39671.040000000001</v>
      </c>
      <c r="Q11" s="1"/>
      <c r="R11" s="5">
        <f t="shared" si="3"/>
        <v>17398.719999999972</v>
      </c>
      <c r="S11" s="7">
        <f t="shared" si="4"/>
        <v>1.7398719999999972E-2</v>
      </c>
      <c r="T11" s="7">
        <f t="shared" si="2"/>
        <v>1.3512409151007931E-2</v>
      </c>
      <c r="U11" s="7">
        <f t="shared" si="2"/>
        <v>-2.2394321138187179E-3</v>
      </c>
      <c r="Z11" s="1"/>
    </row>
    <row r="12" spans="1:26" ht="14.25" x14ac:dyDescent="0.2">
      <c r="A12" s="98">
        <v>45441</v>
      </c>
      <c r="B12" s="4">
        <v>10109.96170842265</v>
      </c>
      <c r="C12" s="16">
        <f>SUM(Aktien!F:F)</f>
        <v>360.48903870849387</v>
      </c>
      <c r="D12" s="4">
        <v>534.75297429011414</v>
      </c>
      <c r="E12" s="4">
        <v>3132.1404375977468</v>
      </c>
      <c r="F12" s="4">
        <v>941.49596959925839</v>
      </c>
      <c r="G12" s="4">
        <v>8530.92</v>
      </c>
      <c r="H12" s="4">
        <v>-5687.6211663270542</v>
      </c>
      <c r="I12" s="4">
        <v>0</v>
      </c>
      <c r="J12" s="4">
        <v>973521.55917800532</v>
      </c>
      <c r="K12" s="4">
        <v>20498.25</v>
      </c>
      <c r="L12" s="4">
        <v>23433.7</v>
      </c>
      <c r="M12" s="4">
        <v>363.14170162668665</v>
      </c>
      <c r="N12" s="4">
        <v>474943.04941471748</v>
      </c>
      <c r="O12" s="124">
        <v>18677.87</v>
      </c>
      <c r="P12" s="125">
        <v>38852.86</v>
      </c>
      <c r="Q12" s="1"/>
      <c r="R12" s="5">
        <f t="shared" si="3"/>
        <v>17816.650879631983</v>
      </c>
      <c r="S12" s="7">
        <f t="shared" si="4"/>
        <v>1.7816650879631982E-2</v>
      </c>
      <c r="T12" s="7">
        <f t="shared" si="2"/>
        <v>1.0866429724593951E-2</v>
      </c>
      <c r="U12" s="7">
        <f t="shared" si="2"/>
        <v>-2.2817358516381336E-2</v>
      </c>
      <c r="Z12" s="1"/>
    </row>
    <row r="13" spans="1:26" ht="14.25" x14ac:dyDescent="0.2">
      <c r="A13" s="98">
        <v>45448</v>
      </c>
      <c r="B13" s="4">
        <v>11727.435898896098</v>
      </c>
      <c r="C13" s="4">
        <v>360.48903870849387</v>
      </c>
      <c r="D13" s="4">
        <v>535.1337764892088</v>
      </c>
      <c r="E13" s="4">
        <v>3070.5030755207968</v>
      </c>
      <c r="F13" s="4">
        <v>960.93336397058852</v>
      </c>
      <c r="G13" s="4">
        <v>8372.94</v>
      </c>
      <c r="H13" s="4">
        <v>-6508.4452696384669</v>
      </c>
      <c r="I13" s="4">
        <v>-35.933363970588111</v>
      </c>
      <c r="J13" s="4">
        <v>974291.93596859055</v>
      </c>
      <c r="K13" s="4">
        <v>20472.75</v>
      </c>
      <c r="L13" s="4">
        <v>23275.72</v>
      </c>
      <c r="M13" s="4">
        <v>442.64742868688973</v>
      </c>
      <c r="N13" s="4">
        <v>477905.14116639795</v>
      </c>
      <c r="O13" s="124">
        <v>18405.64</v>
      </c>
      <c r="P13" s="124">
        <v>38711.29</v>
      </c>
      <c r="Q13" s="1"/>
      <c r="R13" s="5">
        <f t="shared" ref="R13" si="5">J13+K13+L13+M13-1000000</f>
        <v>18483.05339727737</v>
      </c>
      <c r="S13" s="7">
        <f t="shared" ref="S13" si="6">R13/1000000</f>
        <v>1.848305339727737E-2</v>
      </c>
      <c r="T13" s="7">
        <f t="shared" ref="T13" si="7">O13/O$3-1</f>
        <v>-3.8669509105601074E-3</v>
      </c>
      <c r="U13" s="7">
        <f t="shared" ref="U13" si="8">P13/P$3-1</f>
        <v>-2.6377965034275586E-2</v>
      </c>
      <c r="Z13" s="1"/>
    </row>
    <row r="14" spans="1:26" ht="14.25" x14ac:dyDescent="0.2">
      <c r="A14" s="98">
        <v>45455</v>
      </c>
      <c r="B14" s="1"/>
      <c r="C14" s="1"/>
      <c r="D14" s="1"/>
      <c r="E14" s="1"/>
      <c r="F14" s="1"/>
      <c r="G14" s="1"/>
      <c r="H14" s="1"/>
      <c r="I14" s="1"/>
      <c r="J14" s="1"/>
      <c r="K14" s="1"/>
      <c r="L14" s="1"/>
      <c r="M14" s="1"/>
      <c r="N14" s="1"/>
      <c r="O14" s="1"/>
      <c r="P14" s="1"/>
      <c r="Q14" s="1"/>
      <c r="R14" s="5">
        <v>0</v>
      </c>
      <c r="S14" s="7"/>
      <c r="T14" s="7"/>
      <c r="U14" s="7"/>
      <c r="Z14" s="1"/>
    </row>
    <row r="15" spans="1:26" ht="14.25" x14ac:dyDescent="0.2">
      <c r="A15" s="150"/>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2">
      <c r="A16" s="150"/>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2">
      <c r="A17" s="150"/>
      <c r="B17" s="1"/>
      <c r="C17" s="1"/>
      <c r="D17" s="1"/>
      <c r="E17" s="1"/>
      <c r="F17" s="1"/>
      <c r="G17" s="1"/>
      <c r="H17" s="1"/>
      <c r="I17" s="1"/>
      <c r="J17" s="1"/>
      <c r="K17" s="1"/>
      <c r="L17" s="1"/>
      <c r="M17" s="1"/>
      <c r="N17" s="1"/>
      <c r="O17" s="1"/>
      <c r="P17" s="1"/>
      <c r="Q17" s="1"/>
      <c r="R17" s="1"/>
      <c r="S17" s="1"/>
      <c r="T17" s="1"/>
      <c r="U17" s="1"/>
      <c r="V17" s="1"/>
      <c r="W17" s="1"/>
      <c r="X17" s="1"/>
      <c r="Y17" s="1"/>
      <c r="Z17" s="1"/>
    </row>
    <row r="18" spans="1:26" ht="15" x14ac:dyDescent="0.25">
      <c r="A18" s="150"/>
      <c r="B18" s="165" t="s">
        <v>1815</v>
      </c>
      <c r="C18" s="165"/>
      <c r="D18" s="168" t="s">
        <v>1818</v>
      </c>
      <c r="E18" s="169"/>
      <c r="F18" s="168" t="s">
        <v>1837</v>
      </c>
      <c r="G18" s="165"/>
      <c r="H18" s="168" t="s">
        <v>1836</v>
      </c>
      <c r="I18" s="165"/>
      <c r="J18" s="168" t="s">
        <v>1841</v>
      </c>
      <c r="K18" s="165"/>
      <c r="Q18" s="1"/>
      <c r="R18" s="165" t="s">
        <v>1843</v>
      </c>
      <c r="S18" s="165"/>
      <c r="T18" s="165"/>
      <c r="U18" s="165"/>
      <c r="V18" s="1"/>
      <c r="W18" s="1"/>
      <c r="X18" s="1"/>
      <c r="Y18" s="1"/>
      <c r="Z18" s="1"/>
    </row>
    <row r="19" spans="1:26" ht="28.5" customHeight="1" x14ac:dyDescent="0.2">
      <c r="A19" s="98" t="s">
        <v>1831</v>
      </c>
      <c r="B19" s="2" t="s">
        <v>1835</v>
      </c>
      <c r="C19" s="2" t="s">
        <v>167</v>
      </c>
      <c r="D19" s="145" t="s">
        <v>1835</v>
      </c>
      <c r="E19" s="148" t="s">
        <v>167</v>
      </c>
      <c r="F19" s="145" t="s">
        <v>1835</v>
      </c>
      <c r="G19" s="2" t="s">
        <v>167</v>
      </c>
      <c r="H19" s="145" t="s">
        <v>1835</v>
      </c>
      <c r="I19" s="2" t="s">
        <v>167</v>
      </c>
      <c r="J19" s="145" t="s">
        <v>1835</v>
      </c>
      <c r="K19" s="2" t="s">
        <v>167</v>
      </c>
      <c r="Q19" s="1"/>
      <c r="R19" s="122" t="s">
        <v>1826</v>
      </c>
      <c r="S19" s="122" t="s">
        <v>1827</v>
      </c>
      <c r="T19" s="122" t="s">
        <v>1828</v>
      </c>
      <c r="U19" s="122" t="s">
        <v>1829</v>
      </c>
      <c r="V19" s="1"/>
      <c r="W19" s="1"/>
      <c r="X19" s="1"/>
      <c r="Y19" s="1"/>
      <c r="Z19" s="1"/>
    </row>
    <row r="20" spans="1:26" ht="14.25" x14ac:dyDescent="0.2">
      <c r="A20" s="98">
        <v>45385</v>
      </c>
      <c r="B20" s="5">
        <f>B4</f>
        <v>149.63999999999999</v>
      </c>
      <c r="C20" s="6">
        <f t="shared" ref="C20:C28" si="9">B20/J3</f>
        <v>2.2889613294943311E-3</v>
      </c>
      <c r="D20" s="146">
        <f>E4</f>
        <v>-98.22</v>
      </c>
      <c r="E20" s="149">
        <f>D20/J3</f>
        <v>-1.5024176809872577E-3</v>
      </c>
      <c r="F20" s="146"/>
      <c r="G20" s="63"/>
      <c r="H20" s="147"/>
      <c r="J20" s="147"/>
      <c r="Q20" s="1"/>
      <c r="R20" s="123">
        <f t="shared" ref="R20:R31" si="10">J3/(1000000+R3)</f>
        <v>6.5374630000000003E-2</v>
      </c>
      <c r="S20" s="123">
        <f t="shared" ref="S20:S31" si="11">K3/(1000000+R20)</f>
        <v>0</v>
      </c>
      <c r="T20" s="123">
        <f t="shared" ref="T20:T31" si="12">L3/(1000000+S20)</f>
        <v>0</v>
      </c>
      <c r="U20" s="123">
        <f t="shared" ref="U20:U31" si="13">M3/(1000000+T20)</f>
        <v>0.93462537000000001</v>
      </c>
      <c r="V20" s="1"/>
      <c r="W20" s="1"/>
      <c r="X20" s="1"/>
      <c r="Y20" s="1"/>
      <c r="Z20" s="1"/>
    </row>
    <row r="21" spans="1:26" ht="14.25" x14ac:dyDescent="0.2">
      <c r="A21" s="98">
        <v>45392</v>
      </c>
      <c r="B21" s="5">
        <f>B5-B4</f>
        <v>608.97</v>
      </c>
      <c r="C21" s="6">
        <f t="shared" si="9"/>
        <v>1.1721908674056504E-3</v>
      </c>
      <c r="D21" s="146">
        <f>E5-E4</f>
        <v>865.36</v>
      </c>
      <c r="E21" s="149">
        <f t="shared" ref="E21:E28" si="14">D21/J4</f>
        <v>1.6657094586238299E-3</v>
      </c>
      <c r="F21" s="146"/>
      <c r="G21" s="63"/>
      <c r="H21" s="147"/>
      <c r="J21" s="147"/>
      <c r="Q21" s="1"/>
      <c r="R21" s="123">
        <f t="shared" si="10"/>
        <v>0.51939451452182894</v>
      </c>
      <c r="S21" s="123">
        <f t="shared" si="11"/>
        <v>0</v>
      </c>
      <c r="T21" s="123">
        <f t="shared" si="12"/>
        <v>0</v>
      </c>
      <c r="U21" s="123">
        <f t="shared" si="13"/>
        <v>0.48071638999999999</v>
      </c>
      <c r="V21" s="1"/>
      <c r="W21" s="1"/>
      <c r="X21" s="1"/>
      <c r="Y21" s="1"/>
      <c r="Z21" s="1"/>
    </row>
    <row r="22" spans="1:26" ht="14.25" x14ac:dyDescent="0.2">
      <c r="A22" s="98">
        <v>45399</v>
      </c>
      <c r="B22" s="5">
        <f t="shared" ref="B22:B27" si="15">B6-B5</f>
        <v>1095.7399999999998</v>
      </c>
      <c r="C22" s="6">
        <f t="shared" si="9"/>
        <v>2.1059390714506525E-3</v>
      </c>
      <c r="D22" s="146">
        <f t="shared" ref="D22:D28" si="16">E6-E5</f>
        <v>-3931.95</v>
      </c>
      <c r="E22" s="149">
        <f t="shared" si="14"/>
        <v>-7.5569451986697523E-3</v>
      </c>
      <c r="F22" s="146">
        <f>F6-F5+C6-C5</f>
        <v>-638.41</v>
      </c>
      <c r="G22" s="63">
        <f>F22/K5</f>
        <v>-3.265900167538463E-2</v>
      </c>
      <c r="H22" s="147"/>
      <c r="J22" s="146">
        <f>H6-H5+I6-I5</f>
        <v>447.41</v>
      </c>
      <c r="K22" s="63">
        <f>J22/N5</f>
        <v>2.2888056170147459E-2</v>
      </c>
      <c r="Q22" s="1"/>
      <c r="R22" s="123">
        <f t="shared" si="10"/>
        <v>0.51937785751830523</v>
      </c>
      <c r="S22" s="123">
        <f t="shared" si="11"/>
        <v>1.9547739847336758E-2</v>
      </c>
      <c r="T22" s="123">
        <f t="shared" si="12"/>
        <v>0</v>
      </c>
      <c r="U22" s="123">
        <f t="shared" si="13"/>
        <v>0.46193646999999999</v>
      </c>
      <c r="V22" s="1"/>
      <c r="W22" s="1"/>
      <c r="X22" s="1"/>
      <c r="Y22" s="1"/>
      <c r="Z22" s="1"/>
    </row>
    <row r="23" spans="1:26" ht="14.25" x14ac:dyDescent="0.2">
      <c r="A23" s="98">
        <v>45406</v>
      </c>
      <c r="B23" s="5">
        <f t="shared" si="15"/>
        <v>843.5300000000002</v>
      </c>
      <c r="C23" s="6">
        <f t="shared" si="9"/>
        <v>1.643819877033395E-3</v>
      </c>
      <c r="D23" s="146">
        <f t="shared" si="16"/>
        <v>1580.86</v>
      </c>
      <c r="E23" s="149">
        <f t="shared" si="14"/>
        <v>3.0806836636598726E-3</v>
      </c>
      <c r="F23" s="146">
        <f t="shared" ref="F23:F28" si="17">F7-F6+C7-C6</f>
        <v>165.41999999999996</v>
      </c>
      <c r="G23" s="63">
        <f t="shared" ref="G23:G28" si="18">F23/K6</f>
        <v>8.5458560967104479E-3</v>
      </c>
      <c r="H23" s="147"/>
      <c r="J23" s="146">
        <f t="shared" ref="J23:J28" si="19">H7-H6+I7-I6</f>
        <v>-175.74</v>
      </c>
      <c r="K23" s="63">
        <f t="shared" ref="K23:K28" si="20">J23/N6</f>
        <v>-8.2692888781868128E-3</v>
      </c>
      <c r="Q23" s="1"/>
      <c r="R23" s="123">
        <f t="shared" si="10"/>
        <v>0.51374044464882063</v>
      </c>
      <c r="S23" s="123">
        <f t="shared" si="11"/>
        <v>1.9356740055659755E-2</v>
      </c>
      <c r="T23" s="123">
        <f t="shared" si="12"/>
        <v>0</v>
      </c>
      <c r="U23" s="123">
        <f t="shared" si="13"/>
        <v>0.46634615000000001</v>
      </c>
      <c r="V23" s="1"/>
      <c r="W23" s="1"/>
      <c r="X23" s="1"/>
      <c r="Y23" s="1"/>
      <c r="Z23" s="1"/>
    </row>
    <row r="24" spans="1:26" ht="14.25" x14ac:dyDescent="0.2">
      <c r="A24" s="98">
        <v>45412</v>
      </c>
      <c r="B24" s="5">
        <f t="shared" si="15"/>
        <v>750.52</v>
      </c>
      <c r="C24" s="6">
        <f t="shared" si="9"/>
        <v>1.4135391557239428E-3</v>
      </c>
      <c r="D24" s="146">
        <f t="shared" si="16"/>
        <v>406.6400000000001</v>
      </c>
      <c r="E24" s="149">
        <f t="shared" si="14"/>
        <v>7.6587107909660535E-4</v>
      </c>
      <c r="F24" s="146">
        <f t="shared" si="17"/>
        <v>-181.26</v>
      </c>
      <c r="G24" s="63">
        <f t="shared" si="18"/>
        <v>-9.3618779536709437E-3</v>
      </c>
      <c r="H24" s="147"/>
      <c r="J24" s="146">
        <f t="shared" si="19"/>
        <v>-40.610000000000014</v>
      </c>
      <c r="K24" s="63">
        <f t="shared" si="20"/>
        <v>-1.9115480135856956E-3</v>
      </c>
      <c r="Q24" s="1"/>
      <c r="R24" s="123">
        <f t="shared" si="10"/>
        <v>0.53023051867813564</v>
      </c>
      <c r="S24" s="123">
        <f t="shared" si="11"/>
        <v>1.9361489733947256E-2</v>
      </c>
      <c r="T24" s="123">
        <f t="shared" si="12"/>
        <v>0</v>
      </c>
      <c r="U24" s="123">
        <f t="shared" si="13"/>
        <v>0.45104628999999996</v>
      </c>
      <c r="V24" s="1"/>
      <c r="W24" s="1"/>
      <c r="X24" s="1"/>
      <c r="Y24" s="1"/>
      <c r="Z24" s="1"/>
    </row>
    <row r="25" spans="1:26" ht="14.25" x14ac:dyDescent="0.2">
      <c r="A25" s="98">
        <v>45420</v>
      </c>
      <c r="B25" s="5">
        <f t="shared" si="15"/>
        <v>1838.5700000000002</v>
      </c>
      <c r="C25" s="6">
        <f t="shared" si="9"/>
        <v>1.9004976985006674E-3</v>
      </c>
      <c r="D25" s="146">
        <f t="shared" si="16"/>
        <v>4889.3600000000006</v>
      </c>
      <c r="E25" s="149">
        <f t="shared" si="14"/>
        <v>5.0540460396619243E-3</v>
      </c>
      <c r="F25" s="146">
        <f t="shared" si="17"/>
        <v>997.49</v>
      </c>
      <c r="G25" s="63">
        <f t="shared" si="18"/>
        <v>5.2106617214945215E-2</v>
      </c>
      <c r="H25" s="146">
        <f>G9-G8</f>
        <v>2948.96</v>
      </c>
      <c r="I25" s="63">
        <f>H25/L8</f>
        <v>0.19787985865724381</v>
      </c>
      <c r="J25" s="146">
        <f t="shared" si="19"/>
        <v>-1439.3799999999999</v>
      </c>
      <c r="K25" s="63">
        <f t="shared" si="20"/>
        <v>-3.026313019558921E-3</v>
      </c>
      <c r="Q25" s="1"/>
      <c r="R25" s="123">
        <f t="shared" si="10"/>
        <v>0.96511742251044896</v>
      </c>
      <c r="S25" s="123">
        <f t="shared" si="11"/>
        <v>1.9143231524533733E-2</v>
      </c>
      <c r="T25" s="123">
        <f t="shared" si="12"/>
        <v>1.4902779714712638E-2</v>
      </c>
      <c r="U25" s="123">
        <f t="shared" si="13"/>
        <v>9.19589986295553E-4</v>
      </c>
      <c r="V25" s="1"/>
      <c r="W25" s="1"/>
      <c r="X25" s="1"/>
      <c r="Y25" s="1"/>
      <c r="Z25" s="1"/>
    </row>
    <row r="26" spans="1:26" ht="14.25" x14ac:dyDescent="0.2">
      <c r="A26" s="98">
        <v>45427</v>
      </c>
      <c r="B26" s="5">
        <f t="shared" si="15"/>
        <v>1578.1899999999996</v>
      </c>
      <c r="C26" s="6">
        <f t="shared" si="9"/>
        <v>1.6287972350191888E-3</v>
      </c>
      <c r="D26" s="146">
        <f t="shared" si="16"/>
        <v>120.6899999999996</v>
      </c>
      <c r="E26" s="149">
        <f t="shared" si="14"/>
        <v>1.2456012159148472E-4</v>
      </c>
      <c r="F26" s="146">
        <f t="shared" si="17"/>
        <v>623.29999999999995</v>
      </c>
      <c r="G26" s="63">
        <f t="shared" si="18"/>
        <v>3.1425834425733587E-2</v>
      </c>
      <c r="H26" s="146">
        <f t="shared" ref="H26:H28" si="21">G10-G9</f>
        <v>5897.9199999999992</v>
      </c>
      <c r="I26" s="63">
        <f t="shared" ref="I26:I28" si="22">H26/L9</f>
        <v>0.33038348082595864</v>
      </c>
      <c r="J26" s="146">
        <f t="shared" si="19"/>
        <v>-2641.29</v>
      </c>
      <c r="K26" s="63">
        <f t="shared" si="20"/>
        <v>-5.5295224077101263E-3</v>
      </c>
      <c r="Q26" s="1"/>
      <c r="R26" s="123">
        <f t="shared" si="10"/>
        <v>0.95780369856689218</v>
      </c>
      <c r="S26" s="123">
        <f t="shared" si="11"/>
        <v>1.9833981002939639E-2</v>
      </c>
      <c r="T26" s="123">
        <f t="shared" si="12"/>
        <v>1.7851739645928937E-2</v>
      </c>
      <c r="U26" s="123">
        <f t="shared" si="13"/>
        <v>5.0007199107284499E-3</v>
      </c>
      <c r="V26" s="1"/>
      <c r="W26" s="1"/>
      <c r="X26" s="1"/>
      <c r="Y26" s="1"/>
      <c r="Z26" s="1"/>
    </row>
    <row r="27" spans="1:26" ht="14.25" x14ac:dyDescent="0.2">
      <c r="A27" s="98">
        <v>45434</v>
      </c>
      <c r="B27" s="5">
        <f t="shared" si="15"/>
        <v>1608.4600000000009</v>
      </c>
      <c r="C27" s="6">
        <f t="shared" si="9"/>
        <v>1.6532410765211572E-3</v>
      </c>
      <c r="D27" s="146">
        <f t="shared" si="16"/>
        <v>618.92000000000007</v>
      </c>
      <c r="E27" s="149">
        <f t="shared" si="14"/>
        <v>6.3615132927177191E-4</v>
      </c>
      <c r="F27" s="146">
        <f t="shared" si="17"/>
        <v>295.46000000000004</v>
      </c>
      <c r="G27" s="63">
        <f t="shared" si="18"/>
        <v>1.4521773321537404E-2</v>
      </c>
      <c r="H27" s="146">
        <f t="shared" si="21"/>
        <v>-684.57999999999902</v>
      </c>
      <c r="I27" s="63">
        <f t="shared" si="22"/>
        <v>-2.8824833702882441E-2</v>
      </c>
      <c r="J27" s="146">
        <f t="shared" si="19"/>
        <v>-1635.7599999999998</v>
      </c>
      <c r="K27" s="63">
        <f t="shared" si="20"/>
        <v>-3.4422055692729702E-3</v>
      </c>
      <c r="Q27" s="1"/>
      <c r="R27" s="123">
        <f t="shared" si="10"/>
        <v>0.95646573692913706</v>
      </c>
      <c r="S27" s="123">
        <f t="shared" si="11"/>
        <v>2.0345980539766727E-2</v>
      </c>
      <c r="T27" s="123">
        <f t="shared" si="12"/>
        <v>2.3749659516789888E-2</v>
      </c>
      <c r="U27" s="123">
        <f t="shared" si="13"/>
        <v>1.8721999555358884E-4</v>
      </c>
      <c r="V27" s="1"/>
      <c r="W27" s="1"/>
      <c r="X27" s="1"/>
      <c r="Y27" s="1"/>
      <c r="Z27" s="1"/>
    </row>
    <row r="28" spans="1:26" ht="14.25" x14ac:dyDescent="0.2">
      <c r="A28" s="98">
        <v>45441</v>
      </c>
      <c r="B28" s="5">
        <f>B12-B11</f>
        <v>1636.3417084226494</v>
      </c>
      <c r="C28" s="6">
        <f t="shared" si="9"/>
        <v>1.680623775220178E-3</v>
      </c>
      <c r="D28" s="146">
        <f t="shared" si="16"/>
        <v>-1319.5195624022531</v>
      </c>
      <c r="E28" s="149">
        <f t="shared" si="14"/>
        <v>-1.3552279068771165E-3</v>
      </c>
      <c r="F28" s="146">
        <f t="shared" si="17"/>
        <v>39.985008307752253</v>
      </c>
      <c r="G28" s="63">
        <f t="shared" si="18"/>
        <v>1.9435908329101482E-3</v>
      </c>
      <c r="H28" s="146">
        <f t="shared" si="21"/>
        <v>368.61999999999989</v>
      </c>
      <c r="I28" s="63">
        <f t="shared" si="22"/>
        <v>1.5981735159817347E-2</v>
      </c>
      <c r="J28" s="146">
        <f t="shared" si="19"/>
        <v>-202.25116632705431</v>
      </c>
      <c r="K28" s="63">
        <f t="shared" si="20"/>
        <v>-4.2613125556956427E-4</v>
      </c>
      <c r="Q28" s="1"/>
      <c r="R28" s="123">
        <f t="shared" si="10"/>
        <v>0.95700082068119774</v>
      </c>
      <c r="S28" s="123">
        <f t="shared" si="11"/>
        <v>2.0572730311880207E-2</v>
      </c>
      <c r="T28" s="123">
        <f t="shared" si="12"/>
        <v>2.3065079525488339E-2</v>
      </c>
      <c r="U28" s="123">
        <f t="shared" si="13"/>
        <v>1.0947999747483516E-4</v>
      </c>
      <c r="V28" s="1"/>
      <c r="W28" s="1"/>
      <c r="X28" s="1"/>
      <c r="Y28" s="1"/>
      <c r="Z28" s="1"/>
    </row>
    <row r="29" spans="1:26" ht="14.25" x14ac:dyDescent="0.2">
      <c r="A29" s="98">
        <v>45448</v>
      </c>
      <c r="B29" s="5">
        <f>B13-B12</f>
        <v>1617.4741904734474</v>
      </c>
      <c r="C29" s="6">
        <f t="shared" ref="C29" si="23">B29/J12</f>
        <v>1.6614672528045137E-3</v>
      </c>
      <c r="D29" s="146">
        <f t="shared" ref="D29" si="24">E13-E12</f>
        <v>-61.637362076950012</v>
      </c>
      <c r="E29" s="149">
        <f t="shared" ref="E29" si="25">D29/J12</f>
        <v>-6.3313813131158213E-5</v>
      </c>
      <c r="F29" s="146">
        <f t="shared" ref="F29" si="26">F13-F12+C13-C12</f>
        <v>19.437394371330129</v>
      </c>
      <c r="G29" s="63">
        <f t="shared" ref="G29" si="27">F29/K12</f>
        <v>9.4824652696352753E-4</v>
      </c>
      <c r="H29" s="146">
        <f t="shared" ref="H29" si="28">G13-G12</f>
        <v>-157.97999999999956</v>
      </c>
      <c r="I29" s="63">
        <f t="shared" ref="I29" si="29">H29/L12</f>
        <v>-6.7415730337078462E-3</v>
      </c>
      <c r="J29" s="146">
        <f t="shared" ref="J29" si="30">H13-H12+I13-I12</f>
        <v>-856.75746728200079</v>
      </c>
      <c r="K29" s="63">
        <f t="shared" ref="K29" si="31">J29/N12</f>
        <v>-1.803916213402431E-3</v>
      </c>
      <c r="Q29" s="1"/>
      <c r="R29" s="123">
        <f t="shared" si="10"/>
        <v>0.95648028388674389</v>
      </c>
      <c r="S29" s="123">
        <f t="shared" si="11"/>
        <v>2.0498230393846774E-2</v>
      </c>
      <c r="T29" s="123">
        <f t="shared" si="12"/>
        <v>2.343369951965063E-2</v>
      </c>
      <c r="U29" s="123">
        <f t="shared" si="13"/>
        <v>3.6314169311693335E-4</v>
      </c>
      <c r="V29" s="1"/>
      <c r="W29" s="1"/>
      <c r="X29" s="1"/>
      <c r="Y29" s="1"/>
      <c r="Z29" s="1"/>
    </row>
    <row r="30" spans="1:26" ht="14.25" x14ac:dyDescent="0.2">
      <c r="A30" s="98">
        <v>45455</v>
      </c>
      <c r="B30" s="5"/>
      <c r="C30" s="6"/>
      <c r="D30" s="146"/>
      <c r="E30" s="149"/>
      <c r="F30" s="146"/>
      <c r="G30" s="63"/>
      <c r="H30" s="146"/>
      <c r="I30" s="63"/>
      <c r="J30" s="146"/>
      <c r="K30" s="63"/>
      <c r="Q30" s="1"/>
      <c r="R30" s="123">
        <f t="shared" si="10"/>
        <v>0.95661084661027806</v>
      </c>
      <c r="S30" s="123">
        <f t="shared" si="11"/>
        <v>2.0472730415564026E-2</v>
      </c>
      <c r="T30" s="123">
        <f t="shared" si="12"/>
        <v>2.3275719523482469E-2</v>
      </c>
      <c r="U30" s="123">
        <f t="shared" si="13"/>
        <v>4.426474183839526E-4</v>
      </c>
      <c r="V30" s="1"/>
      <c r="W30" s="1"/>
      <c r="X30" s="1"/>
      <c r="Y30" s="1"/>
      <c r="Z30" s="1"/>
    </row>
    <row r="31" spans="1:26" ht="14.25" x14ac:dyDescent="0.2">
      <c r="A31" s="164" t="s">
        <v>1858</v>
      </c>
      <c r="C31" s="1"/>
      <c r="E31" s="1"/>
      <c r="G31" s="1"/>
      <c r="I31" s="1"/>
      <c r="L31" s="1"/>
      <c r="Q31" s="1"/>
      <c r="R31" s="123">
        <f t="shared" si="10"/>
        <v>0</v>
      </c>
      <c r="S31" s="123">
        <f t="shared" si="11"/>
        <v>0</v>
      </c>
      <c r="T31" s="123">
        <f t="shared" si="12"/>
        <v>0</v>
      </c>
      <c r="U31" s="123">
        <f t="shared" si="13"/>
        <v>0</v>
      </c>
      <c r="V31" s="1"/>
      <c r="W31" s="1"/>
      <c r="X31" s="1"/>
      <c r="Y31" s="1"/>
      <c r="Z31" s="1"/>
    </row>
    <row r="32" spans="1:26" ht="14.25" x14ac:dyDescent="0.2">
      <c r="A32" s="164"/>
      <c r="B32" s="167">
        <f>(1+C20)*(1+C21)*(1+C22)*(1+C23)*(1+C24)*(1+C25)*(1+C26)*(1+C27)*(C28+1)*(C29+1)*(C30+1)-1</f>
        <v>1.7281557628861854E-2</v>
      </c>
      <c r="C32" s="167"/>
      <c r="D32" s="167">
        <f>(1+E20)*(1+E21)*(1+E22)*(1+E23)*(1+E24)*(1+E25)*(1+E26)*(1+E27)*(E28+1)*(E29+1)*(E30+1)-1</f>
        <v>7.9933378510221864E-4</v>
      </c>
      <c r="E32" s="167"/>
      <c r="F32" s="167">
        <f>(1+G20)*(1+G21)*(1+G22)*(1+G23)*(1+G24)*(1+G25)*(1+G26)*(1+G27)*(G28+1)*(G29+1)*(G30+1)-1</f>
        <v>6.7097996688057826E-2</v>
      </c>
      <c r="G32" s="167"/>
      <c r="H32" s="167">
        <f>(1+I20)*(1+I21)*(1+I22)*(1+I23)*(1+I24)*(1+I25)*(1+I26)*(1+I27)*(I28+1)*(I29+1)*(I30+1)-1</f>
        <v>0.56183745583038891</v>
      </c>
      <c r="I32" s="167"/>
      <c r="J32" s="167">
        <f>(1+K20)*(1+K21)*(1+K22)*(1+K23)*(1+K24)*(1+K25)*(1+K26)*(1+K27)*(K28+1)*(K29+1)*(K30+1)-1</f>
        <v>-1.8409750812757864E-3</v>
      </c>
      <c r="K32" s="167"/>
      <c r="L32" s="1"/>
      <c r="M32" s="1"/>
      <c r="N32" s="1"/>
      <c r="O32" s="1"/>
      <c r="P32" s="1"/>
      <c r="Q32" s="1"/>
      <c r="R32" s="1"/>
      <c r="S32" s="1"/>
      <c r="T32" s="1"/>
      <c r="U32" s="1"/>
      <c r="V32" s="1"/>
      <c r="W32" s="1"/>
      <c r="X32" s="1"/>
      <c r="Y32" s="1"/>
      <c r="Z32" s="1"/>
    </row>
    <row r="33" spans="1:26" ht="14.25" x14ac:dyDescent="0.2">
      <c r="A33" s="1" t="s">
        <v>942</v>
      </c>
      <c r="B33" s="1"/>
      <c r="C33" s="5">
        <f>Dashboard!$B$3</f>
        <v>12186.343926285874</v>
      </c>
      <c r="D33" s="1"/>
      <c r="E33" s="5">
        <f>Dashboard!$B$4</f>
        <v>1727.5194702621175</v>
      </c>
      <c r="F33" s="1"/>
      <c r="G33" s="5">
        <f>Dashboard!$C$3+Dashboard!$C$4</f>
        <v>1321.4224026790823</v>
      </c>
      <c r="H33" s="1"/>
      <c r="I33" s="5">
        <f>Dashboard!$D$4</f>
        <v>8741.56</v>
      </c>
      <c r="J33" s="1"/>
      <c r="K33" s="5">
        <f>Dashboard!$B$5+Dashboard!$C$5</f>
        <v>-7001.082003996723</v>
      </c>
      <c r="L33" s="1"/>
      <c r="M33" s="1"/>
      <c r="N33" s="1"/>
      <c r="O33" s="1"/>
      <c r="P33" s="1"/>
      <c r="Q33" s="1"/>
      <c r="R33" s="1"/>
      <c r="S33" s="1"/>
      <c r="T33" s="1"/>
      <c r="U33" s="1"/>
      <c r="V33" s="1"/>
      <c r="W33" s="1"/>
      <c r="X33" s="1"/>
      <c r="Y33" s="1"/>
      <c r="Z33" s="1"/>
    </row>
    <row r="34" spans="1:26" ht="14.25"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x14ac:dyDescent="0.2">
      <c r="A36" s="1"/>
      <c r="B36" s="1"/>
      <c r="C36" s="1"/>
      <c r="D36" s="1"/>
      <c r="E36" s="1"/>
      <c r="F36" s="1"/>
      <c r="G36" s="1"/>
      <c r="H36" s="9"/>
      <c r="I36" s="9"/>
      <c r="J36" s="1"/>
      <c r="K36" s="1"/>
      <c r="L36" s="1"/>
      <c r="M36" s="1"/>
      <c r="N36" s="1"/>
      <c r="O36" s="1"/>
      <c r="P36" s="1"/>
      <c r="Q36" s="1"/>
      <c r="R36" s="1"/>
      <c r="S36" s="1"/>
      <c r="T36" s="1"/>
      <c r="U36" s="1"/>
      <c r="V36" s="1"/>
      <c r="W36" s="1"/>
      <c r="X36" s="1"/>
      <c r="Y36" s="1"/>
      <c r="Z36" s="1"/>
    </row>
    <row r="37" spans="1:26" ht="14.25"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sheetData>
  <mergeCells count="13">
    <mergeCell ref="A31:A32"/>
    <mergeCell ref="R18:U18"/>
    <mergeCell ref="R1:U1"/>
    <mergeCell ref="B32:C32"/>
    <mergeCell ref="D32:E32"/>
    <mergeCell ref="F32:G32"/>
    <mergeCell ref="H32:I32"/>
    <mergeCell ref="J32:K32"/>
    <mergeCell ref="B18:C18"/>
    <mergeCell ref="D18:E18"/>
    <mergeCell ref="F18:G18"/>
    <mergeCell ref="H18:I18"/>
    <mergeCell ref="J18:K18"/>
  </mergeCells>
  <pageMargins left="0.7" right="0.7" top="0.75" bottom="0.75" header="0.3" footer="0.3"/>
  <pageSetup paperSize="9" orientation="portrait" r:id="rId1"/>
  <ignoredErrors>
    <ignoredError sqref="J25:J29"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DB0E-0B80-47BF-987A-14D04765E772}">
  <dimension ref="A1:J745"/>
  <sheetViews>
    <sheetView topLeftCell="A712" workbookViewId="0">
      <selection activeCell="E748" sqref="E748"/>
    </sheetView>
  </sheetViews>
  <sheetFormatPr defaultRowHeight="14.25" x14ac:dyDescent="0.2"/>
  <cols>
    <col min="1" max="1" width="12.85546875" style="60" bestFit="1" customWidth="1"/>
    <col min="2" max="2" width="15.7109375" style="41" bestFit="1" customWidth="1"/>
    <col min="3" max="3" width="53.42578125" style="1" bestFit="1" customWidth="1"/>
    <col min="4" max="4" width="16.7109375" style="4" bestFit="1" customWidth="1"/>
    <col min="5" max="5" width="18.28515625" style="4" bestFit="1" customWidth="1"/>
    <col min="6" max="7" width="12.140625" style="1" bestFit="1" customWidth="1"/>
    <col min="8" max="8" width="9.140625" style="1"/>
    <col min="9" max="9" width="24" style="1" bestFit="1" customWidth="1"/>
    <col min="10" max="10" width="11.28515625" style="1" bestFit="1" customWidth="1"/>
    <col min="11" max="16384" width="9.140625" style="1"/>
  </cols>
  <sheetData>
    <row r="1" spans="1:10" x14ac:dyDescent="0.2">
      <c r="A1" s="117" t="s">
        <v>12</v>
      </c>
      <c r="B1" s="118" t="s">
        <v>13</v>
      </c>
      <c r="C1" s="118" t="s">
        <v>14</v>
      </c>
      <c r="D1" s="119" t="s">
        <v>15</v>
      </c>
      <c r="E1" s="119" t="s">
        <v>16</v>
      </c>
    </row>
    <row r="2" spans="1:10" x14ac:dyDescent="0.2">
      <c r="A2" s="117">
        <v>45376</v>
      </c>
      <c r="B2" s="118" t="s">
        <v>17</v>
      </c>
      <c r="C2" s="118" t="s">
        <v>18</v>
      </c>
      <c r="D2" s="119">
        <v>1000000</v>
      </c>
      <c r="E2" s="119">
        <f>0+D2</f>
        <v>1000000</v>
      </c>
      <c r="J2" s="9"/>
    </row>
    <row r="3" spans="1:10" x14ac:dyDescent="0.2">
      <c r="A3" s="60">
        <v>45378</v>
      </c>
      <c r="B3" s="41" t="s">
        <v>21</v>
      </c>
      <c r="C3" s="1" t="s">
        <v>34</v>
      </c>
      <c r="D3" s="4">
        <v>-2040.3424657534247</v>
      </c>
      <c r="E3" s="4">
        <f>IF(D3="","",D3+E2)</f>
        <v>997959.65753424657</v>
      </c>
    </row>
    <row r="4" spans="1:10" x14ac:dyDescent="0.2">
      <c r="A4" s="60">
        <v>45378</v>
      </c>
      <c r="B4" s="41" t="s">
        <v>21</v>
      </c>
      <c r="C4" s="1" t="s">
        <v>38</v>
      </c>
      <c r="D4" s="4">
        <v>-2075.1193424657536</v>
      </c>
      <c r="E4" s="4">
        <f t="shared" ref="E4:E67" si="0">IF(D4="","",D4+E3)</f>
        <v>995884.5381917808</v>
      </c>
    </row>
    <row r="5" spans="1:10" x14ac:dyDescent="0.2">
      <c r="A5" s="60">
        <v>45378</v>
      </c>
      <c r="B5" s="41" t="s">
        <v>21</v>
      </c>
      <c r="C5" s="1" t="s">
        <v>42</v>
      </c>
      <c r="D5" s="4">
        <v>-2058.3863013698633</v>
      </c>
      <c r="E5" s="4">
        <f t="shared" si="0"/>
        <v>993826.15189041093</v>
      </c>
    </row>
    <row r="6" spans="1:10" x14ac:dyDescent="0.2">
      <c r="A6" s="60">
        <v>45378</v>
      </c>
      <c r="B6" s="41" t="s">
        <v>21</v>
      </c>
      <c r="C6" s="1" t="s">
        <v>47</v>
      </c>
      <c r="D6" s="4">
        <v>-1147.7878904109589</v>
      </c>
      <c r="E6" s="4">
        <f t="shared" si="0"/>
        <v>992678.36399999994</v>
      </c>
    </row>
    <row r="7" spans="1:10" x14ac:dyDescent="0.2">
      <c r="A7" s="60">
        <v>45378</v>
      </c>
      <c r="B7" s="41" t="s">
        <v>21</v>
      </c>
      <c r="C7" s="1" t="s">
        <v>50</v>
      </c>
      <c r="D7" s="4">
        <v>-2003.9701369863012</v>
      </c>
      <c r="E7" s="4">
        <f t="shared" si="0"/>
        <v>990674.3938630136</v>
      </c>
    </row>
    <row r="8" spans="1:10" x14ac:dyDescent="0.2">
      <c r="A8" s="60">
        <v>45378</v>
      </c>
      <c r="B8" s="41" t="s">
        <v>21</v>
      </c>
      <c r="C8" s="1" t="s">
        <v>55</v>
      </c>
      <c r="D8" s="4">
        <v>-1775.2876712328766</v>
      </c>
      <c r="E8" s="4">
        <f t="shared" si="0"/>
        <v>988899.10619178077</v>
      </c>
      <c r="G8" s="4"/>
    </row>
    <row r="9" spans="1:10" x14ac:dyDescent="0.2">
      <c r="A9" s="60">
        <v>45378</v>
      </c>
      <c r="B9" s="41" t="s">
        <v>21</v>
      </c>
      <c r="C9" s="1" t="s">
        <v>60</v>
      </c>
      <c r="D9" s="4">
        <v>-2065.3561643835596</v>
      </c>
      <c r="E9" s="4">
        <f t="shared" si="0"/>
        <v>986833.75002739718</v>
      </c>
    </row>
    <row r="10" spans="1:10" x14ac:dyDescent="0.2">
      <c r="A10" s="60">
        <v>45378</v>
      </c>
      <c r="B10" s="41" t="s">
        <v>21</v>
      </c>
      <c r="C10" s="1" t="s">
        <v>64</v>
      </c>
      <c r="D10" s="4">
        <v>-1260.5931506849315</v>
      </c>
      <c r="E10" s="4">
        <f t="shared" si="0"/>
        <v>985573.15687671222</v>
      </c>
    </row>
    <row r="11" spans="1:10" x14ac:dyDescent="0.2">
      <c r="A11" s="60">
        <v>45378</v>
      </c>
      <c r="B11" s="41" t="s">
        <v>21</v>
      </c>
      <c r="C11" s="1" t="s">
        <v>68</v>
      </c>
      <c r="D11" s="4">
        <v>-2004.6575342465753</v>
      </c>
      <c r="E11" s="4">
        <f t="shared" si="0"/>
        <v>983568.49934246566</v>
      </c>
    </row>
    <row r="12" spans="1:10" x14ac:dyDescent="0.2">
      <c r="A12" s="60">
        <v>45378</v>
      </c>
      <c r="B12" s="41" t="s">
        <v>21</v>
      </c>
      <c r="C12" s="1" t="s">
        <v>71</v>
      </c>
      <c r="D12" s="4">
        <v>-2090.6027397260268</v>
      </c>
      <c r="E12" s="4">
        <f t="shared" si="0"/>
        <v>981477.89660273958</v>
      </c>
    </row>
    <row r="13" spans="1:10" x14ac:dyDescent="0.2">
      <c r="A13" s="60">
        <v>45378</v>
      </c>
      <c r="B13" s="41" t="s">
        <v>21</v>
      </c>
      <c r="C13" s="1" t="s">
        <v>74</v>
      </c>
      <c r="D13" s="4">
        <v>-2113.7315068493149</v>
      </c>
      <c r="E13" s="4">
        <f t="shared" si="0"/>
        <v>979364.16509589029</v>
      </c>
    </row>
    <row r="14" spans="1:10" x14ac:dyDescent="0.2">
      <c r="A14" s="60">
        <v>45378</v>
      </c>
      <c r="B14" s="41" t="s">
        <v>21</v>
      </c>
      <c r="C14" s="1" t="s">
        <v>79</v>
      </c>
      <c r="D14" s="4">
        <v>-2525.6405479452055</v>
      </c>
      <c r="E14" s="4">
        <f t="shared" si="0"/>
        <v>976838.52454794513</v>
      </c>
    </row>
    <row r="15" spans="1:10" x14ac:dyDescent="0.2">
      <c r="A15" s="60">
        <v>45378</v>
      </c>
      <c r="B15" s="41" t="s">
        <v>21</v>
      </c>
      <c r="C15" s="1" t="s">
        <v>84</v>
      </c>
      <c r="D15" s="4">
        <v>-1401.78</v>
      </c>
      <c r="E15" s="4">
        <f t="shared" si="0"/>
        <v>975436.7445479451</v>
      </c>
    </row>
    <row r="16" spans="1:10" x14ac:dyDescent="0.2">
      <c r="A16" s="60">
        <v>45378</v>
      </c>
      <c r="B16" s="41" t="s">
        <v>21</v>
      </c>
      <c r="C16" s="1" t="s">
        <v>87</v>
      </c>
      <c r="D16" s="4">
        <v>-1872.6164383561643</v>
      </c>
      <c r="E16" s="4">
        <f t="shared" si="0"/>
        <v>973564.12810958899</v>
      </c>
    </row>
    <row r="17" spans="1:5" x14ac:dyDescent="0.2">
      <c r="A17" s="60">
        <v>45378</v>
      </c>
      <c r="B17" s="41" t="s">
        <v>21</v>
      </c>
      <c r="C17" s="1" t="s">
        <v>90</v>
      </c>
      <c r="D17" s="4">
        <v>-1359.08169863014</v>
      </c>
      <c r="E17" s="4">
        <f t="shared" si="0"/>
        <v>972205.04641095886</v>
      </c>
    </row>
    <row r="18" spans="1:5" x14ac:dyDescent="0.2">
      <c r="A18" s="60">
        <v>45378</v>
      </c>
      <c r="B18" s="41" t="s">
        <v>21</v>
      </c>
      <c r="C18" s="1" t="s">
        <v>94</v>
      </c>
      <c r="D18" s="4">
        <v>-1427.4882191780819</v>
      </c>
      <c r="E18" s="4">
        <f t="shared" si="0"/>
        <v>970777.55819178082</v>
      </c>
    </row>
    <row r="19" spans="1:5" x14ac:dyDescent="0.2">
      <c r="A19" s="60">
        <v>45378</v>
      </c>
      <c r="B19" s="41" t="s">
        <v>21</v>
      </c>
      <c r="C19" s="1" t="s">
        <v>97</v>
      </c>
      <c r="D19" s="4">
        <v>-1221.6821917808218</v>
      </c>
      <c r="E19" s="4">
        <f t="shared" si="0"/>
        <v>969555.87600000005</v>
      </c>
    </row>
    <row r="20" spans="1:5" x14ac:dyDescent="0.2">
      <c r="A20" s="60">
        <v>45378</v>
      </c>
      <c r="B20" s="41" t="s">
        <v>21</v>
      </c>
      <c r="C20" s="1" t="s">
        <v>101</v>
      </c>
      <c r="D20" s="4">
        <v>-1719.1935342465752</v>
      </c>
      <c r="E20" s="4">
        <f t="shared" si="0"/>
        <v>967836.68246575352</v>
      </c>
    </row>
    <row r="21" spans="1:5" x14ac:dyDescent="0.2">
      <c r="A21" s="60">
        <v>45378</v>
      </c>
      <c r="B21" s="41" t="s">
        <v>21</v>
      </c>
      <c r="C21" s="1" t="s">
        <v>105</v>
      </c>
      <c r="D21" s="4">
        <v>-1924.4739726027397</v>
      </c>
      <c r="E21" s="4">
        <f t="shared" si="0"/>
        <v>965912.20849315077</v>
      </c>
    </row>
    <row r="22" spans="1:5" x14ac:dyDescent="0.2">
      <c r="A22" s="60">
        <v>45378</v>
      </c>
      <c r="B22" s="41" t="s">
        <v>21</v>
      </c>
      <c r="C22" s="1" t="s">
        <v>108</v>
      </c>
      <c r="D22" s="4">
        <v>-2050.1007123287673</v>
      </c>
      <c r="E22" s="4">
        <f t="shared" si="0"/>
        <v>963862.10778082197</v>
      </c>
    </row>
    <row r="23" spans="1:5" x14ac:dyDescent="0.2">
      <c r="A23" s="60">
        <v>45378</v>
      </c>
      <c r="B23" s="41" t="s">
        <v>21</v>
      </c>
      <c r="C23" s="1" t="s">
        <v>112</v>
      </c>
      <c r="D23" s="4">
        <v>-1887.6602739726009</v>
      </c>
      <c r="E23" s="4">
        <f t="shared" si="0"/>
        <v>961974.44750684942</v>
      </c>
    </row>
    <row r="24" spans="1:5" x14ac:dyDescent="0.2">
      <c r="A24" s="60">
        <v>45378</v>
      </c>
      <c r="B24" s="41" t="s">
        <v>21</v>
      </c>
      <c r="C24" s="1" t="s">
        <v>115</v>
      </c>
      <c r="D24" s="4">
        <v>-1896.9424657534248</v>
      </c>
      <c r="E24" s="4">
        <f t="shared" si="0"/>
        <v>960077.50504109601</v>
      </c>
    </row>
    <row r="25" spans="1:5" x14ac:dyDescent="0.2">
      <c r="A25" s="60">
        <v>45378</v>
      </c>
      <c r="B25" s="41" t="s">
        <v>21</v>
      </c>
      <c r="C25" s="1" t="s">
        <v>119</v>
      </c>
      <c r="D25" s="4">
        <v>-2154.5242739725823</v>
      </c>
      <c r="E25" s="4">
        <f t="shared" si="0"/>
        <v>957922.9807671234</v>
      </c>
    </row>
    <row r="26" spans="1:5" x14ac:dyDescent="0.2">
      <c r="A26" s="60">
        <v>45378</v>
      </c>
      <c r="B26" s="41" t="s">
        <v>21</v>
      </c>
      <c r="C26" s="1" t="s">
        <v>123</v>
      </c>
      <c r="D26" s="4">
        <v>-1994.3495890411</v>
      </c>
      <c r="E26" s="4">
        <f t="shared" si="0"/>
        <v>955928.63117808232</v>
      </c>
    </row>
    <row r="27" spans="1:5" x14ac:dyDescent="0.2">
      <c r="A27" s="60">
        <v>45378</v>
      </c>
      <c r="B27" s="41" t="s">
        <v>21</v>
      </c>
      <c r="C27" s="1" t="s">
        <v>126</v>
      </c>
      <c r="D27" s="4">
        <v>-2037.8630136986301</v>
      </c>
      <c r="E27" s="4">
        <f t="shared" si="0"/>
        <v>953890.76816438371</v>
      </c>
    </row>
    <row r="28" spans="1:5" x14ac:dyDescent="0.2">
      <c r="A28" s="60">
        <v>45378</v>
      </c>
      <c r="B28" s="41" t="s">
        <v>21</v>
      </c>
      <c r="C28" s="1" t="s">
        <v>129</v>
      </c>
      <c r="D28" s="4">
        <v>-2115.0410958904108</v>
      </c>
      <c r="E28" s="4">
        <f t="shared" si="0"/>
        <v>951775.72706849326</v>
      </c>
    </row>
    <row r="29" spans="1:5" x14ac:dyDescent="0.2">
      <c r="A29" s="60">
        <v>45378</v>
      </c>
      <c r="B29" s="41" t="s">
        <v>21</v>
      </c>
      <c r="C29" s="1" t="s">
        <v>132</v>
      </c>
      <c r="D29" s="4">
        <v>-1551.8917260273954</v>
      </c>
      <c r="E29" s="4">
        <f t="shared" si="0"/>
        <v>950223.8353424659</v>
      </c>
    </row>
    <row r="30" spans="1:5" x14ac:dyDescent="0.2">
      <c r="A30" s="60">
        <v>45378</v>
      </c>
      <c r="B30" s="41" t="s">
        <v>21</v>
      </c>
      <c r="C30" s="1" t="s">
        <v>135</v>
      </c>
      <c r="D30" s="4">
        <v>-2069.6095342465751</v>
      </c>
      <c r="E30" s="4">
        <f t="shared" si="0"/>
        <v>948154.22580821929</v>
      </c>
    </row>
    <row r="31" spans="1:5" x14ac:dyDescent="0.2">
      <c r="A31" s="60">
        <v>45378</v>
      </c>
      <c r="B31" s="41" t="s">
        <v>21</v>
      </c>
      <c r="C31" s="1" t="s">
        <v>138</v>
      </c>
      <c r="D31" s="4">
        <v>-2170.2630136986304</v>
      </c>
      <c r="E31" s="4">
        <f t="shared" si="0"/>
        <v>945983.96279452066</v>
      </c>
    </row>
    <row r="32" spans="1:5" x14ac:dyDescent="0.2">
      <c r="A32" s="60">
        <v>45378</v>
      </c>
      <c r="B32" s="41" t="s">
        <v>21</v>
      </c>
      <c r="C32" s="1" t="s">
        <v>141</v>
      </c>
      <c r="D32" s="4">
        <v>-2068.8832328767098</v>
      </c>
      <c r="E32" s="4">
        <f t="shared" si="0"/>
        <v>943915.079561644</v>
      </c>
    </row>
    <row r="33" spans="1:5" x14ac:dyDescent="0.2">
      <c r="A33" s="60">
        <v>45378</v>
      </c>
      <c r="B33" s="41" t="s">
        <v>21</v>
      </c>
      <c r="C33" s="1" t="s">
        <v>144</v>
      </c>
      <c r="D33" s="4">
        <v>-2289.8630136986299</v>
      </c>
      <c r="E33" s="4">
        <f t="shared" si="0"/>
        <v>941625.2165479454</v>
      </c>
    </row>
    <row r="34" spans="1:5" x14ac:dyDescent="0.2">
      <c r="A34" s="60">
        <v>45378</v>
      </c>
      <c r="B34" s="41" t="s">
        <v>21</v>
      </c>
      <c r="C34" s="1" t="s">
        <v>147</v>
      </c>
      <c r="D34" s="4">
        <v>-2100.1054794520546</v>
      </c>
      <c r="E34" s="4">
        <f t="shared" si="0"/>
        <v>939525.11106849334</v>
      </c>
    </row>
    <row r="35" spans="1:5" x14ac:dyDescent="0.2">
      <c r="A35" s="60">
        <v>45378</v>
      </c>
      <c r="B35" s="41" t="s">
        <v>21</v>
      </c>
      <c r="C35" s="1" t="s">
        <v>150</v>
      </c>
      <c r="D35" s="4">
        <v>-1516.1095890410959</v>
      </c>
      <c r="E35" s="4">
        <f t="shared" si="0"/>
        <v>938009.00147945224</v>
      </c>
    </row>
    <row r="36" spans="1:5" x14ac:dyDescent="0.2">
      <c r="A36" s="60">
        <v>45378</v>
      </c>
      <c r="B36" s="41" t="s">
        <v>21</v>
      </c>
      <c r="C36" s="1" t="s">
        <v>153</v>
      </c>
      <c r="D36" s="4">
        <v>-1316.6575342465753</v>
      </c>
      <c r="E36" s="4">
        <f t="shared" si="0"/>
        <v>936692.34394520568</v>
      </c>
    </row>
    <row r="37" spans="1:5" x14ac:dyDescent="0.2">
      <c r="A37" s="60">
        <v>45378</v>
      </c>
      <c r="B37" s="41" t="s">
        <v>21</v>
      </c>
      <c r="C37" s="1" t="s">
        <v>156</v>
      </c>
      <c r="D37" s="4">
        <v>-2066.9733698630139</v>
      </c>
      <c r="E37" s="4">
        <f t="shared" si="0"/>
        <v>934625.37057534268</v>
      </c>
    </row>
    <row r="38" spans="1:5" x14ac:dyDescent="0.2">
      <c r="A38" s="60">
        <v>45380</v>
      </c>
      <c r="B38" s="41" t="s">
        <v>19</v>
      </c>
      <c r="C38" s="1" t="s">
        <v>64</v>
      </c>
      <c r="D38" s="4">
        <v>62.125</v>
      </c>
      <c r="E38" s="4">
        <f t="shared" si="0"/>
        <v>934687.49557534268</v>
      </c>
    </row>
    <row r="39" spans="1:5" x14ac:dyDescent="0.2">
      <c r="A39" s="60">
        <v>45380</v>
      </c>
      <c r="B39" s="41" t="s">
        <v>19</v>
      </c>
      <c r="C39" s="1" t="s">
        <v>147</v>
      </c>
      <c r="D39" s="4">
        <v>61.625</v>
      </c>
      <c r="E39" s="4">
        <f t="shared" si="0"/>
        <v>934749.12057534268</v>
      </c>
    </row>
    <row r="40" spans="1:5" x14ac:dyDescent="0.2">
      <c r="A40" s="60">
        <v>45381</v>
      </c>
      <c r="B40" s="41" t="s">
        <v>19</v>
      </c>
      <c r="C40" s="1" t="s">
        <v>38</v>
      </c>
      <c r="D40" s="4">
        <v>57.154999999999994</v>
      </c>
      <c r="E40" s="4">
        <f t="shared" si="0"/>
        <v>934806.2755753427</v>
      </c>
    </row>
    <row r="41" spans="1:5" x14ac:dyDescent="0.2">
      <c r="A41" s="60">
        <v>45381</v>
      </c>
      <c r="B41" s="41" t="s">
        <v>19</v>
      </c>
      <c r="C41" s="1" t="s">
        <v>42</v>
      </c>
      <c r="D41" s="4">
        <v>105</v>
      </c>
      <c r="E41" s="4">
        <f t="shared" si="0"/>
        <v>934911.2755753427</v>
      </c>
    </row>
    <row r="42" spans="1:5" x14ac:dyDescent="0.2">
      <c r="A42" s="60">
        <v>45381</v>
      </c>
      <c r="B42" s="41" t="s">
        <v>19</v>
      </c>
      <c r="C42" s="1" t="s">
        <v>119</v>
      </c>
      <c r="D42" s="4">
        <v>61.93</v>
      </c>
      <c r="E42" s="4">
        <f t="shared" si="0"/>
        <v>934973.20557534276</v>
      </c>
    </row>
    <row r="43" spans="1:5" x14ac:dyDescent="0.2">
      <c r="A43" s="60">
        <v>45381</v>
      </c>
      <c r="B43" s="41" t="s">
        <v>19</v>
      </c>
      <c r="C43" s="1" t="s">
        <v>126</v>
      </c>
      <c r="D43" s="4">
        <v>60</v>
      </c>
      <c r="E43" s="4">
        <f t="shared" si="0"/>
        <v>935033.20557534276</v>
      </c>
    </row>
    <row r="44" spans="1:5" x14ac:dyDescent="0.2">
      <c r="A44" s="60">
        <v>45383</v>
      </c>
      <c r="B44" s="41" t="s">
        <v>19</v>
      </c>
      <c r="C44" s="1" t="s">
        <v>129</v>
      </c>
      <c r="D44" s="4">
        <v>120</v>
      </c>
      <c r="E44" s="4">
        <f t="shared" si="0"/>
        <v>935153.20557534276</v>
      </c>
    </row>
    <row r="45" spans="1:5" x14ac:dyDescent="0.2">
      <c r="A45" s="60">
        <v>45383</v>
      </c>
      <c r="B45" s="41" t="s">
        <v>19</v>
      </c>
      <c r="C45" s="1" t="s">
        <v>20</v>
      </c>
      <c r="D45" s="4">
        <f>E44*0.01*7/365</f>
        <v>179.3444503843123</v>
      </c>
      <c r="E45" s="4">
        <f t="shared" si="0"/>
        <v>935332.55002572702</v>
      </c>
    </row>
    <row r="46" spans="1:5" x14ac:dyDescent="0.2">
      <c r="A46" s="60">
        <v>45384</v>
      </c>
      <c r="B46" s="41" t="s">
        <v>19</v>
      </c>
      <c r="C46" s="1" t="s">
        <v>50</v>
      </c>
      <c r="D46" s="4">
        <v>53.214999999999996</v>
      </c>
      <c r="E46" s="4">
        <f t="shared" si="0"/>
        <v>935385.76502572699</v>
      </c>
    </row>
    <row r="47" spans="1:5" x14ac:dyDescent="0.2">
      <c r="A47" s="60">
        <v>45385</v>
      </c>
      <c r="B47" s="41" t="s">
        <v>21</v>
      </c>
      <c r="C47" s="1" t="s">
        <v>279</v>
      </c>
      <c r="D47" s="4">
        <v>-1991.1952876712328</v>
      </c>
      <c r="E47" s="4">
        <f t="shared" si="0"/>
        <v>933394.5697380557</v>
      </c>
    </row>
    <row r="48" spans="1:5" x14ac:dyDescent="0.2">
      <c r="A48" s="60">
        <v>45385</v>
      </c>
      <c r="B48" s="41" t="s">
        <v>21</v>
      </c>
      <c r="C48" s="1" t="s">
        <v>848</v>
      </c>
      <c r="D48" s="4">
        <v>-1819.4145753424657</v>
      </c>
      <c r="E48" s="4">
        <f t="shared" si="0"/>
        <v>931575.15516271326</v>
      </c>
    </row>
    <row r="49" spans="1:5" x14ac:dyDescent="0.2">
      <c r="A49" s="60">
        <v>45385</v>
      </c>
      <c r="B49" s="41" t="s">
        <v>21</v>
      </c>
      <c r="C49" s="1" t="s">
        <v>272</v>
      </c>
      <c r="D49" s="4">
        <v>-2026.8410958904112</v>
      </c>
      <c r="E49" s="4">
        <f t="shared" si="0"/>
        <v>929548.31406682287</v>
      </c>
    </row>
    <row r="50" spans="1:5" x14ac:dyDescent="0.2">
      <c r="A50" s="60">
        <v>45385</v>
      </c>
      <c r="B50" s="41" t="s">
        <v>21</v>
      </c>
      <c r="C50" s="1" t="s">
        <v>200</v>
      </c>
      <c r="D50" s="4">
        <v>-2020.5243835616438</v>
      </c>
      <c r="E50" s="4">
        <f t="shared" si="0"/>
        <v>927527.78968326119</v>
      </c>
    </row>
    <row r="51" spans="1:5" x14ac:dyDescent="0.2">
      <c r="A51" s="60">
        <v>45385</v>
      </c>
      <c r="B51" s="41" t="s">
        <v>21</v>
      </c>
      <c r="C51" s="1" t="s">
        <v>779</v>
      </c>
      <c r="D51" s="4">
        <v>-1746.0547945205481</v>
      </c>
      <c r="E51" s="4">
        <f t="shared" si="0"/>
        <v>925781.73488874058</v>
      </c>
    </row>
    <row r="52" spans="1:5" x14ac:dyDescent="0.2">
      <c r="A52" s="60">
        <v>45385</v>
      </c>
      <c r="B52" s="41" t="s">
        <v>21</v>
      </c>
      <c r="C52" s="1" t="s">
        <v>720</v>
      </c>
      <c r="D52" s="4">
        <v>-2140.3945205479454</v>
      </c>
      <c r="E52" s="4">
        <f t="shared" si="0"/>
        <v>923641.34036819264</v>
      </c>
    </row>
    <row r="53" spans="1:5" x14ac:dyDescent="0.2">
      <c r="A53" s="60">
        <v>45385</v>
      </c>
      <c r="B53" s="41" t="s">
        <v>21</v>
      </c>
      <c r="C53" s="1" t="s">
        <v>435</v>
      </c>
      <c r="D53" s="4">
        <v>-2020.4696986301367</v>
      </c>
      <c r="E53" s="4">
        <f t="shared" si="0"/>
        <v>921620.87066956249</v>
      </c>
    </row>
    <row r="54" spans="1:5" x14ac:dyDescent="0.2">
      <c r="A54" s="60">
        <v>45385</v>
      </c>
      <c r="B54" s="41" t="s">
        <v>21</v>
      </c>
      <c r="C54" s="1" t="s">
        <v>579</v>
      </c>
      <c r="D54" s="4">
        <v>-2084.4684931506849</v>
      </c>
      <c r="E54" s="4">
        <f t="shared" si="0"/>
        <v>919536.40217641182</v>
      </c>
    </row>
    <row r="55" spans="1:5" x14ac:dyDescent="0.2">
      <c r="A55" s="60">
        <v>45385</v>
      </c>
      <c r="B55" s="41" t="s">
        <v>21</v>
      </c>
      <c r="C55" s="1" t="s">
        <v>182</v>
      </c>
      <c r="D55" s="4">
        <v>-2229.7876712328766</v>
      </c>
      <c r="E55" s="4">
        <f t="shared" si="0"/>
        <v>917306.61450517899</v>
      </c>
    </row>
    <row r="56" spans="1:5" x14ac:dyDescent="0.2">
      <c r="A56" s="60">
        <v>45385</v>
      </c>
      <c r="B56" s="41" t="s">
        <v>21</v>
      </c>
      <c r="C56" s="1" t="s">
        <v>462</v>
      </c>
      <c r="D56" s="4">
        <v>-700.96986301369861</v>
      </c>
      <c r="E56" s="4">
        <f t="shared" si="0"/>
        <v>916605.64464216528</v>
      </c>
    </row>
    <row r="57" spans="1:5" x14ac:dyDescent="0.2">
      <c r="A57" s="60">
        <v>45385</v>
      </c>
      <c r="B57" s="41" t="s">
        <v>21</v>
      </c>
      <c r="C57" s="1" t="s">
        <v>42</v>
      </c>
      <c r="D57" s="4">
        <v>-1981.9013698630138</v>
      </c>
      <c r="E57" s="4">
        <f t="shared" si="0"/>
        <v>914623.74327230232</v>
      </c>
    </row>
    <row r="58" spans="1:5" x14ac:dyDescent="0.2">
      <c r="A58" s="60">
        <v>45385</v>
      </c>
      <c r="B58" s="41" t="s">
        <v>21</v>
      </c>
      <c r="C58" s="1" t="s">
        <v>557</v>
      </c>
      <c r="D58" s="4">
        <v>-788.15068493150682</v>
      </c>
      <c r="E58" s="4">
        <f t="shared" si="0"/>
        <v>913835.59258737077</v>
      </c>
    </row>
    <row r="59" spans="1:5" x14ac:dyDescent="0.2">
      <c r="A59" s="60">
        <v>45385</v>
      </c>
      <c r="B59" s="41" t="s">
        <v>21</v>
      </c>
      <c r="C59" s="1" t="s">
        <v>628</v>
      </c>
      <c r="D59" s="4">
        <v>-2157.682191780822</v>
      </c>
      <c r="E59" s="4">
        <f t="shared" si="0"/>
        <v>911677.91039559001</v>
      </c>
    </row>
    <row r="60" spans="1:5" x14ac:dyDescent="0.2">
      <c r="A60" s="60">
        <v>45385</v>
      </c>
      <c r="B60" s="41" t="s">
        <v>21</v>
      </c>
      <c r="C60" s="1" t="s">
        <v>329</v>
      </c>
      <c r="D60" s="4">
        <v>-2042.1078356164385</v>
      </c>
      <c r="E60" s="4">
        <f t="shared" si="0"/>
        <v>909635.80255997356</v>
      </c>
    </row>
    <row r="61" spans="1:5" x14ac:dyDescent="0.2">
      <c r="A61" s="60">
        <v>45385</v>
      </c>
      <c r="B61" s="41" t="s">
        <v>21</v>
      </c>
      <c r="C61" s="1" t="s">
        <v>331</v>
      </c>
      <c r="D61" s="4">
        <v>-2065.3441643835617</v>
      </c>
      <c r="E61" s="4">
        <f t="shared" si="0"/>
        <v>907570.45839558996</v>
      </c>
    </row>
    <row r="62" spans="1:5" x14ac:dyDescent="0.2">
      <c r="A62" s="60">
        <v>45385</v>
      </c>
      <c r="B62" s="41" t="s">
        <v>21</v>
      </c>
      <c r="C62" s="1" t="s">
        <v>612</v>
      </c>
      <c r="D62" s="4">
        <v>-2224.7397260273974</v>
      </c>
      <c r="E62" s="4">
        <f t="shared" si="0"/>
        <v>905345.7186695626</v>
      </c>
    </row>
    <row r="63" spans="1:5" x14ac:dyDescent="0.2">
      <c r="A63" s="60">
        <v>45385</v>
      </c>
      <c r="B63" s="41" t="s">
        <v>21</v>
      </c>
      <c r="C63" s="1" t="s">
        <v>668</v>
      </c>
      <c r="D63" s="4">
        <v>-2024.3753424657534</v>
      </c>
      <c r="E63" s="4">
        <f t="shared" si="0"/>
        <v>903321.3433270969</v>
      </c>
    </row>
    <row r="64" spans="1:5" x14ac:dyDescent="0.2">
      <c r="A64" s="60">
        <v>45385</v>
      </c>
      <c r="B64" s="41" t="s">
        <v>21</v>
      </c>
      <c r="C64" s="1" t="s">
        <v>663</v>
      </c>
      <c r="D64" s="4">
        <v>-2015.8575342465754</v>
      </c>
      <c r="E64" s="4">
        <f t="shared" si="0"/>
        <v>901305.48579285038</v>
      </c>
    </row>
    <row r="65" spans="1:5" x14ac:dyDescent="0.2">
      <c r="A65" s="60">
        <v>45385</v>
      </c>
      <c r="B65" s="41" t="s">
        <v>21</v>
      </c>
      <c r="C65" s="1" t="s">
        <v>453</v>
      </c>
      <c r="D65" s="4">
        <v>-2081.8630136986303</v>
      </c>
      <c r="E65" s="4">
        <f t="shared" si="0"/>
        <v>899223.62277915177</v>
      </c>
    </row>
    <row r="66" spans="1:5" x14ac:dyDescent="0.2">
      <c r="A66" s="60">
        <v>45385</v>
      </c>
      <c r="B66" s="41" t="s">
        <v>21</v>
      </c>
      <c r="C66" s="1" t="s">
        <v>619</v>
      </c>
      <c r="D66" s="4">
        <v>-1989.2273972602741</v>
      </c>
      <c r="E66" s="4">
        <f t="shared" si="0"/>
        <v>897234.39538189152</v>
      </c>
    </row>
    <row r="67" spans="1:5" x14ac:dyDescent="0.2">
      <c r="A67" s="60">
        <v>45385</v>
      </c>
      <c r="B67" s="41" t="s">
        <v>21</v>
      </c>
      <c r="C67" s="1" t="s">
        <v>197</v>
      </c>
      <c r="D67" s="4">
        <v>-2097.1158356164383</v>
      </c>
      <c r="E67" s="4">
        <f t="shared" si="0"/>
        <v>895137.27954627504</v>
      </c>
    </row>
    <row r="68" spans="1:5" x14ac:dyDescent="0.2">
      <c r="A68" s="60">
        <v>45385</v>
      </c>
      <c r="B68" s="41" t="s">
        <v>21</v>
      </c>
      <c r="C68" s="1" t="s">
        <v>536</v>
      </c>
      <c r="D68" s="4">
        <v>-2132.4299178082192</v>
      </c>
      <c r="E68" s="4">
        <f t="shared" ref="E68:E131" si="1">IF(D68="","",D68+E67)</f>
        <v>893004.84962846676</v>
      </c>
    </row>
    <row r="69" spans="1:5" x14ac:dyDescent="0.2">
      <c r="A69" s="60">
        <v>45385</v>
      </c>
      <c r="B69" s="41" t="s">
        <v>21</v>
      </c>
      <c r="C69" s="1" t="s">
        <v>208</v>
      </c>
      <c r="D69" s="4">
        <v>-2498.9123287671232</v>
      </c>
      <c r="E69" s="4">
        <f t="shared" si="1"/>
        <v>890505.93729969964</v>
      </c>
    </row>
    <row r="70" spans="1:5" x14ac:dyDescent="0.2">
      <c r="A70" s="60">
        <v>45385</v>
      </c>
      <c r="B70" s="41" t="s">
        <v>21</v>
      </c>
      <c r="C70" s="1" t="s">
        <v>336</v>
      </c>
      <c r="D70" s="4">
        <v>-2281.7150684931503</v>
      </c>
      <c r="E70" s="4">
        <f t="shared" si="1"/>
        <v>888224.22223120648</v>
      </c>
    </row>
    <row r="71" spans="1:5" x14ac:dyDescent="0.2">
      <c r="A71" s="60">
        <v>45385</v>
      </c>
      <c r="B71" s="41" t="s">
        <v>21</v>
      </c>
      <c r="C71" s="1" t="s">
        <v>171</v>
      </c>
      <c r="D71" s="4">
        <v>-2256.7917808219177</v>
      </c>
      <c r="E71" s="4">
        <f t="shared" si="1"/>
        <v>885967.43045038462</v>
      </c>
    </row>
    <row r="72" spans="1:5" x14ac:dyDescent="0.2">
      <c r="A72" s="60">
        <v>45385</v>
      </c>
      <c r="B72" s="41" t="s">
        <v>21</v>
      </c>
      <c r="C72" s="1" t="s">
        <v>402</v>
      </c>
      <c r="D72" s="4">
        <v>-1955.9438356164385</v>
      </c>
      <c r="E72" s="4">
        <f t="shared" si="1"/>
        <v>884011.48661476816</v>
      </c>
    </row>
    <row r="73" spans="1:5" x14ac:dyDescent="0.2">
      <c r="A73" s="60">
        <v>45385</v>
      </c>
      <c r="B73" s="41" t="s">
        <v>21</v>
      </c>
      <c r="C73" s="1" t="s">
        <v>672</v>
      </c>
      <c r="D73" s="4">
        <v>-2148.6684931506848</v>
      </c>
      <c r="E73" s="4">
        <f t="shared" si="1"/>
        <v>881862.81812161743</v>
      </c>
    </row>
    <row r="74" spans="1:5" x14ac:dyDescent="0.2">
      <c r="A74" s="60">
        <v>45385</v>
      </c>
      <c r="B74" s="41" t="s">
        <v>21</v>
      </c>
      <c r="C74" s="1" t="s">
        <v>244</v>
      </c>
      <c r="D74" s="4">
        <v>-2236.1369863013697</v>
      </c>
      <c r="E74" s="4">
        <f t="shared" si="1"/>
        <v>879626.68113531603</v>
      </c>
    </row>
    <row r="75" spans="1:5" x14ac:dyDescent="0.2">
      <c r="A75" s="60">
        <v>45385</v>
      </c>
      <c r="B75" s="41" t="s">
        <v>21</v>
      </c>
      <c r="C75" s="1" t="s">
        <v>186</v>
      </c>
      <c r="D75" s="4">
        <v>-2252.4712328767123</v>
      </c>
      <c r="E75" s="4">
        <f t="shared" si="1"/>
        <v>877374.20990243927</v>
      </c>
    </row>
    <row r="76" spans="1:5" x14ac:dyDescent="0.2">
      <c r="A76" s="60">
        <v>45385</v>
      </c>
      <c r="B76" s="41" t="s">
        <v>21</v>
      </c>
      <c r="C76" s="1" t="s">
        <v>233</v>
      </c>
      <c r="D76" s="4">
        <v>-2249.8054794520549</v>
      </c>
      <c r="E76" s="4">
        <f t="shared" si="1"/>
        <v>875124.40442298725</v>
      </c>
    </row>
    <row r="77" spans="1:5" x14ac:dyDescent="0.2">
      <c r="A77" s="60">
        <v>45385</v>
      </c>
      <c r="B77" s="41" t="s">
        <v>21</v>
      </c>
      <c r="C77" s="1" t="s">
        <v>783</v>
      </c>
      <c r="D77" s="4">
        <v>-1748.8698630136985</v>
      </c>
      <c r="E77" s="4">
        <f t="shared" si="1"/>
        <v>873375.53455997352</v>
      </c>
    </row>
    <row r="78" spans="1:5" x14ac:dyDescent="0.2">
      <c r="A78" s="60">
        <v>45385</v>
      </c>
      <c r="B78" s="41" t="s">
        <v>21</v>
      </c>
      <c r="C78" s="1" t="s">
        <v>745</v>
      </c>
      <c r="D78" s="4">
        <v>-2056.5753424657532</v>
      </c>
      <c r="E78" s="4">
        <f t="shared" si="1"/>
        <v>871318.95921750774</v>
      </c>
    </row>
    <row r="79" spans="1:5" x14ac:dyDescent="0.2">
      <c r="A79" s="60">
        <v>45385</v>
      </c>
      <c r="B79" s="41" t="s">
        <v>21</v>
      </c>
      <c r="C79" s="1" t="s">
        <v>60</v>
      </c>
      <c r="D79" s="4">
        <v>-2015.7260273972602</v>
      </c>
      <c r="E79" s="4">
        <f t="shared" si="1"/>
        <v>869303.23319011054</v>
      </c>
    </row>
    <row r="80" spans="1:5" x14ac:dyDescent="0.2">
      <c r="A80" s="60">
        <v>45385</v>
      </c>
      <c r="B80" s="41" t="s">
        <v>21</v>
      </c>
      <c r="C80" s="1" t="s">
        <v>690</v>
      </c>
      <c r="D80" s="4">
        <v>-1639.2534246575342</v>
      </c>
      <c r="E80" s="4">
        <f t="shared" si="1"/>
        <v>867663.97976545303</v>
      </c>
    </row>
    <row r="81" spans="1:5" x14ac:dyDescent="0.2">
      <c r="A81" s="60">
        <v>45385</v>
      </c>
      <c r="B81" s="41" t="s">
        <v>21</v>
      </c>
      <c r="C81" s="1" t="s">
        <v>290</v>
      </c>
      <c r="D81" s="4">
        <v>-2217.5178082191778</v>
      </c>
      <c r="E81" s="4">
        <f t="shared" si="1"/>
        <v>865446.46195723384</v>
      </c>
    </row>
    <row r="82" spans="1:5" x14ac:dyDescent="0.2">
      <c r="A82" s="60">
        <v>45385</v>
      </c>
      <c r="B82" s="41" t="s">
        <v>21</v>
      </c>
      <c r="C82" s="1" t="s">
        <v>429</v>
      </c>
      <c r="D82" s="4">
        <v>-902.22164383561642</v>
      </c>
      <c r="E82" s="4">
        <f t="shared" si="1"/>
        <v>864544.24031339819</v>
      </c>
    </row>
    <row r="83" spans="1:5" x14ac:dyDescent="0.2">
      <c r="A83" s="60">
        <v>45385</v>
      </c>
      <c r="B83" s="41" t="s">
        <v>21</v>
      </c>
      <c r="C83" s="1" t="s">
        <v>811</v>
      </c>
      <c r="D83" s="4">
        <v>-2069.8383561643836</v>
      </c>
      <c r="E83" s="4">
        <f t="shared" si="1"/>
        <v>862474.40195723379</v>
      </c>
    </row>
    <row r="84" spans="1:5" x14ac:dyDescent="0.2">
      <c r="A84" s="60">
        <v>45385</v>
      </c>
      <c r="B84" s="41" t="s">
        <v>21</v>
      </c>
      <c r="C84" s="1" t="s">
        <v>573</v>
      </c>
      <c r="D84" s="4">
        <v>-1876.9150684931506</v>
      </c>
      <c r="E84" s="4">
        <f t="shared" si="1"/>
        <v>860597.48688874068</v>
      </c>
    </row>
    <row r="85" spans="1:5" x14ac:dyDescent="0.2">
      <c r="A85" s="60">
        <v>45385</v>
      </c>
      <c r="B85" s="41" t="s">
        <v>21</v>
      </c>
      <c r="C85" s="1" t="s">
        <v>754</v>
      </c>
      <c r="D85" s="4">
        <v>-1979.1123287671232</v>
      </c>
      <c r="E85" s="4">
        <f t="shared" si="1"/>
        <v>858618.3745599736</v>
      </c>
    </row>
    <row r="86" spans="1:5" x14ac:dyDescent="0.2">
      <c r="A86" s="60">
        <v>45385</v>
      </c>
      <c r="B86" s="41" t="s">
        <v>21</v>
      </c>
      <c r="C86" s="1" t="s">
        <v>399</v>
      </c>
      <c r="D86" s="4">
        <v>-2125.5945205479447</v>
      </c>
      <c r="E86" s="4">
        <f t="shared" si="1"/>
        <v>856492.78003942571</v>
      </c>
    </row>
    <row r="87" spans="1:5" x14ac:dyDescent="0.2">
      <c r="A87" s="60">
        <v>45385</v>
      </c>
      <c r="B87" s="41" t="s">
        <v>21</v>
      </c>
      <c r="C87" s="1" t="s">
        <v>365</v>
      </c>
      <c r="D87" s="4">
        <v>-2039.5761095890414</v>
      </c>
      <c r="E87" s="4">
        <f t="shared" si="1"/>
        <v>854453.20392983663</v>
      </c>
    </row>
    <row r="88" spans="1:5" x14ac:dyDescent="0.2">
      <c r="A88" s="60">
        <v>45385</v>
      </c>
      <c r="B88" s="41" t="s">
        <v>21</v>
      </c>
      <c r="C88" s="1" t="s">
        <v>420</v>
      </c>
      <c r="D88" s="4">
        <v>-2037.1635068493147</v>
      </c>
      <c r="E88" s="4">
        <f t="shared" si="1"/>
        <v>852416.04042298731</v>
      </c>
    </row>
    <row r="89" spans="1:5" x14ac:dyDescent="0.2">
      <c r="A89" s="60">
        <v>45385</v>
      </c>
      <c r="B89" s="41" t="s">
        <v>21</v>
      </c>
      <c r="C89" s="1" t="s">
        <v>227</v>
      </c>
      <c r="D89" s="4">
        <v>-2019.1780821917807</v>
      </c>
      <c r="E89" s="4">
        <f t="shared" si="1"/>
        <v>850396.86234079557</v>
      </c>
    </row>
    <row r="90" spans="1:5" x14ac:dyDescent="0.2">
      <c r="A90" s="60">
        <v>45385</v>
      </c>
      <c r="B90" s="41" t="s">
        <v>21</v>
      </c>
      <c r="C90" s="1" t="s">
        <v>532</v>
      </c>
      <c r="D90" s="4">
        <v>-2026.1876712328765</v>
      </c>
      <c r="E90" s="4">
        <f t="shared" si="1"/>
        <v>848370.67466956272</v>
      </c>
    </row>
    <row r="91" spans="1:5" x14ac:dyDescent="0.2">
      <c r="A91" s="60">
        <v>45385</v>
      </c>
      <c r="B91" s="41" t="s">
        <v>21</v>
      </c>
      <c r="C91" s="1" t="s">
        <v>311</v>
      </c>
      <c r="D91" s="4">
        <v>-1938.167671232877</v>
      </c>
      <c r="E91" s="4">
        <f t="shared" si="1"/>
        <v>846432.50699832989</v>
      </c>
    </row>
    <row r="92" spans="1:5" x14ac:dyDescent="0.2">
      <c r="A92" s="60">
        <v>45385</v>
      </c>
      <c r="B92" s="41" t="s">
        <v>21</v>
      </c>
      <c r="C92" s="1" t="s">
        <v>514</v>
      </c>
      <c r="D92" s="4">
        <v>-1853.2164383561642</v>
      </c>
      <c r="E92" s="4">
        <f t="shared" si="1"/>
        <v>844579.29055997368</v>
      </c>
    </row>
    <row r="93" spans="1:5" x14ac:dyDescent="0.2">
      <c r="A93" s="60">
        <v>45385</v>
      </c>
      <c r="B93" s="41" t="s">
        <v>21</v>
      </c>
      <c r="C93" s="1" t="s">
        <v>362</v>
      </c>
      <c r="D93" s="4">
        <v>-2046.553315068493</v>
      </c>
      <c r="E93" s="4">
        <f t="shared" si="1"/>
        <v>842532.73724490521</v>
      </c>
    </row>
    <row r="94" spans="1:5" x14ac:dyDescent="0.2">
      <c r="A94" s="60">
        <v>45385</v>
      </c>
      <c r="B94" s="41" t="s">
        <v>21</v>
      </c>
      <c r="C94" s="1" t="s">
        <v>213</v>
      </c>
      <c r="D94" s="4">
        <v>-2158.201369863014</v>
      </c>
      <c r="E94" s="4">
        <f t="shared" si="1"/>
        <v>840374.5358750422</v>
      </c>
    </row>
    <row r="95" spans="1:5" x14ac:dyDescent="0.2">
      <c r="A95" s="60">
        <v>45385</v>
      </c>
      <c r="B95" s="41" t="s">
        <v>21</v>
      </c>
      <c r="C95" s="1" t="s">
        <v>776</v>
      </c>
      <c r="D95" s="4">
        <v>-2031.4602739726026</v>
      </c>
      <c r="E95" s="4">
        <f t="shared" si="1"/>
        <v>838343.07560106961</v>
      </c>
    </row>
    <row r="96" spans="1:5" x14ac:dyDescent="0.2">
      <c r="A96" s="60">
        <v>45385</v>
      </c>
      <c r="B96" s="41" t="s">
        <v>21</v>
      </c>
      <c r="C96" s="1" t="s">
        <v>191</v>
      </c>
      <c r="D96" s="4">
        <v>-1036.0109589041097</v>
      </c>
      <c r="E96" s="4">
        <f t="shared" si="1"/>
        <v>837307.06464216544</v>
      </c>
    </row>
    <row r="97" spans="1:5" x14ac:dyDescent="0.2">
      <c r="A97" s="60">
        <v>45385</v>
      </c>
      <c r="B97" s="41" t="s">
        <v>21</v>
      </c>
      <c r="C97" s="1" t="s">
        <v>396</v>
      </c>
      <c r="D97" s="4">
        <v>-1967.4395616438355</v>
      </c>
      <c r="E97" s="4">
        <f t="shared" si="1"/>
        <v>835339.62508052157</v>
      </c>
    </row>
    <row r="98" spans="1:5" x14ac:dyDescent="0.2">
      <c r="A98" s="60">
        <v>45385</v>
      </c>
      <c r="B98" s="41" t="s">
        <v>21</v>
      </c>
      <c r="C98" s="1" t="s">
        <v>688</v>
      </c>
      <c r="D98" s="4">
        <v>-1604.3561643835617</v>
      </c>
      <c r="E98" s="4">
        <f t="shared" si="1"/>
        <v>833735.26891613798</v>
      </c>
    </row>
    <row r="99" spans="1:5" x14ac:dyDescent="0.2">
      <c r="A99" s="60">
        <v>45385</v>
      </c>
      <c r="B99" s="41" t="s">
        <v>21</v>
      </c>
      <c r="C99" s="1" t="s">
        <v>688</v>
      </c>
      <c r="D99" s="4">
        <v>-1765.864383561644</v>
      </c>
      <c r="E99" s="4">
        <f t="shared" si="1"/>
        <v>831969.40453257633</v>
      </c>
    </row>
    <row r="100" spans="1:5" x14ac:dyDescent="0.2">
      <c r="A100" s="60">
        <v>45385</v>
      </c>
      <c r="B100" s="41" t="s">
        <v>21</v>
      </c>
      <c r="C100" s="1" t="s">
        <v>359</v>
      </c>
      <c r="D100" s="4">
        <v>-1933.830904109589</v>
      </c>
      <c r="E100" s="4">
        <f t="shared" si="1"/>
        <v>830035.57362846669</v>
      </c>
    </row>
    <row r="101" spans="1:5" x14ac:dyDescent="0.2">
      <c r="A101" s="60">
        <v>45385</v>
      </c>
      <c r="B101" s="41" t="s">
        <v>21</v>
      </c>
      <c r="C101" s="1" t="s">
        <v>384</v>
      </c>
      <c r="D101" s="4">
        <v>-2228.9945205479453</v>
      </c>
      <c r="E101" s="4">
        <f t="shared" si="1"/>
        <v>827806.57910791878</v>
      </c>
    </row>
    <row r="102" spans="1:5" x14ac:dyDescent="0.2">
      <c r="A102" s="60">
        <v>45385</v>
      </c>
      <c r="B102" s="41" t="s">
        <v>21</v>
      </c>
      <c r="C102" s="1" t="s">
        <v>393</v>
      </c>
      <c r="D102" s="4">
        <v>-2021.6328767123287</v>
      </c>
      <c r="E102" s="4">
        <f t="shared" si="1"/>
        <v>825784.94623120641</v>
      </c>
    </row>
    <row r="103" spans="1:5" x14ac:dyDescent="0.2">
      <c r="A103" s="60">
        <v>45385</v>
      </c>
      <c r="B103" s="41" t="s">
        <v>21</v>
      </c>
      <c r="C103" s="1" t="s">
        <v>459</v>
      </c>
      <c r="D103" s="4">
        <v>-2098.6438356164385</v>
      </c>
      <c r="E103" s="4">
        <f t="shared" si="1"/>
        <v>823686.30239559</v>
      </c>
    </row>
    <row r="104" spans="1:5" x14ac:dyDescent="0.2">
      <c r="A104" s="60">
        <v>45385</v>
      </c>
      <c r="B104" s="41" t="s">
        <v>21</v>
      </c>
      <c r="C104" s="1" t="s">
        <v>353</v>
      </c>
      <c r="D104" s="4">
        <v>-2014.0471232876712</v>
      </c>
      <c r="E104" s="4">
        <f t="shared" si="1"/>
        <v>821672.25527230231</v>
      </c>
    </row>
    <row r="105" spans="1:5" x14ac:dyDescent="0.2">
      <c r="A105" s="60">
        <v>45385</v>
      </c>
      <c r="B105" s="41" t="s">
        <v>21</v>
      </c>
      <c r="C105" s="1" t="s">
        <v>447</v>
      </c>
      <c r="D105" s="4">
        <v>-2088.4383561643835</v>
      </c>
      <c r="E105" s="4">
        <f t="shared" si="1"/>
        <v>819583.81691613793</v>
      </c>
    </row>
    <row r="106" spans="1:5" x14ac:dyDescent="0.2">
      <c r="A106" s="60">
        <v>45385</v>
      </c>
      <c r="B106" s="41" t="s">
        <v>21</v>
      </c>
      <c r="C106" s="1" t="s">
        <v>548</v>
      </c>
      <c r="D106" s="4">
        <v>-2182.8767123287671</v>
      </c>
      <c r="E106" s="4">
        <f t="shared" si="1"/>
        <v>817400.94020380918</v>
      </c>
    </row>
    <row r="107" spans="1:5" x14ac:dyDescent="0.2">
      <c r="A107" s="60">
        <v>45385</v>
      </c>
      <c r="B107" s="41" t="s">
        <v>21</v>
      </c>
      <c r="C107" s="1" t="s">
        <v>560</v>
      </c>
      <c r="D107" s="4">
        <v>-2620.9671232876717</v>
      </c>
      <c r="E107" s="4">
        <f t="shared" si="1"/>
        <v>814779.97308052145</v>
      </c>
    </row>
    <row r="108" spans="1:5" x14ac:dyDescent="0.2">
      <c r="A108" s="60">
        <v>45385</v>
      </c>
      <c r="B108" s="41" t="s">
        <v>21</v>
      </c>
      <c r="C108" s="1" t="s">
        <v>796</v>
      </c>
      <c r="D108" s="4">
        <v>-2441.4219178082194</v>
      </c>
      <c r="E108" s="4">
        <f t="shared" si="1"/>
        <v>812338.55116271321</v>
      </c>
    </row>
    <row r="109" spans="1:5" x14ac:dyDescent="0.2">
      <c r="A109" s="60">
        <v>45385</v>
      </c>
      <c r="B109" s="41" t="s">
        <v>21</v>
      </c>
      <c r="C109" s="1" t="s">
        <v>736</v>
      </c>
      <c r="D109" s="4">
        <v>-2031.3424657534247</v>
      </c>
      <c r="E109" s="4">
        <f t="shared" si="1"/>
        <v>810307.20869695977</v>
      </c>
    </row>
    <row r="110" spans="1:5" x14ac:dyDescent="0.2">
      <c r="A110" s="60">
        <v>45385</v>
      </c>
      <c r="B110" s="41" t="s">
        <v>21</v>
      </c>
      <c r="C110" s="1" t="s">
        <v>866</v>
      </c>
      <c r="D110" s="4">
        <v>-2078.8191780821917</v>
      </c>
      <c r="E110" s="4">
        <f t="shared" si="1"/>
        <v>808228.38951887761</v>
      </c>
    </row>
    <row r="111" spans="1:5" x14ac:dyDescent="0.2">
      <c r="A111" s="60">
        <v>45385</v>
      </c>
      <c r="B111" s="41" t="s">
        <v>21</v>
      </c>
      <c r="C111" s="1" t="s">
        <v>378</v>
      </c>
      <c r="D111" s="4">
        <v>-1248.0027397260276</v>
      </c>
      <c r="E111" s="4">
        <f t="shared" si="1"/>
        <v>806980.38677915162</v>
      </c>
    </row>
    <row r="112" spans="1:5" x14ac:dyDescent="0.2">
      <c r="A112" s="60">
        <v>45385</v>
      </c>
      <c r="B112" s="41" t="s">
        <v>21</v>
      </c>
      <c r="C112" s="1" t="s">
        <v>194</v>
      </c>
      <c r="D112" s="4">
        <v>-2171.9424657534246</v>
      </c>
      <c r="E112" s="4">
        <f t="shared" si="1"/>
        <v>804808.44431339821</v>
      </c>
    </row>
    <row r="113" spans="1:5" x14ac:dyDescent="0.2">
      <c r="A113" s="60">
        <v>45385</v>
      </c>
      <c r="B113" s="41" t="s">
        <v>21</v>
      </c>
      <c r="C113" s="1" t="s">
        <v>71</v>
      </c>
      <c r="D113" s="4">
        <v>-1904.4520547945206</v>
      </c>
      <c r="E113" s="4">
        <f t="shared" si="1"/>
        <v>802903.99225860368</v>
      </c>
    </row>
    <row r="114" spans="1:5" x14ac:dyDescent="0.2">
      <c r="A114" s="60">
        <v>45385</v>
      </c>
      <c r="B114" s="41" t="s">
        <v>21</v>
      </c>
      <c r="C114" s="1" t="s">
        <v>522</v>
      </c>
      <c r="D114" s="4">
        <v>-1974.3424657534249</v>
      </c>
      <c r="E114" s="4">
        <f t="shared" si="1"/>
        <v>800929.64979285025</v>
      </c>
    </row>
    <row r="115" spans="1:5" x14ac:dyDescent="0.2">
      <c r="A115" s="60">
        <v>45385</v>
      </c>
      <c r="B115" s="41" t="s">
        <v>21</v>
      </c>
      <c r="C115" s="1" t="s">
        <v>820</v>
      </c>
      <c r="D115" s="4">
        <v>-2553.9520547945203</v>
      </c>
      <c r="E115" s="4">
        <f t="shared" si="1"/>
        <v>798375.69773805572</v>
      </c>
    </row>
    <row r="116" spans="1:5" x14ac:dyDescent="0.2">
      <c r="A116" s="60">
        <v>45385</v>
      </c>
      <c r="B116" s="41" t="s">
        <v>21</v>
      </c>
      <c r="C116" s="1" t="s">
        <v>417</v>
      </c>
      <c r="D116" s="4">
        <v>-2016.4612602739724</v>
      </c>
      <c r="E116" s="4">
        <f t="shared" si="1"/>
        <v>796359.23647778179</v>
      </c>
    </row>
    <row r="117" spans="1:5" x14ac:dyDescent="0.2">
      <c r="A117" s="60">
        <v>45385</v>
      </c>
      <c r="B117" s="41" t="s">
        <v>21</v>
      </c>
      <c r="C117" s="1" t="s">
        <v>450</v>
      </c>
      <c r="D117" s="4">
        <v>-2074.1369863013697</v>
      </c>
      <c r="E117" s="4">
        <f t="shared" si="1"/>
        <v>794285.09949148039</v>
      </c>
    </row>
    <row r="118" spans="1:5" x14ac:dyDescent="0.2">
      <c r="A118" s="60">
        <v>45385</v>
      </c>
      <c r="B118" s="41" t="s">
        <v>21</v>
      </c>
      <c r="C118" s="1" t="s">
        <v>693</v>
      </c>
      <c r="D118" s="4">
        <v>-2071.9575342465755</v>
      </c>
      <c r="E118" s="4">
        <f t="shared" si="1"/>
        <v>792213.14195723378</v>
      </c>
    </row>
    <row r="119" spans="1:5" x14ac:dyDescent="0.2">
      <c r="A119" s="60">
        <v>45385</v>
      </c>
      <c r="B119" s="41" t="s">
        <v>21</v>
      </c>
      <c r="C119" s="1" t="s">
        <v>230</v>
      </c>
      <c r="D119" s="4">
        <v>-1882.1917808219177</v>
      </c>
      <c r="E119" s="4">
        <f t="shared" si="1"/>
        <v>790330.95017641189</v>
      </c>
    </row>
    <row r="120" spans="1:5" x14ac:dyDescent="0.2">
      <c r="A120" s="60">
        <v>45385</v>
      </c>
      <c r="B120" s="41" t="s">
        <v>21</v>
      </c>
      <c r="C120" s="1" t="s">
        <v>495</v>
      </c>
      <c r="D120" s="4">
        <v>-2127.4657534246576</v>
      </c>
      <c r="E120" s="4">
        <f t="shared" si="1"/>
        <v>788203.48442298721</v>
      </c>
    </row>
    <row r="121" spans="1:5" x14ac:dyDescent="0.2">
      <c r="A121" s="60">
        <v>45385</v>
      </c>
      <c r="B121" s="41" t="s">
        <v>21</v>
      </c>
      <c r="C121" s="1" t="s">
        <v>205</v>
      </c>
      <c r="D121" s="4">
        <v>-2195.9739726027397</v>
      </c>
      <c r="E121" s="4">
        <f t="shared" si="1"/>
        <v>786007.51045038446</v>
      </c>
    </row>
    <row r="122" spans="1:5" x14ac:dyDescent="0.2">
      <c r="A122" s="60">
        <v>45385</v>
      </c>
      <c r="B122" s="41" t="s">
        <v>21</v>
      </c>
      <c r="C122" s="1" t="s">
        <v>682</v>
      </c>
      <c r="D122" s="4">
        <v>-2031.3352876712331</v>
      </c>
      <c r="E122" s="4">
        <f t="shared" si="1"/>
        <v>783976.17516271328</v>
      </c>
    </row>
    <row r="123" spans="1:5" x14ac:dyDescent="0.2">
      <c r="A123" s="60">
        <v>45385</v>
      </c>
      <c r="B123" s="41" t="s">
        <v>21</v>
      </c>
      <c r="C123" s="1" t="s">
        <v>254</v>
      </c>
      <c r="D123" s="4">
        <v>-1096.3013698630136</v>
      </c>
      <c r="E123" s="4">
        <f t="shared" si="1"/>
        <v>782879.8737928503</v>
      </c>
    </row>
    <row r="124" spans="1:5" x14ac:dyDescent="0.2">
      <c r="A124" s="60">
        <v>45385</v>
      </c>
      <c r="B124" s="41" t="s">
        <v>21</v>
      </c>
      <c r="C124" s="1" t="s">
        <v>236</v>
      </c>
      <c r="D124" s="4">
        <v>-2329.6054794520551</v>
      </c>
      <c r="E124" s="4">
        <f t="shared" si="1"/>
        <v>780550.26831339824</v>
      </c>
    </row>
    <row r="125" spans="1:5" x14ac:dyDescent="0.2">
      <c r="A125" s="60">
        <v>45385</v>
      </c>
      <c r="B125" s="41" t="s">
        <v>21</v>
      </c>
      <c r="C125" s="1" t="s">
        <v>714</v>
      </c>
      <c r="D125" s="4">
        <v>-2185.3452054794516</v>
      </c>
      <c r="E125" s="4">
        <f t="shared" si="1"/>
        <v>778364.92310791882</v>
      </c>
    </row>
    <row r="126" spans="1:5" x14ac:dyDescent="0.2">
      <c r="A126" s="60">
        <v>45385</v>
      </c>
      <c r="B126" s="41" t="s">
        <v>21</v>
      </c>
      <c r="C126" s="1" t="s">
        <v>74</v>
      </c>
      <c r="D126" s="4">
        <v>-1984.1728219178081</v>
      </c>
      <c r="E126" s="4">
        <f t="shared" si="1"/>
        <v>776380.75028600101</v>
      </c>
    </row>
    <row r="127" spans="1:5" x14ac:dyDescent="0.2">
      <c r="A127" s="60">
        <v>45385</v>
      </c>
      <c r="B127" s="41" t="s">
        <v>21</v>
      </c>
      <c r="C127" s="1" t="s">
        <v>802</v>
      </c>
      <c r="D127" s="4">
        <v>-701.71232876712327</v>
      </c>
      <c r="E127" s="4">
        <f t="shared" si="1"/>
        <v>775679.03795723384</v>
      </c>
    </row>
    <row r="128" spans="1:5" x14ac:dyDescent="0.2">
      <c r="A128" s="60">
        <v>45385</v>
      </c>
      <c r="B128" s="41" t="s">
        <v>21</v>
      </c>
      <c r="C128" s="1" t="s">
        <v>269</v>
      </c>
      <c r="D128" s="4">
        <v>-2133.2246575342465</v>
      </c>
      <c r="E128" s="4">
        <f t="shared" si="1"/>
        <v>773545.81329969957</v>
      </c>
    </row>
    <row r="129" spans="1:5" x14ac:dyDescent="0.2">
      <c r="A129" s="60">
        <v>45385</v>
      </c>
      <c r="B129" s="41" t="s">
        <v>21</v>
      </c>
      <c r="C129" s="1" t="s">
        <v>595</v>
      </c>
      <c r="D129" s="4">
        <v>-1820.8493150684931</v>
      </c>
      <c r="E129" s="4">
        <f t="shared" si="1"/>
        <v>771724.96398463112</v>
      </c>
    </row>
    <row r="130" spans="1:5" x14ac:dyDescent="0.2">
      <c r="A130" s="60">
        <v>45385</v>
      </c>
      <c r="B130" s="41" t="s">
        <v>21</v>
      </c>
      <c r="C130" s="1" t="s">
        <v>477</v>
      </c>
      <c r="D130" s="4">
        <v>-2007.8025205479455</v>
      </c>
      <c r="E130" s="4">
        <f t="shared" si="1"/>
        <v>769717.16146408312</v>
      </c>
    </row>
    <row r="131" spans="1:5" x14ac:dyDescent="0.2">
      <c r="A131" s="60">
        <v>45385</v>
      </c>
      <c r="B131" s="41" t="s">
        <v>21</v>
      </c>
      <c r="C131" s="1" t="s">
        <v>742</v>
      </c>
      <c r="D131" s="4">
        <v>-2077.6164383561645</v>
      </c>
      <c r="E131" s="4">
        <f t="shared" si="1"/>
        <v>767639.54502572701</v>
      </c>
    </row>
    <row r="132" spans="1:5" x14ac:dyDescent="0.2">
      <c r="A132" s="60">
        <v>45385</v>
      </c>
      <c r="B132" s="41" t="s">
        <v>21</v>
      </c>
      <c r="C132" s="1" t="s">
        <v>580</v>
      </c>
      <c r="D132" s="4">
        <v>-2076.4520547945199</v>
      </c>
      <c r="E132" s="4">
        <f t="shared" ref="E132:E195" si="2">IF(D132="","",D132+E131)</f>
        <v>765563.09297093248</v>
      </c>
    </row>
    <row r="133" spans="1:5" x14ac:dyDescent="0.2">
      <c r="A133" s="60">
        <v>45385</v>
      </c>
      <c r="B133" s="41" t="s">
        <v>21</v>
      </c>
      <c r="C133" s="1" t="s">
        <v>872</v>
      </c>
      <c r="D133" s="4">
        <v>-2068.0575342465754</v>
      </c>
      <c r="E133" s="4">
        <f t="shared" si="2"/>
        <v>763495.0354366859</v>
      </c>
    </row>
    <row r="134" spans="1:5" x14ac:dyDescent="0.2">
      <c r="A134" s="60">
        <v>45385</v>
      </c>
      <c r="B134" s="41" t="s">
        <v>21</v>
      </c>
      <c r="C134" s="1" t="s">
        <v>826</v>
      </c>
      <c r="D134" s="4">
        <v>-2260.3397260273978</v>
      </c>
      <c r="E134" s="4">
        <f t="shared" si="2"/>
        <v>761234.69571065845</v>
      </c>
    </row>
    <row r="135" spans="1:5" x14ac:dyDescent="0.2">
      <c r="A135" s="60">
        <v>45385</v>
      </c>
      <c r="B135" s="41" t="s">
        <v>21</v>
      </c>
      <c r="C135" s="1" t="s">
        <v>607</v>
      </c>
      <c r="D135" s="4">
        <v>-2140.0986301369862</v>
      </c>
      <c r="E135" s="4">
        <f t="shared" si="2"/>
        <v>759094.5970805214</v>
      </c>
    </row>
    <row r="136" spans="1:5" x14ac:dyDescent="0.2">
      <c r="A136" s="60">
        <v>45385</v>
      </c>
      <c r="B136" s="41" t="s">
        <v>21</v>
      </c>
      <c r="C136" s="1" t="s">
        <v>84</v>
      </c>
      <c r="D136" s="4">
        <v>-1413.3589041095888</v>
      </c>
      <c r="E136" s="4">
        <f t="shared" si="2"/>
        <v>757681.23817641183</v>
      </c>
    </row>
    <row r="137" spans="1:5" x14ac:dyDescent="0.2">
      <c r="A137" s="60">
        <v>45385</v>
      </c>
      <c r="B137" s="41" t="s">
        <v>21</v>
      </c>
      <c r="C137" s="1" t="s">
        <v>242</v>
      </c>
      <c r="D137" s="4">
        <v>-1978.1240547945204</v>
      </c>
      <c r="E137" s="4">
        <f t="shared" si="2"/>
        <v>755703.11412161728</v>
      </c>
    </row>
    <row r="138" spans="1:5" x14ac:dyDescent="0.2">
      <c r="A138" s="60">
        <v>45385</v>
      </c>
      <c r="B138" s="41" t="s">
        <v>21</v>
      </c>
      <c r="C138" s="1" t="s">
        <v>344</v>
      </c>
      <c r="D138" s="4">
        <v>-1967.0820821917807</v>
      </c>
      <c r="E138" s="4">
        <f t="shared" si="2"/>
        <v>753736.03203942545</v>
      </c>
    </row>
    <row r="139" spans="1:5" x14ac:dyDescent="0.2">
      <c r="A139" s="60">
        <v>45385</v>
      </c>
      <c r="B139" s="41" t="s">
        <v>21</v>
      </c>
      <c r="C139" s="1" t="s">
        <v>480</v>
      </c>
      <c r="D139" s="4">
        <v>-2037.4455890410961</v>
      </c>
      <c r="E139" s="4">
        <f t="shared" si="2"/>
        <v>751698.58645038435</v>
      </c>
    </row>
    <row r="140" spans="1:5" x14ac:dyDescent="0.2">
      <c r="A140" s="60">
        <v>45385</v>
      </c>
      <c r="B140" s="41" t="s">
        <v>21</v>
      </c>
      <c r="C140" s="1" t="s">
        <v>221</v>
      </c>
      <c r="D140" s="4">
        <v>-1850.7698630136986</v>
      </c>
      <c r="E140" s="4">
        <f t="shared" si="2"/>
        <v>749847.8165873707</v>
      </c>
    </row>
    <row r="141" spans="1:5" x14ac:dyDescent="0.2">
      <c r="A141" s="60">
        <v>45385</v>
      </c>
      <c r="B141" s="41" t="s">
        <v>21</v>
      </c>
      <c r="C141" s="1" t="s">
        <v>739</v>
      </c>
      <c r="D141" s="4">
        <v>-1901.3150684931506</v>
      </c>
      <c r="E141" s="4">
        <f t="shared" si="2"/>
        <v>747946.50151887757</v>
      </c>
    </row>
    <row r="142" spans="1:5" x14ac:dyDescent="0.2">
      <c r="A142" s="60">
        <v>45385</v>
      </c>
      <c r="B142" s="41" t="s">
        <v>21</v>
      </c>
      <c r="C142" s="1" t="s">
        <v>492</v>
      </c>
      <c r="D142" s="4">
        <v>-2303.6369863013697</v>
      </c>
      <c r="E142" s="4">
        <f t="shared" si="2"/>
        <v>745642.86453257618</v>
      </c>
    </row>
    <row r="143" spans="1:5" x14ac:dyDescent="0.2">
      <c r="A143" s="60">
        <v>45385</v>
      </c>
      <c r="B143" s="41" t="s">
        <v>21</v>
      </c>
      <c r="C143" s="1" t="s">
        <v>717</v>
      </c>
      <c r="D143" s="4">
        <v>-2158.5808219178084</v>
      </c>
      <c r="E143" s="4">
        <f t="shared" si="2"/>
        <v>743484.28371065832</v>
      </c>
    </row>
    <row r="144" spans="1:5" x14ac:dyDescent="0.2">
      <c r="A144" s="60">
        <v>45385</v>
      </c>
      <c r="B144" s="41" t="s">
        <v>21</v>
      </c>
      <c r="C144" s="1" t="s">
        <v>542</v>
      </c>
      <c r="D144" s="4">
        <v>-1683.972602739726</v>
      </c>
      <c r="E144" s="4">
        <f t="shared" si="2"/>
        <v>741800.31110791862</v>
      </c>
    </row>
    <row r="145" spans="1:5" x14ac:dyDescent="0.2">
      <c r="A145" s="60">
        <v>45385</v>
      </c>
      <c r="B145" s="41" t="s">
        <v>21</v>
      </c>
      <c r="C145" s="1" t="s">
        <v>217</v>
      </c>
      <c r="D145" s="4">
        <v>-2430.1232876712329</v>
      </c>
      <c r="E145" s="4">
        <f t="shared" si="2"/>
        <v>739370.18782024737</v>
      </c>
    </row>
    <row r="146" spans="1:5" x14ac:dyDescent="0.2">
      <c r="A146" s="60">
        <v>45385</v>
      </c>
      <c r="B146" s="41" t="s">
        <v>21</v>
      </c>
      <c r="C146" s="1" t="s">
        <v>551</v>
      </c>
      <c r="D146" s="4">
        <v>-1954.3013698630139</v>
      </c>
      <c r="E146" s="4">
        <f t="shared" si="2"/>
        <v>737415.88645038439</v>
      </c>
    </row>
    <row r="147" spans="1:5" x14ac:dyDescent="0.2">
      <c r="A147" s="60">
        <v>45385</v>
      </c>
      <c r="B147" s="41" t="s">
        <v>21</v>
      </c>
      <c r="C147" s="1" t="s">
        <v>660</v>
      </c>
      <c r="D147" s="4">
        <v>-2252.4109589041095</v>
      </c>
      <c r="E147" s="4">
        <f t="shared" si="2"/>
        <v>735163.47549148032</v>
      </c>
    </row>
    <row r="148" spans="1:5" x14ac:dyDescent="0.2">
      <c r="A148" s="60">
        <v>45385</v>
      </c>
      <c r="B148" s="41" t="s">
        <v>21</v>
      </c>
      <c r="C148" s="1" t="s">
        <v>326</v>
      </c>
      <c r="D148" s="4">
        <v>-2087.3698630136992</v>
      </c>
      <c r="E148" s="4">
        <f t="shared" si="2"/>
        <v>733076.10562846658</v>
      </c>
    </row>
    <row r="149" spans="1:5" x14ac:dyDescent="0.2">
      <c r="A149" s="60">
        <v>45385</v>
      </c>
      <c r="B149" s="41" t="s">
        <v>21</v>
      </c>
      <c r="C149" s="1" t="s">
        <v>835</v>
      </c>
      <c r="D149" s="4">
        <v>-2010.8493150684931</v>
      </c>
      <c r="E149" s="4">
        <f t="shared" si="2"/>
        <v>731065.25631339813</v>
      </c>
    </row>
    <row r="150" spans="1:5" x14ac:dyDescent="0.2">
      <c r="A150" s="60">
        <v>45385</v>
      </c>
      <c r="B150" s="41" t="s">
        <v>21</v>
      </c>
      <c r="C150" s="1" t="s">
        <v>293</v>
      </c>
      <c r="D150" s="4">
        <v>-2128.5821917808221</v>
      </c>
      <c r="E150" s="4">
        <f t="shared" si="2"/>
        <v>728936.67412161734</v>
      </c>
    </row>
    <row r="151" spans="1:5" x14ac:dyDescent="0.2">
      <c r="A151" s="60">
        <v>45385</v>
      </c>
      <c r="B151" s="41" t="s">
        <v>21</v>
      </c>
      <c r="C151" s="1" t="s">
        <v>838</v>
      </c>
      <c r="D151" s="4">
        <v>-792.05479452054783</v>
      </c>
      <c r="E151" s="4">
        <f t="shared" si="2"/>
        <v>728144.61932709673</v>
      </c>
    </row>
    <row r="152" spans="1:5" x14ac:dyDescent="0.2">
      <c r="A152" s="60">
        <v>45385</v>
      </c>
      <c r="B152" s="41" t="s">
        <v>21</v>
      </c>
      <c r="C152" s="1" t="s">
        <v>287</v>
      </c>
      <c r="D152" s="4">
        <v>-2030.1259178082191</v>
      </c>
      <c r="E152" s="4">
        <f t="shared" si="2"/>
        <v>726114.49340928847</v>
      </c>
    </row>
    <row r="153" spans="1:5" x14ac:dyDescent="0.2">
      <c r="A153" s="60">
        <v>45385</v>
      </c>
      <c r="B153" s="41" t="s">
        <v>21</v>
      </c>
      <c r="C153" s="1" t="s">
        <v>262</v>
      </c>
      <c r="D153" s="4">
        <v>-1924.6849315068494</v>
      </c>
      <c r="E153" s="4">
        <f t="shared" si="2"/>
        <v>724189.8084777816</v>
      </c>
    </row>
    <row r="154" spans="1:5" x14ac:dyDescent="0.2">
      <c r="A154" s="60">
        <v>45385</v>
      </c>
      <c r="B154" s="41" t="s">
        <v>21</v>
      </c>
      <c r="C154" s="1" t="s">
        <v>347</v>
      </c>
      <c r="D154" s="4">
        <v>-2224.9232876712326</v>
      </c>
      <c r="E154" s="4">
        <f t="shared" si="2"/>
        <v>721964.88519011042</v>
      </c>
    </row>
    <row r="155" spans="1:5" x14ac:dyDescent="0.2">
      <c r="A155" s="60">
        <v>45385</v>
      </c>
      <c r="B155" s="41" t="s">
        <v>21</v>
      </c>
      <c r="C155" s="1" t="s">
        <v>725</v>
      </c>
      <c r="D155" s="4">
        <v>-2074.3095890410959</v>
      </c>
      <c r="E155" s="4">
        <f t="shared" si="2"/>
        <v>719890.57560106937</v>
      </c>
    </row>
    <row r="156" spans="1:5" x14ac:dyDescent="0.2">
      <c r="A156" s="60">
        <v>45385</v>
      </c>
      <c r="B156" s="41" t="s">
        <v>21</v>
      </c>
      <c r="C156" s="1" t="s">
        <v>465</v>
      </c>
      <c r="D156" s="4">
        <v>-1432.5287671232875</v>
      </c>
      <c r="E156" s="4">
        <f t="shared" si="2"/>
        <v>718458.04683394614</v>
      </c>
    </row>
    <row r="157" spans="1:5" x14ac:dyDescent="0.2">
      <c r="A157" s="60">
        <v>45385</v>
      </c>
      <c r="B157" s="41" t="s">
        <v>21</v>
      </c>
      <c r="C157" s="1" t="s">
        <v>731</v>
      </c>
      <c r="D157" s="4">
        <v>-2076.421917808219</v>
      </c>
      <c r="E157" s="4">
        <f t="shared" si="2"/>
        <v>716381.62491613789</v>
      </c>
    </row>
    <row r="158" spans="1:5" x14ac:dyDescent="0.2">
      <c r="A158" s="60">
        <v>45385</v>
      </c>
      <c r="B158" s="41" t="s">
        <v>21</v>
      </c>
      <c r="C158" s="1" t="s">
        <v>387</v>
      </c>
      <c r="D158" s="4">
        <v>-2165.6054794520551</v>
      </c>
      <c r="E158" s="4">
        <f t="shared" si="2"/>
        <v>714216.01943668583</v>
      </c>
    </row>
    <row r="159" spans="1:5" x14ac:dyDescent="0.2">
      <c r="A159" s="60">
        <v>45385</v>
      </c>
      <c r="B159" s="41" t="s">
        <v>21</v>
      </c>
      <c r="C159" s="1" t="s">
        <v>317</v>
      </c>
      <c r="D159" s="4">
        <v>-2242.9</v>
      </c>
      <c r="E159" s="4">
        <f t="shared" si="2"/>
        <v>711973.11943668581</v>
      </c>
    </row>
    <row r="160" spans="1:5" x14ac:dyDescent="0.2">
      <c r="A160" s="60">
        <v>45385</v>
      </c>
      <c r="B160" s="41" t="s">
        <v>21</v>
      </c>
      <c r="C160" s="1" t="s">
        <v>356</v>
      </c>
      <c r="D160" s="4">
        <v>-2026.0471232876712</v>
      </c>
      <c r="E160" s="4">
        <f t="shared" si="2"/>
        <v>709947.07231339812</v>
      </c>
    </row>
    <row r="161" spans="1:5" x14ac:dyDescent="0.2">
      <c r="A161" s="60">
        <v>45385</v>
      </c>
      <c r="B161" s="41" t="s">
        <v>21</v>
      </c>
      <c r="C161" s="1" t="s">
        <v>857</v>
      </c>
      <c r="D161" s="4">
        <v>-2361.6301369863013</v>
      </c>
      <c r="E161" s="4">
        <f t="shared" si="2"/>
        <v>707585.44217641186</v>
      </c>
    </row>
    <row r="162" spans="1:5" x14ac:dyDescent="0.2">
      <c r="A162" s="60">
        <v>45385</v>
      </c>
      <c r="B162" s="41" t="s">
        <v>21</v>
      </c>
      <c r="C162" s="1" t="s">
        <v>653</v>
      </c>
      <c r="D162" s="4">
        <v>-1683.013698630137</v>
      </c>
      <c r="E162" s="4">
        <f t="shared" si="2"/>
        <v>705902.42847778171</v>
      </c>
    </row>
    <row r="163" spans="1:5" x14ac:dyDescent="0.2">
      <c r="A163" s="60">
        <v>45385</v>
      </c>
      <c r="B163" s="41" t="s">
        <v>21</v>
      </c>
      <c r="C163" s="1" t="s">
        <v>685</v>
      </c>
      <c r="D163" s="4">
        <v>-2158.3397260273973</v>
      </c>
      <c r="E163" s="4">
        <f t="shared" si="2"/>
        <v>703744.08875175426</v>
      </c>
    </row>
    <row r="164" spans="1:5" x14ac:dyDescent="0.2">
      <c r="A164" s="60">
        <v>45385</v>
      </c>
      <c r="B164" s="41" t="s">
        <v>21</v>
      </c>
      <c r="C164" s="1" t="s">
        <v>638</v>
      </c>
      <c r="D164" s="4">
        <v>-1572.9315068493152</v>
      </c>
      <c r="E164" s="4">
        <f t="shared" si="2"/>
        <v>702171.1572449049</v>
      </c>
    </row>
    <row r="165" spans="1:5" x14ac:dyDescent="0.2">
      <c r="A165" s="60">
        <v>45385</v>
      </c>
      <c r="B165" s="41" t="s">
        <v>21</v>
      </c>
      <c r="C165" s="1" t="s">
        <v>728</v>
      </c>
      <c r="D165" s="4">
        <v>-1909.6246575342464</v>
      </c>
      <c r="E165" s="4">
        <f t="shared" si="2"/>
        <v>700261.5325873706</v>
      </c>
    </row>
    <row r="166" spans="1:5" x14ac:dyDescent="0.2">
      <c r="A166" s="60">
        <v>45385</v>
      </c>
      <c r="B166" s="41" t="s">
        <v>21</v>
      </c>
      <c r="C166" s="1" t="s">
        <v>644</v>
      </c>
      <c r="D166" s="4">
        <v>-2119.2684931506847</v>
      </c>
      <c r="E166" s="4">
        <f t="shared" si="2"/>
        <v>698142.26409421989</v>
      </c>
    </row>
    <row r="167" spans="1:5" x14ac:dyDescent="0.2">
      <c r="A167" s="60">
        <v>45385</v>
      </c>
      <c r="B167" s="41" t="s">
        <v>21</v>
      </c>
      <c r="C167" s="1" t="s">
        <v>675</v>
      </c>
      <c r="D167" s="4">
        <v>-2024.5780821917806</v>
      </c>
      <c r="E167" s="4">
        <f t="shared" si="2"/>
        <v>696117.68601202813</v>
      </c>
    </row>
    <row r="168" spans="1:5" x14ac:dyDescent="0.2">
      <c r="A168" s="60">
        <v>45385</v>
      </c>
      <c r="B168" s="41" t="s">
        <v>21</v>
      </c>
      <c r="C168" s="1" t="s">
        <v>583</v>
      </c>
      <c r="D168" s="4">
        <v>-2005.1457534246576</v>
      </c>
      <c r="E168" s="4">
        <f t="shared" si="2"/>
        <v>694112.54025860352</v>
      </c>
    </row>
    <row r="169" spans="1:5" x14ac:dyDescent="0.2">
      <c r="A169" s="60">
        <v>45385</v>
      </c>
      <c r="B169" s="41" t="s">
        <v>21</v>
      </c>
      <c r="C169" s="1" t="s">
        <v>444</v>
      </c>
      <c r="D169" s="4">
        <v>-2185.2328767123286</v>
      </c>
      <c r="E169" s="4">
        <f t="shared" si="2"/>
        <v>691927.30738189118</v>
      </c>
    </row>
    <row r="170" spans="1:5" x14ac:dyDescent="0.2">
      <c r="A170" s="60">
        <v>45385</v>
      </c>
      <c r="B170" s="41" t="s">
        <v>21</v>
      </c>
      <c r="C170" s="1" t="s">
        <v>411</v>
      </c>
      <c r="D170" s="4">
        <v>-2113.5013698630137</v>
      </c>
      <c r="E170" s="4">
        <f t="shared" si="2"/>
        <v>689813.80601202813</v>
      </c>
    </row>
    <row r="171" spans="1:5" x14ac:dyDescent="0.2">
      <c r="A171" s="60">
        <v>45385</v>
      </c>
      <c r="B171" s="41" t="s">
        <v>21</v>
      </c>
      <c r="C171" s="1" t="s">
        <v>757</v>
      </c>
      <c r="D171" s="4">
        <v>-1007.5534246575343</v>
      </c>
      <c r="E171" s="4">
        <f t="shared" si="2"/>
        <v>688806.25258737057</v>
      </c>
    </row>
    <row r="172" spans="1:5" x14ac:dyDescent="0.2">
      <c r="A172" s="60">
        <v>45385</v>
      </c>
      <c r="B172" s="41" t="s">
        <v>21</v>
      </c>
      <c r="C172" s="1" t="s">
        <v>625</v>
      </c>
      <c r="D172" s="4">
        <v>-1254.7164383561642</v>
      </c>
      <c r="E172" s="4">
        <f t="shared" si="2"/>
        <v>687551.53614901437</v>
      </c>
    </row>
    <row r="173" spans="1:5" x14ac:dyDescent="0.2">
      <c r="A173" s="60">
        <v>45385</v>
      </c>
      <c r="B173" s="41" t="s">
        <v>21</v>
      </c>
      <c r="C173" s="1" t="s">
        <v>869</v>
      </c>
      <c r="D173" s="4">
        <v>-2134.391780821918</v>
      </c>
      <c r="E173" s="4">
        <f t="shared" si="2"/>
        <v>685417.14436819241</v>
      </c>
    </row>
    <row r="174" spans="1:5" x14ac:dyDescent="0.2">
      <c r="A174" s="60">
        <v>45385</v>
      </c>
      <c r="B174" s="41" t="s">
        <v>21</v>
      </c>
      <c r="C174" s="1" t="s">
        <v>390</v>
      </c>
      <c r="D174" s="4">
        <v>-1373.1890410958904</v>
      </c>
      <c r="E174" s="4">
        <f t="shared" si="2"/>
        <v>684043.95532709651</v>
      </c>
    </row>
    <row r="175" spans="1:5" x14ac:dyDescent="0.2">
      <c r="A175" s="60">
        <v>45385</v>
      </c>
      <c r="B175" s="41" t="s">
        <v>21</v>
      </c>
      <c r="C175" s="1" t="s">
        <v>647</v>
      </c>
      <c r="D175" s="4">
        <v>-1550.2465753424658</v>
      </c>
      <c r="E175" s="4">
        <f t="shared" si="2"/>
        <v>682493.70875175402</v>
      </c>
    </row>
    <row r="176" spans="1:5" x14ac:dyDescent="0.2">
      <c r="A176" s="60">
        <v>45385</v>
      </c>
      <c r="B176" s="41" t="s">
        <v>21</v>
      </c>
      <c r="C176" s="1" t="s">
        <v>586</v>
      </c>
      <c r="D176" s="4">
        <v>-1850.117808219178</v>
      </c>
      <c r="E176" s="4">
        <f t="shared" si="2"/>
        <v>680643.59094353486</v>
      </c>
    </row>
    <row r="177" spans="1:5" x14ac:dyDescent="0.2">
      <c r="A177" s="60">
        <v>45385</v>
      </c>
      <c r="B177" s="41" t="s">
        <v>21</v>
      </c>
      <c r="C177" s="1" t="s">
        <v>320</v>
      </c>
      <c r="D177" s="4">
        <v>-2052.7671232876714</v>
      </c>
      <c r="E177" s="4">
        <f t="shared" si="2"/>
        <v>678590.8238202472</v>
      </c>
    </row>
    <row r="178" spans="1:5" x14ac:dyDescent="0.2">
      <c r="A178" s="60">
        <v>45385</v>
      </c>
      <c r="B178" s="41" t="s">
        <v>21</v>
      </c>
      <c r="C178" s="1" t="s">
        <v>604</v>
      </c>
      <c r="D178" s="4">
        <v>-2007.9835616438356</v>
      </c>
      <c r="E178" s="4">
        <f t="shared" si="2"/>
        <v>676582.84025860333</v>
      </c>
    </row>
    <row r="179" spans="1:5" x14ac:dyDescent="0.2">
      <c r="A179" s="60">
        <v>45385</v>
      </c>
      <c r="B179" s="41" t="s">
        <v>21</v>
      </c>
      <c r="C179" s="1" t="s">
        <v>474</v>
      </c>
      <c r="D179" s="4">
        <v>-2009.0663013698629</v>
      </c>
      <c r="E179" s="4">
        <f t="shared" si="2"/>
        <v>674573.77395723353</v>
      </c>
    </row>
    <row r="180" spans="1:5" x14ac:dyDescent="0.2">
      <c r="A180" s="60">
        <v>45385</v>
      </c>
      <c r="B180" s="41" t="s">
        <v>21</v>
      </c>
      <c r="C180" s="1" t="s">
        <v>333</v>
      </c>
      <c r="D180" s="4">
        <v>-2028.0108493150683</v>
      </c>
      <c r="E180" s="4">
        <f t="shared" si="2"/>
        <v>672545.76310791844</v>
      </c>
    </row>
    <row r="181" spans="1:5" x14ac:dyDescent="0.2">
      <c r="A181" s="60">
        <v>45385</v>
      </c>
      <c r="B181" s="41" t="s">
        <v>21</v>
      </c>
      <c r="C181" s="1" t="s">
        <v>471</v>
      </c>
      <c r="D181" s="4">
        <v>-839.96087671232874</v>
      </c>
      <c r="E181" s="4">
        <f t="shared" si="2"/>
        <v>671705.80223120609</v>
      </c>
    </row>
    <row r="182" spans="1:5" x14ac:dyDescent="0.2">
      <c r="A182" s="60">
        <v>45385</v>
      </c>
      <c r="B182" s="41" t="s">
        <v>21</v>
      </c>
      <c r="C182" s="1" t="s">
        <v>790</v>
      </c>
      <c r="D182" s="4">
        <v>-2111.0246575342467</v>
      </c>
      <c r="E182" s="4">
        <f t="shared" si="2"/>
        <v>669594.77757367189</v>
      </c>
    </row>
    <row r="183" spans="1:5" x14ac:dyDescent="0.2">
      <c r="A183" s="60">
        <v>45385</v>
      </c>
      <c r="B183" s="41" t="s">
        <v>21</v>
      </c>
      <c r="C183" s="1" t="s">
        <v>525</v>
      </c>
      <c r="D183" s="4">
        <v>-2067.186301369863</v>
      </c>
      <c r="E183" s="4">
        <f t="shared" si="2"/>
        <v>667527.59127230197</v>
      </c>
    </row>
    <row r="184" spans="1:5" x14ac:dyDescent="0.2">
      <c r="A184" s="60">
        <v>45385</v>
      </c>
      <c r="B184" s="41" t="s">
        <v>21</v>
      </c>
      <c r="C184" s="1" t="s">
        <v>525</v>
      </c>
      <c r="D184" s="4">
        <v>-2264.1972602739729</v>
      </c>
      <c r="E184" s="4">
        <f t="shared" si="2"/>
        <v>665263.394012028</v>
      </c>
    </row>
    <row r="185" spans="1:5" x14ac:dyDescent="0.2">
      <c r="A185" s="60">
        <v>45385</v>
      </c>
      <c r="B185" s="41" t="s">
        <v>21</v>
      </c>
      <c r="C185" s="1" t="s">
        <v>844</v>
      </c>
      <c r="D185" s="4">
        <v>-1023.6712328767123</v>
      </c>
      <c r="E185" s="4">
        <f t="shared" si="2"/>
        <v>664239.72277915129</v>
      </c>
    </row>
    <row r="186" spans="1:5" x14ac:dyDescent="0.2">
      <c r="A186" s="60">
        <v>45385</v>
      </c>
      <c r="B186" s="41" t="s">
        <v>21</v>
      </c>
      <c r="C186" s="1" t="s">
        <v>501</v>
      </c>
      <c r="D186" s="4">
        <v>-1914.8630136986301</v>
      </c>
      <c r="E186" s="4">
        <f t="shared" si="2"/>
        <v>662324.85976545268</v>
      </c>
    </row>
    <row r="187" spans="1:5" x14ac:dyDescent="0.2">
      <c r="A187" s="60">
        <v>45385</v>
      </c>
      <c r="B187" s="41" t="s">
        <v>21</v>
      </c>
      <c r="C187" s="1" t="s">
        <v>823</v>
      </c>
      <c r="D187" s="4">
        <v>-2015.986301369863</v>
      </c>
      <c r="E187" s="4">
        <f t="shared" si="2"/>
        <v>660308.87346408283</v>
      </c>
    </row>
    <row r="188" spans="1:5" x14ac:dyDescent="0.2">
      <c r="A188" s="60">
        <v>45385</v>
      </c>
      <c r="B188" s="41" t="s">
        <v>21</v>
      </c>
      <c r="C188" s="1" t="s">
        <v>405</v>
      </c>
      <c r="D188" s="4">
        <v>-2173.9931506849316</v>
      </c>
      <c r="E188" s="4">
        <f t="shared" si="2"/>
        <v>658134.88031339785</v>
      </c>
    </row>
    <row r="189" spans="1:5" x14ac:dyDescent="0.2">
      <c r="A189" s="60">
        <v>45385</v>
      </c>
      <c r="B189" s="41" t="s">
        <v>21</v>
      </c>
      <c r="C189" s="1" t="s">
        <v>368</v>
      </c>
      <c r="D189" s="4">
        <v>-2183.3246575342469</v>
      </c>
      <c r="E189" s="4">
        <f t="shared" si="2"/>
        <v>655951.5556558636</v>
      </c>
    </row>
    <row r="190" spans="1:5" x14ac:dyDescent="0.2">
      <c r="A190" s="60">
        <v>45385</v>
      </c>
      <c r="B190" s="41" t="s">
        <v>21</v>
      </c>
      <c r="C190" s="1" t="s">
        <v>814</v>
      </c>
      <c r="D190" s="4">
        <v>-2010.0753424657535</v>
      </c>
      <c r="E190" s="4">
        <f t="shared" si="2"/>
        <v>653941.48031339783</v>
      </c>
    </row>
    <row r="191" spans="1:5" x14ac:dyDescent="0.2">
      <c r="A191" s="60">
        <v>45385</v>
      </c>
      <c r="B191" s="41" t="s">
        <v>21</v>
      </c>
      <c r="C191" s="1" t="s">
        <v>641</v>
      </c>
      <c r="D191" s="4">
        <v>-2135.2602739726026</v>
      </c>
      <c r="E191" s="4">
        <f t="shared" si="2"/>
        <v>651806.22003942518</v>
      </c>
    </row>
    <row r="192" spans="1:5" x14ac:dyDescent="0.2">
      <c r="A192" s="60">
        <v>45385</v>
      </c>
      <c r="B192" s="41" t="s">
        <v>21</v>
      </c>
      <c r="C192" s="1" t="s">
        <v>516</v>
      </c>
      <c r="D192" s="4">
        <v>-2004.1972602739725</v>
      </c>
      <c r="E192" s="4">
        <f t="shared" si="2"/>
        <v>649802.02277915122</v>
      </c>
    </row>
    <row r="193" spans="1:5" x14ac:dyDescent="0.2">
      <c r="A193" s="60">
        <v>45385</v>
      </c>
      <c r="B193" s="41" t="s">
        <v>21</v>
      </c>
      <c r="C193" s="1" t="s">
        <v>224</v>
      </c>
      <c r="D193" s="4">
        <v>-2019.5178082191781</v>
      </c>
      <c r="E193" s="4">
        <f t="shared" si="2"/>
        <v>647782.50497093203</v>
      </c>
    </row>
    <row r="194" spans="1:5" x14ac:dyDescent="0.2">
      <c r="A194" s="60">
        <v>45385</v>
      </c>
      <c r="B194" s="41" t="s">
        <v>21</v>
      </c>
      <c r="C194" s="1" t="s">
        <v>314</v>
      </c>
      <c r="D194" s="4">
        <v>-2025.167671232877</v>
      </c>
      <c r="E194" s="4">
        <f t="shared" si="2"/>
        <v>645757.3372996992</v>
      </c>
    </row>
    <row r="195" spans="1:5" x14ac:dyDescent="0.2">
      <c r="A195" s="60">
        <v>45385</v>
      </c>
      <c r="B195" s="41" t="s">
        <v>21</v>
      </c>
      <c r="C195" s="1" t="s">
        <v>589</v>
      </c>
      <c r="D195" s="4">
        <v>-2114.85205479452</v>
      </c>
      <c r="E195" s="4">
        <f t="shared" si="2"/>
        <v>643642.48524490464</v>
      </c>
    </row>
    <row r="196" spans="1:5" x14ac:dyDescent="0.2">
      <c r="A196" s="60">
        <v>45385</v>
      </c>
      <c r="B196" s="41" t="s">
        <v>21</v>
      </c>
      <c r="C196" s="1" t="s">
        <v>799</v>
      </c>
      <c r="D196" s="4">
        <v>-2037.5342465753424</v>
      </c>
      <c r="E196" s="4">
        <f t="shared" ref="E196:E259" si="3">IF(D196="","",D196+E195)</f>
        <v>641604.95099832932</v>
      </c>
    </row>
    <row r="197" spans="1:5" x14ac:dyDescent="0.2">
      <c r="A197" s="60">
        <v>45385</v>
      </c>
      <c r="B197" s="41" t="s">
        <v>21</v>
      </c>
      <c r="C197" s="1" t="s">
        <v>115</v>
      </c>
      <c r="D197" s="4">
        <v>-2044.3383561643836</v>
      </c>
      <c r="E197" s="4">
        <f t="shared" si="3"/>
        <v>639560.61264216492</v>
      </c>
    </row>
    <row r="198" spans="1:5" x14ac:dyDescent="0.2">
      <c r="A198" s="60">
        <v>45385</v>
      </c>
      <c r="B198" s="41" t="s">
        <v>21</v>
      </c>
      <c r="C198" s="1" t="s">
        <v>408</v>
      </c>
      <c r="D198" s="4">
        <v>-2131.1342465753428</v>
      </c>
      <c r="E198" s="4">
        <f t="shared" si="3"/>
        <v>637429.47839558963</v>
      </c>
    </row>
    <row r="199" spans="1:5" x14ac:dyDescent="0.2">
      <c r="A199" s="60">
        <v>45385</v>
      </c>
      <c r="B199" s="41" t="s">
        <v>21</v>
      </c>
      <c r="C199" s="1" t="s">
        <v>257</v>
      </c>
      <c r="D199" s="4">
        <v>-2070.2767123287672</v>
      </c>
      <c r="E199" s="4">
        <f t="shared" si="3"/>
        <v>635359.20168326085</v>
      </c>
    </row>
    <row r="200" spans="1:5" x14ac:dyDescent="0.2">
      <c r="A200" s="60">
        <v>45385</v>
      </c>
      <c r="B200" s="41" t="s">
        <v>21</v>
      </c>
      <c r="C200" s="1" t="s">
        <v>598</v>
      </c>
      <c r="D200" s="4">
        <v>-1973.5890410958905</v>
      </c>
      <c r="E200" s="4">
        <f t="shared" si="3"/>
        <v>633385.61264216492</v>
      </c>
    </row>
    <row r="201" spans="1:5" x14ac:dyDescent="0.2">
      <c r="A201" s="60">
        <v>45385</v>
      </c>
      <c r="B201" s="41" t="s">
        <v>21</v>
      </c>
      <c r="C201" s="1" t="s">
        <v>576</v>
      </c>
      <c r="D201" s="4">
        <v>-2086.7095890410956</v>
      </c>
      <c r="E201" s="4">
        <f t="shared" si="3"/>
        <v>631298.90305312385</v>
      </c>
    </row>
    <row r="202" spans="1:5" x14ac:dyDescent="0.2">
      <c r="A202" s="60">
        <v>45385</v>
      </c>
      <c r="B202" s="41" t="s">
        <v>21</v>
      </c>
      <c r="C202" s="1" t="s">
        <v>787</v>
      </c>
      <c r="D202" s="4">
        <v>-2010.0849315068494</v>
      </c>
      <c r="E202" s="4">
        <f t="shared" si="3"/>
        <v>629288.81812161696</v>
      </c>
    </row>
    <row r="203" spans="1:5" x14ac:dyDescent="0.2">
      <c r="A203" s="60">
        <v>45385</v>
      </c>
      <c r="B203" s="41" t="s">
        <v>21</v>
      </c>
      <c r="C203" s="1" t="s">
        <v>678</v>
      </c>
      <c r="D203" s="4">
        <v>-2095.0087671232873</v>
      </c>
      <c r="E203" s="4">
        <f t="shared" si="3"/>
        <v>627193.80935449363</v>
      </c>
    </row>
    <row r="204" spans="1:5" x14ac:dyDescent="0.2">
      <c r="A204" s="60">
        <v>45385</v>
      </c>
      <c r="B204" s="41" t="s">
        <v>21</v>
      </c>
      <c r="C204" s="1" t="s">
        <v>705</v>
      </c>
      <c r="D204" s="4">
        <v>-2151.9589041095892</v>
      </c>
      <c r="E204" s="4">
        <f t="shared" si="3"/>
        <v>625041.85045038408</v>
      </c>
    </row>
    <row r="205" spans="1:5" x14ac:dyDescent="0.2">
      <c r="A205" s="60">
        <v>45385</v>
      </c>
      <c r="B205" s="41" t="s">
        <v>21</v>
      </c>
      <c r="C205" s="1" t="s">
        <v>323</v>
      </c>
      <c r="D205" s="4">
        <v>-2014.041095890411</v>
      </c>
      <c r="E205" s="4">
        <f t="shared" si="3"/>
        <v>623027.80935449363</v>
      </c>
    </row>
    <row r="206" spans="1:5" x14ac:dyDescent="0.2">
      <c r="A206" s="60">
        <v>45385</v>
      </c>
      <c r="B206" s="41" t="s">
        <v>21</v>
      </c>
      <c r="C206" s="1" t="s">
        <v>808</v>
      </c>
      <c r="D206" s="4">
        <v>-2131.345205479452</v>
      </c>
      <c r="E206" s="4">
        <f t="shared" si="3"/>
        <v>620896.46414901421</v>
      </c>
    </row>
    <row r="207" spans="1:5" x14ac:dyDescent="0.2">
      <c r="A207" s="60">
        <v>45385</v>
      </c>
      <c r="B207" s="41" t="s">
        <v>21</v>
      </c>
      <c r="C207" s="1" t="s">
        <v>805</v>
      </c>
      <c r="D207" s="4">
        <v>-2095.3260273972601</v>
      </c>
      <c r="E207" s="4">
        <f t="shared" si="3"/>
        <v>618801.13812161691</v>
      </c>
    </row>
    <row r="208" spans="1:5" x14ac:dyDescent="0.2">
      <c r="A208" s="60">
        <v>45385</v>
      </c>
      <c r="B208" s="41" t="s">
        <v>21</v>
      </c>
      <c r="C208" s="1" t="s">
        <v>350</v>
      </c>
      <c r="D208" s="4">
        <v>-2048.6246575342466</v>
      </c>
      <c r="E208" s="4">
        <f t="shared" si="3"/>
        <v>616752.51346408261</v>
      </c>
    </row>
    <row r="209" spans="1:5" x14ac:dyDescent="0.2">
      <c r="A209" s="60">
        <v>45385</v>
      </c>
      <c r="B209" s="41" t="s">
        <v>21</v>
      </c>
      <c r="C209" s="1" t="s">
        <v>426</v>
      </c>
      <c r="D209" s="4">
        <v>-2741.1835616438357</v>
      </c>
      <c r="E209" s="4">
        <f t="shared" si="3"/>
        <v>614011.3299024388</v>
      </c>
    </row>
    <row r="210" spans="1:5" x14ac:dyDescent="0.2">
      <c r="A210" s="60">
        <v>45385</v>
      </c>
      <c r="B210" s="41" t="s">
        <v>21</v>
      </c>
      <c r="C210" s="1" t="s">
        <v>592</v>
      </c>
      <c r="D210" s="4">
        <v>-2050.4821917808222</v>
      </c>
      <c r="E210" s="4">
        <f t="shared" si="3"/>
        <v>611960.84771065798</v>
      </c>
    </row>
    <row r="211" spans="1:5" x14ac:dyDescent="0.2">
      <c r="A211" s="60">
        <v>45385</v>
      </c>
      <c r="B211" s="41" t="s">
        <v>21</v>
      </c>
      <c r="C211" s="1" t="s">
        <v>622</v>
      </c>
      <c r="D211" s="4">
        <v>-2182.821917808219</v>
      </c>
      <c r="E211" s="4">
        <f t="shared" si="3"/>
        <v>609778.02579284972</v>
      </c>
    </row>
    <row r="212" spans="1:5" x14ac:dyDescent="0.2">
      <c r="A212" s="60">
        <v>45385</v>
      </c>
      <c r="B212" s="41" t="s">
        <v>21</v>
      </c>
      <c r="C212" s="1" t="s">
        <v>296</v>
      </c>
      <c r="D212" s="4">
        <v>-1205.1095890410959</v>
      </c>
      <c r="E212" s="4">
        <f t="shared" si="3"/>
        <v>608572.91620380862</v>
      </c>
    </row>
    <row r="213" spans="1:5" x14ac:dyDescent="0.2">
      <c r="A213" s="60">
        <v>45385</v>
      </c>
      <c r="B213" s="41" t="s">
        <v>21</v>
      </c>
      <c r="C213" s="1" t="s">
        <v>650</v>
      </c>
      <c r="D213" s="4">
        <v>-1818.7616438356165</v>
      </c>
      <c r="E213" s="4">
        <f t="shared" si="3"/>
        <v>606754.15455997305</v>
      </c>
    </row>
    <row r="214" spans="1:5" x14ac:dyDescent="0.2">
      <c r="A214" s="60">
        <v>45385</v>
      </c>
      <c r="B214" s="41" t="s">
        <v>21</v>
      </c>
      <c r="C214" s="1" t="s">
        <v>847</v>
      </c>
      <c r="D214" s="4">
        <v>-1940.6575342465753</v>
      </c>
      <c r="E214" s="4">
        <f t="shared" si="3"/>
        <v>604813.49702572648</v>
      </c>
    </row>
    <row r="215" spans="1:5" x14ac:dyDescent="0.2">
      <c r="A215" s="60">
        <v>45385</v>
      </c>
      <c r="B215" s="41" t="s">
        <v>21</v>
      </c>
      <c r="C215" s="1" t="s">
        <v>175</v>
      </c>
      <c r="D215" s="4">
        <v>-2417.364383561644</v>
      </c>
      <c r="E215" s="4">
        <f t="shared" si="3"/>
        <v>602396.13264216483</v>
      </c>
    </row>
    <row r="216" spans="1:5" x14ac:dyDescent="0.2">
      <c r="A216" s="60">
        <v>45385</v>
      </c>
      <c r="B216" s="41" t="s">
        <v>21</v>
      </c>
      <c r="C216" s="1" t="s">
        <v>616</v>
      </c>
      <c r="D216" s="4">
        <v>-2079.1452054794518</v>
      </c>
      <c r="E216" s="4">
        <f t="shared" si="3"/>
        <v>600316.98743668536</v>
      </c>
    </row>
    <row r="217" spans="1:5" x14ac:dyDescent="0.2">
      <c r="A217" s="60">
        <v>45385</v>
      </c>
      <c r="B217" s="41" t="s">
        <v>21</v>
      </c>
      <c r="C217" s="1" t="s">
        <v>545</v>
      </c>
      <c r="D217" s="4">
        <v>-2134.5616438356165</v>
      </c>
      <c r="E217" s="4">
        <f t="shared" si="3"/>
        <v>598182.42579284974</v>
      </c>
    </row>
    <row r="218" spans="1:5" x14ac:dyDescent="0.2">
      <c r="A218" s="60">
        <v>45385</v>
      </c>
      <c r="B218" s="41" t="s">
        <v>21</v>
      </c>
      <c r="C218" s="1" t="s">
        <v>751</v>
      </c>
      <c r="D218" s="4">
        <v>-1274.2465753424658</v>
      </c>
      <c r="E218" s="4">
        <f t="shared" si="3"/>
        <v>596908.17921750725</v>
      </c>
    </row>
    <row r="219" spans="1:5" x14ac:dyDescent="0.2">
      <c r="A219" s="60">
        <v>45385</v>
      </c>
      <c r="B219" s="41" t="s">
        <v>21</v>
      </c>
      <c r="C219" s="1" t="s">
        <v>773</v>
      </c>
      <c r="D219" s="4">
        <v>-2193.2657534246578</v>
      </c>
      <c r="E219" s="4">
        <f t="shared" si="3"/>
        <v>594714.91346408264</v>
      </c>
    </row>
    <row r="220" spans="1:5" x14ac:dyDescent="0.2">
      <c r="A220" s="60">
        <v>45385</v>
      </c>
      <c r="B220" s="41" t="s">
        <v>21</v>
      </c>
      <c r="C220" s="1" t="s">
        <v>414</v>
      </c>
      <c r="D220" s="4">
        <v>-2114.3315068493152</v>
      </c>
      <c r="E220" s="4">
        <f t="shared" si="3"/>
        <v>592600.58195723337</v>
      </c>
    </row>
    <row r="221" spans="1:5" x14ac:dyDescent="0.2">
      <c r="A221" s="60">
        <v>45385</v>
      </c>
      <c r="B221" s="41" t="s">
        <v>21</v>
      </c>
      <c r="C221" s="1" t="s">
        <v>248</v>
      </c>
      <c r="D221" s="4">
        <v>-2117.2575342465752</v>
      </c>
      <c r="E221" s="4">
        <f t="shared" si="3"/>
        <v>590483.32442298683</v>
      </c>
    </row>
    <row r="222" spans="1:5" x14ac:dyDescent="0.2">
      <c r="A222" s="60">
        <v>45385</v>
      </c>
      <c r="B222" s="41" t="s">
        <v>21</v>
      </c>
      <c r="C222" s="1" t="s">
        <v>372</v>
      </c>
      <c r="D222" s="4">
        <v>-2037.8585753424657</v>
      </c>
      <c r="E222" s="4">
        <f t="shared" si="3"/>
        <v>588445.46584764437</v>
      </c>
    </row>
    <row r="223" spans="1:5" x14ac:dyDescent="0.2">
      <c r="A223" s="60">
        <v>45385</v>
      </c>
      <c r="B223" s="41" t="s">
        <v>21</v>
      </c>
      <c r="C223" s="1" t="s">
        <v>432</v>
      </c>
      <c r="D223" s="4">
        <v>-1951.7753424657535</v>
      </c>
      <c r="E223" s="4">
        <f t="shared" si="3"/>
        <v>586493.69050517865</v>
      </c>
    </row>
    <row r="224" spans="1:5" x14ac:dyDescent="0.2">
      <c r="A224" s="60">
        <v>45385</v>
      </c>
      <c r="B224" s="41" t="s">
        <v>21</v>
      </c>
      <c r="C224" s="1" t="s">
        <v>702</v>
      </c>
      <c r="D224" s="4">
        <v>-807.02739726027403</v>
      </c>
      <c r="E224" s="4">
        <f t="shared" si="3"/>
        <v>585686.66310791834</v>
      </c>
    </row>
    <row r="225" spans="1:9" x14ac:dyDescent="0.2">
      <c r="A225" s="60">
        <v>45385</v>
      </c>
      <c r="B225" s="41" t="s">
        <v>21</v>
      </c>
      <c r="C225" s="1" t="s">
        <v>841</v>
      </c>
      <c r="D225" s="4">
        <v>-1597.8082191780823</v>
      </c>
      <c r="E225" s="4">
        <f t="shared" si="3"/>
        <v>584088.85488874023</v>
      </c>
    </row>
    <row r="226" spans="1:9" x14ac:dyDescent="0.2">
      <c r="A226" s="60">
        <v>45385</v>
      </c>
      <c r="B226" s="41" t="s">
        <v>21</v>
      </c>
      <c r="C226" s="1" t="s">
        <v>696</v>
      </c>
      <c r="D226" s="4">
        <v>-1970.4246575342465</v>
      </c>
      <c r="E226" s="4">
        <f t="shared" si="3"/>
        <v>582118.430231206</v>
      </c>
    </row>
    <row r="227" spans="1:9" x14ac:dyDescent="0.2">
      <c r="A227" s="60">
        <v>45385</v>
      </c>
      <c r="B227" s="41" t="s">
        <v>21</v>
      </c>
      <c r="C227" s="1" t="s">
        <v>699</v>
      </c>
      <c r="D227" s="4">
        <v>-2002.1369863013699</v>
      </c>
      <c r="E227" s="4">
        <f t="shared" si="3"/>
        <v>580116.29324490461</v>
      </c>
    </row>
    <row r="228" spans="1:9" x14ac:dyDescent="0.2">
      <c r="A228" s="60">
        <v>45385</v>
      </c>
      <c r="B228" s="41" t="s">
        <v>21</v>
      </c>
      <c r="C228" s="1" t="s">
        <v>308</v>
      </c>
      <c r="D228" s="4">
        <v>-2004.3676712328768</v>
      </c>
      <c r="E228" s="4">
        <f t="shared" si="3"/>
        <v>578111.9255736717</v>
      </c>
      <c r="G228" s="4"/>
      <c r="I228" s="5"/>
    </row>
    <row r="229" spans="1:9" x14ac:dyDescent="0.2">
      <c r="A229" s="60">
        <v>45385</v>
      </c>
      <c r="B229" s="41" t="s">
        <v>21</v>
      </c>
      <c r="C229" s="1" t="s">
        <v>504</v>
      </c>
      <c r="D229" s="4">
        <v>-2022.0201643835617</v>
      </c>
      <c r="E229" s="4">
        <f t="shared" si="3"/>
        <v>576089.90540928813</v>
      </c>
    </row>
    <row r="230" spans="1:9" x14ac:dyDescent="0.2">
      <c r="A230" s="60">
        <v>45385</v>
      </c>
      <c r="B230" s="41" t="s">
        <v>21</v>
      </c>
      <c r="C230" s="1" t="s">
        <v>791</v>
      </c>
      <c r="D230" s="4">
        <v>-2195.9643835616439</v>
      </c>
      <c r="E230" s="4">
        <f t="shared" si="3"/>
        <v>573893.9410257265</v>
      </c>
    </row>
    <row r="231" spans="1:9" x14ac:dyDescent="0.2">
      <c r="A231" s="60">
        <v>45385</v>
      </c>
      <c r="B231" s="41" t="s">
        <v>21</v>
      </c>
      <c r="C231" s="1" t="s">
        <v>519</v>
      </c>
      <c r="D231" s="4">
        <v>-1476.7123287671234</v>
      </c>
      <c r="E231" s="4">
        <f t="shared" si="3"/>
        <v>572417.22869695933</v>
      </c>
    </row>
    <row r="232" spans="1:9" x14ac:dyDescent="0.2">
      <c r="A232" s="60">
        <v>45385</v>
      </c>
      <c r="B232" s="41" t="s">
        <v>21</v>
      </c>
      <c r="C232" s="1" t="s">
        <v>766</v>
      </c>
      <c r="D232" s="4">
        <v>-2037.9123287671234</v>
      </c>
      <c r="E232" s="4">
        <f t="shared" si="3"/>
        <v>570379.3163681922</v>
      </c>
    </row>
    <row r="233" spans="1:9" x14ac:dyDescent="0.2">
      <c r="A233" s="60">
        <v>45385</v>
      </c>
      <c r="B233" s="41" t="s">
        <v>21</v>
      </c>
      <c r="C233" s="1" t="s">
        <v>829</v>
      </c>
      <c r="D233" s="4">
        <v>-1539.7808219178082</v>
      </c>
      <c r="E233" s="4">
        <f t="shared" si="3"/>
        <v>568839.53554627439</v>
      </c>
    </row>
    <row r="234" spans="1:9" x14ac:dyDescent="0.2">
      <c r="A234" s="60">
        <v>45385</v>
      </c>
      <c r="B234" s="41" t="s">
        <v>21</v>
      </c>
      <c r="C234" s="1" t="s">
        <v>511</v>
      </c>
      <c r="D234" s="4">
        <v>-1065.3972602739725</v>
      </c>
      <c r="E234" s="4">
        <f t="shared" si="3"/>
        <v>567774.13828600047</v>
      </c>
    </row>
    <row r="235" spans="1:9" x14ac:dyDescent="0.2">
      <c r="A235" s="60">
        <v>45385</v>
      </c>
      <c r="B235" s="41" t="s">
        <v>21</v>
      </c>
      <c r="C235" s="1" t="s">
        <v>144</v>
      </c>
      <c r="D235" s="4">
        <v>-2072.8865753424657</v>
      </c>
      <c r="E235" s="4">
        <f t="shared" si="3"/>
        <v>565701.25171065796</v>
      </c>
    </row>
    <row r="236" spans="1:9" x14ac:dyDescent="0.2">
      <c r="A236" s="60">
        <v>45385</v>
      </c>
      <c r="B236" s="41" t="s">
        <v>21</v>
      </c>
      <c r="C236" s="1" t="s">
        <v>275</v>
      </c>
      <c r="D236" s="4">
        <v>-2208.7232876712328</v>
      </c>
      <c r="E236" s="4">
        <f t="shared" si="3"/>
        <v>563492.52842298674</v>
      </c>
    </row>
    <row r="237" spans="1:9" x14ac:dyDescent="0.2">
      <c r="A237" s="60">
        <v>45385</v>
      </c>
      <c r="B237" s="41" t="s">
        <v>21</v>
      </c>
      <c r="C237" s="1" t="s">
        <v>656</v>
      </c>
      <c r="D237" s="4">
        <v>-1725.7205479452052</v>
      </c>
      <c r="E237" s="4">
        <f t="shared" si="3"/>
        <v>561766.8078750415</v>
      </c>
    </row>
    <row r="238" spans="1:9" x14ac:dyDescent="0.2">
      <c r="A238" s="60">
        <v>45385</v>
      </c>
      <c r="B238" s="41" t="s">
        <v>21</v>
      </c>
      <c r="C238" s="1" t="s">
        <v>375</v>
      </c>
      <c r="D238" s="4">
        <v>-1936.4245479452056</v>
      </c>
      <c r="E238" s="4">
        <f t="shared" si="3"/>
        <v>559830.38332709635</v>
      </c>
    </row>
    <row r="239" spans="1:9" x14ac:dyDescent="0.2">
      <c r="A239" s="60">
        <v>45385</v>
      </c>
      <c r="B239" s="41" t="s">
        <v>21</v>
      </c>
      <c r="C239" s="1" t="s">
        <v>179</v>
      </c>
      <c r="D239" s="4">
        <v>-2119.0136986301368</v>
      </c>
      <c r="E239" s="4">
        <f t="shared" si="3"/>
        <v>557711.3696284662</v>
      </c>
    </row>
    <row r="240" spans="1:9" x14ac:dyDescent="0.2">
      <c r="A240" s="60">
        <v>45385</v>
      </c>
      <c r="B240" s="41" t="s">
        <v>21</v>
      </c>
      <c r="C240" s="1" t="s">
        <v>441</v>
      </c>
      <c r="D240" s="4">
        <v>-1704.4383561643835</v>
      </c>
      <c r="E240" s="4">
        <f t="shared" si="3"/>
        <v>556006.93127230182</v>
      </c>
    </row>
    <row r="241" spans="1:6" x14ac:dyDescent="0.2">
      <c r="A241" s="60">
        <v>45385</v>
      </c>
      <c r="B241" s="41" t="s">
        <v>21</v>
      </c>
      <c r="C241" s="1" t="s">
        <v>601</v>
      </c>
      <c r="D241" s="4">
        <v>-2125.868493150685</v>
      </c>
      <c r="E241" s="4">
        <f t="shared" si="3"/>
        <v>553881.06277915114</v>
      </c>
    </row>
    <row r="242" spans="1:6" x14ac:dyDescent="0.2">
      <c r="A242" s="60">
        <v>45385</v>
      </c>
      <c r="B242" s="41" t="s">
        <v>21</v>
      </c>
      <c r="C242" s="1" t="s">
        <v>251</v>
      </c>
      <c r="D242" s="4">
        <v>-1934.8546301369863</v>
      </c>
      <c r="E242" s="4">
        <f t="shared" si="3"/>
        <v>551946.20814901416</v>
      </c>
    </row>
    <row r="243" spans="1:6" x14ac:dyDescent="0.2">
      <c r="A243" s="60">
        <v>45385</v>
      </c>
      <c r="B243" s="41" t="s">
        <v>21</v>
      </c>
      <c r="C243" s="1" t="s">
        <v>632</v>
      </c>
      <c r="D243" s="4">
        <v>-1949.5346849315072</v>
      </c>
      <c r="E243" s="4">
        <f t="shared" si="3"/>
        <v>549996.67346408265</v>
      </c>
    </row>
    <row r="244" spans="1:6" x14ac:dyDescent="0.2">
      <c r="A244" s="60">
        <v>45385</v>
      </c>
      <c r="B244" s="41" t="s">
        <v>21</v>
      </c>
      <c r="C244" s="1" t="s">
        <v>299</v>
      </c>
      <c r="D244" s="4">
        <v>-1999.668493150685</v>
      </c>
      <c r="E244" s="4">
        <f t="shared" si="3"/>
        <v>547997.00497093191</v>
      </c>
    </row>
    <row r="245" spans="1:6" x14ac:dyDescent="0.2">
      <c r="A245" s="60">
        <v>45385</v>
      </c>
      <c r="B245" s="41" t="s">
        <v>21</v>
      </c>
      <c r="C245" s="1" t="s">
        <v>239</v>
      </c>
      <c r="D245" s="4">
        <v>-2058.5123287671231</v>
      </c>
      <c r="E245" s="4">
        <f t="shared" si="3"/>
        <v>545938.49264216481</v>
      </c>
    </row>
    <row r="246" spans="1:6" x14ac:dyDescent="0.2">
      <c r="A246" s="60">
        <v>45385</v>
      </c>
      <c r="B246" s="41" t="s">
        <v>21</v>
      </c>
      <c r="C246" s="1" t="s">
        <v>853</v>
      </c>
      <c r="D246" s="4">
        <v>-2000.6575342465753</v>
      </c>
      <c r="E246" s="4">
        <f t="shared" si="3"/>
        <v>543937.83510791825</v>
      </c>
    </row>
    <row r="247" spans="1:6" x14ac:dyDescent="0.2">
      <c r="A247" s="60">
        <v>45385</v>
      </c>
      <c r="B247" s="41" t="s">
        <v>21</v>
      </c>
      <c r="C247" s="1" t="s">
        <v>468</v>
      </c>
      <c r="D247" s="4">
        <v>-2088.6027397260273</v>
      </c>
      <c r="E247" s="4">
        <f t="shared" si="3"/>
        <v>541849.23236819217</v>
      </c>
    </row>
    <row r="248" spans="1:6" x14ac:dyDescent="0.2">
      <c r="A248" s="60">
        <v>45385</v>
      </c>
      <c r="B248" s="41" t="s">
        <v>21</v>
      </c>
      <c r="C248" s="1" t="s">
        <v>860</v>
      </c>
      <c r="D248" s="4">
        <v>-1849.564383561644</v>
      </c>
      <c r="E248" s="4">
        <f t="shared" si="3"/>
        <v>539999.66798463056</v>
      </c>
    </row>
    <row r="249" spans="1:6" x14ac:dyDescent="0.2">
      <c r="A249" s="60">
        <v>45385</v>
      </c>
      <c r="B249" s="41" t="s">
        <v>21</v>
      </c>
      <c r="C249" s="1" t="s">
        <v>456</v>
      </c>
      <c r="D249" s="4">
        <v>-1531.0684931506848</v>
      </c>
      <c r="E249" s="4">
        <f t="shared" si="3"/>
        <v>538468.59949147992</v>
      </c>
    </row>
    <row r="250" spans="1:6" x14ac:dyDescent="0.2">
      <c r="A250" s="60">
        <v>45385</v>
      </c>
      <c r="B250" s="41" t="s">
        <v>21</v>
      </c>
      <c r="C250" s="1" t="s">
        <v>748</v>
      </c>
      <c r="D250" s="4">
        <v>-2136.8493150684931</v>
      </c>
      <c r="E250" s="4">
        <f t="shared" si="3"/>
        <v>536331.75017641147</v>
      </c>
    </row>
    <row r="251" spans="1:6" x14ac:dyDescent="0.2">
      <c r="A251" s="60">
        <v>45385</v>
      </c>
      <c r="B251" s="41" t="s">
        <v>21</v>
      </c>
      <c r="C251" s="1" t="s">
        <v>763</v>
      </c>
      <c r="D251" s="4">
        <v>-2249.9424657534246</v>
      </c>
      <c r="E251" s="4">
        <f t="shared" si="3"/>
        <v>534081.80771065806</v>
      </c>
    </row>
    <row r="252" spans="1:6" x14ac:dyDescent="0.2">
      <c r="A252" s="60">
        <v>45385</v>
      </c>
      <c r="B252" s="41" t="s">
        <v>21</v>
      </c>
      <c r="C252" s="1" t="s">
        <v>863</v>
      </c>
      <c r="D252" s="4">
        <v>-1991.2410958904113</v>
      </c>
      <c r="E252" s="4">
        <f t="shared" si="3"/>
        <v>532090.56661476765</v>
      </c>
    </row>
    <row r="253" spans="1:6" x14ac:dyDescent="0.2">
      <c r="A253" s="60">
        <v>45385</v>
      </c>
      <c r="B253" s="41" t="s">
        <v>21</v>
      </c>
      <c r="C253" s="1" t="s">
        <v>489</v>
      </c>
      <c r="D253" s="4">
        <v>-2200.5849315068494</v>
      </c>
      <c r="E253" s="4">
        <f t="shared" si="3"/>
        <v>529889.98168326076</v>
      </c>
    </row>
    <row r="254" spans="1:6" x14ac:dyDescent="0.2">
      <c r="A254" s="60">
        <v>45385</v>
      </c>
      <c r="B254" s="41" t="s">
        <v>21</v>
      </c>
      <c r="C254" s="1" t="s">
        <v>570</v>
      </c>
      <c r="D254" s="4">
        <v>-2093.3095890410959</v>
      </c>
      <c r="E254" s="4">
        <f t="shared" si="3"/>
        <v>527796.67209421971</v>
      </c>
    </row>
    <row r="255" spans="1:6" x14ac:dyDescent="0.2">
      <c r="A255" s="60">
        <v>45385</v>
      </c>
      <c r="B255" s="41" t="s">
        <v>21</v>
      </c>
      <c r="C255" s="1" t="s">
        <v>486</v>
      </c>
      <c r="D255" s="4">
        <v>-2271.5986301369858</v>
      </c>
      <c r="E255" s="4">
        <f t="shared" si="3"/>
        <v>525525.07346408267</v>
      </c>
    </row>
    <row r="256" spans="1:6" x14ac:dyDescent="0.2">
      <c r="A256" s="60">
        <v>45385</v>
      </c>
      <c r="B256" s="41" t="s">
        <v>21</v>
      </c>
      <c r="C256" s="1" t="s">
        <v>875</v>
      </c>
      <c r="D256" s="4">
        <v>-2037.2256438356167</v>
      </c>
      <c r="E256" s="4">
        <f t="shared" si="3"/>
        <v>523487.84782024706</v>
      </c>
      <c r="F256" s="4"/>
    </row>
    <row r="257" spans="1:5" x14ac:dyDescent="0.2">
      <c r="A257" s="60">
        <v>45385</v>
      </c>
      <c r="B257" s="41" t="s">
        <v>21</v>
      </c>
      <c r="C257" s="1" t="s">
        <v>566</v>
      </c>
      <c r="D257" s="4">
        <v>-2016.6904109589043</v>
      </c>
      <c r="E257" s="4">
        <f t="shared" si="3"/>
        <v>521471.15740928816</v>
      </c>
    </row>
    <row r="258" spans="1:5" x14ac:dyDescent="0.2">
      <c r="A258" s="60">
        <v>45385</v>
      </c>
      <c r="B258" s="41" t="s">
        <v>21</v>
      </c>
      <c r="C258" s="1" t="s">
        <v>305</v>
      </c>
      <c r="D258" s="4">
        <v>-1997.3676712328768</v>
      </c>
      <c r="E258" s="4">
        <f t="shared" si="3"/>
        <v>519473.78973805526</v>
      </c>
    </row>
    <row r="259" spans="1:5" x14ac:dyDescent="0.2">
      <c r="A259" s="60">
        <v>45385</v>
      </c>
      <c r="B259" s="41" t="s">
        <v>21</v>
      </c>
      <c r="C259" s="1" t="s">
        <v>554</v>
      </c>
      <c r="D259" s="4">
        <v>-2138.0821917808221</v>
      </c>
      <c r="E259" s="4">
        <f t="shared" si="3"/>
        <v>517335.70754627441</v>
      </c>
    </row>
    <row r="260" spans="1:5" x14ac:dyDescent="0.2">
      <c r="A260" s="60">
        <v>45385</v>
      </c>
      <c r="B260" s="41" t="s">
        <v>21</v>
      </c>
      <c r="C260" s="1" t="s">
        <v>529</v>
      </c>
      <c r="D260" s="4">
        <v>-2006.3231780821918</v>
      </c>
      <c r="E260" s="4">
        <f t="shared" ref="E260:E325" si="4">IF(D260="","",D260+E259)</f>
        <v>515329.38436819223</v>
      </c>
    </row>
    <row r="261" spans="1:5" x14ac:dyDescent="0.2">
      <c r="A261" s="60">
        <v>45385</v>
      </c>
      <c r="B261" s="41" t="s">
        <v>21</v>
      </c>
      <c r="C261" s="1" t="s">
        <v>760</v>
      </c>
      <c r="D261" s="4">
        <v>-2059.4630136986307</v>
      </c>
      <c r="E261" s="4">
        <f t="shared" si="4"/>
        <v>513269.92135449359</v>
      </c>
    </row>
    <row r="262" spans="1:5" x14ac:dyDescent="0.2">
      <c r="A262" s="60">
        <v>45385</v>
      </c>
      <c r="B262" s="41" t="s">
        <v>21</v>
      </c>
      <c r="C262" s="1" t="s">
        <v>283</v>
      </c>
      <c r="D262" s="4">
        <v>-2048.2849315068493</v>
      </c>
      <c r="E262" s="4">
        <f t="shared" si="4"/>
        <v>511221.63642298675</v>
      </c>
    </row>
    <row r="263" spans="1:5" x14ac:dyDescent="0.2">
      <c r="A263" s="60">
        <v>45385</v>
      </c>
      <c r="B263" s="41" t="s">
        <v>21</v>
      </c>
      <c r="C263" s="1" t="s">
        <v>635</v>
      </c>
      <c r="D263" s="4">
        <v>-2104.794520547945</v>
      </c>
      <c r="E263" s="4">
        <f t="shared" si="4"/>
        <v>509116.84190243878</v>
      </c>
    </row>
    <row r="264" spans="1:5" x14ac:dyDescent="0.2">
      <c r="A264" s="60">
        <v>45385</v>
      </c>
      <c r="B264" s="41" t="s">
        <v>21</v>
      </c>
      <c r="C264" s="1" t="s">
        <v>507</v>
      </c>
      <c r="D264" s="4">
        <v>-2272.4136986301369</v>
      </c>
      <c r="E264" s="4">
        <f t="shared" si="4"/>
        <v>506844.42820380867</v>
      </c>
    </row>
    <row r="265" spans="1:5" x14ac:dyDescent="0.2">
      <c r="A265" s="60">
        <v>45385</v>
      </c>
      <c r="B265" s="41" t="s">
        <v>21</v>
      </c>
      <c r="C265" s="1" t="s">
        <v>708</v>
      </c>
      <c r="D265" s="4">
        <v>-626.52054794520552</v>
      </c>
      <c r="E265" s="4">
        <f t="shared" si="4"/>
        <v>506217.90765586344</v>
      </c>
    </row>
    <row r="266" spans="1:5" x14ac:dyDescent="0.2">
      <c r="A266" s="60">
        <v>45385</v>
      </c>
      <c r="B266" s="41" t="s">
        <v>21</v>
      </c>
      <c r="C266" s="1" t="s">
        <v>563</v>
      </c>
      <c r="D266" s="4">
        <v>-2074.5369863013698</v>
      </c>
      <c r="E266" s="4">
        <f t="shared" si="4"/>
        <v>504143.37066956208</v>
      </c>
    </row>
    <row r="267" spans="1:5" x14ac:dyDescent="0.2">
      <c r="A267" s="60">
        <v>45385</v>
      </c>
      <c r="B267" s="41" t="s">
        <v>21</v>
      </c>
      <c r="C267" s="1" t="s">
        <v>423</v>
      </c>
      <c r="D267" s="4">
        <v>-2017.3935342465754</v>
      </c>
      <c r="E267" s="4">
        <f t="shared" si="4"/>
        <v>502125.97713531548</v>
      </c>
    </row>
    <row r="268" spans="1:5" x14ac:dyDescent="0.2">
      <c r="A268" s="60">
        <v>45385</v>
      </c>
      <c r="B268" s="41" t="s">
        <v>21</v>
      </c>
      <c r="C268" s="1" t="s">
        <v>381</v>
      </c>
      <c r="D268" s="4">
        <v>-2095.0438356164386</v>
      </c>
      <c r="E268" s="4">
        <f t="shared" si="4"/>
        <v>500030.93329969904</v>
      </c>
    </row>
    <row r="269" spans="1:5" x14ac:dyDescent="0.2">
      <c r="A269" s="60">
        <v>45385</v>
      </c>
      <c r="B269" s="41" t="s">
        <v>21</v>
      </c>
      <c r="C269" s="1" t="s">
        <v>340</v>
      </c>
      <c r="D269" s="4">
        <v>-1785.5726027397261</v>
      </c>
      <c r="E269" s="4">
        <f t="shared" si="4"/>
        <v>498245.36069695931</v>
      </c>
    </row>
    <row r="270" spans="1:5" x14ac:dyDescent="0.2">
      <c r="A270" s="60">
        <v>45385</v>
      </c>
      <c r="B270" s="41" t="s">
        <v>21</v>
      </c>
      <c r="C270" s="1" t="s">
        <v>498</v>
      </c>
      <c r="D270" s="4">
        <v>-2166.2781369863014</v>
      </c>
      <c r="E270" s="4">
        <f t="shared" si="4"/>
        <v>496079.082559973</v>
      </c>
    </row>
    <row r="271" spans="1:5" x14ac:dyDescent="0.2">
      <c r="A271" s="60">
        <v>45385</v>
      </c>
      <c r="B271" s="41" t="s">
        <v>21</v>
      </c>
      <c r="C271" s="1" t="s">
        <v>539</v>
      </c>
      <c r="D271" s="4">
        <v>-1131.2273972602741</v>
      </c>
      <c r="E271" s="4">
        <f t="shared" si="4"/>
        <v>494947.85516271275</v>
      </c>
    </row>
    <row r="272" spans="1:5" x14ac:dyDescent="0.2">
      <c r="A272" s="60">
        <v>45385</v>
      </c>
      <c r="B272" s="41" t="s">
        <v>21</v>
      </c>
      <c r="C272" s="1" t="s">
        <v>817</v>
      </c>
      <c r="D272" s="4">
        <v>-2465.0301369863009</v>
      </c>
      <c r="E272" s="4">
        <f t="shared" si="4"/>
        <v>492482.82502572646</v>
      </c>
    </row>
    <row r="273" spans="1:5" x14ac:dyDescent="0.2">
      <c r="A273" s="60">
        <v>45385</v>
      </c>
      <c r="B273" s="41" t="s">
        <v>21</v>
      </c>
      <c r="C273" s="1" t="s">
        <v>832</v>
      </c>
      <c r="D273" s="4">
        <v>-1409.5342465753424</v>
      </c>
      <c r="E273" s="4">
        <f t="shared" si="4"/>
        <v>491073.29077915114</v>
      </c>
    </row>
    <row r="274" spans="1:5" x14ac:dyDescent="0.2">
      <c r="A274" s="60">
        <v>45385</v>
      </c>
      <c r="B274" s="41" t="s">
        <v>21</v>
      </c>
      <c r="C274" s="1" t="s">
        <v>302</v>
      </c>
      <c r="D274" s="4">
        <v>-2217.8712328767124</v>
      </c>
      <c r="E274" s="4">
        <f t="shared" si="4"/>
        <v>488855.41954627441</v>
      </c>
    </row>
    <row r="275" spans="1:5" x14ac:dyDescent="0.2">
      <c r="A275" s="60">
        <v>45385</v>
      </c>
      <c r="B275" s="41" t="s">
        <v>21</v>
      </c>
      <c r="C275" s="1" t="s">
        <v>483</v>
      </c>
      <c r="D275" s="4">
        <v>-1661.3178082191782</v>
      </c>
      <c r="E275" s="4">
        <f t="shared" si="4"/>
        <v>487194.10173805524</v>
      </c>
    </row>
    <row r="276" spans="1:5" x14ac:dyDescent="0.2">
      <c r="A276" s="60">
        <v>45385</v>
      </c>
      <c r="B276" s="41" t="s">
        <v>21</v>
      </c>
      <c r="C276" s="1" t="s">
        <v>770</v>
      </c>
      <c r="D276" s="4">
        <v>-2229.2876712328762</v>
      </c>
      <c r="E276" s="4">
        <f t="shared" si="4"/>
        <v>484964.81406682235</v>
      </c>
    </row>
    <row r="277" spans="1:5" x14ac:dyDescent="0.2">
      <c r="A277" s="60">
        <v>45385</v>
      </c>
      <c r="B277" s="41" t="s">
        <v>21</v>
      </c>
      <c r="C277" s="1" t="s">
        <v>669</v>
      </c>
      <c r="D277" s="4">
        <v>-2206.8931506849312</v>
      </c>
      <c r="E277" s="4">
        <f t="shared" si="4"/>
        <v>482757.9209161374</v>
      </c>
    </row>
    <row r="278" spans="1:5" x14ac:dyDescent="0.2">
      <c r="A278" s="60">
        <v>45385</v>
      </c>
      <c r="B278" s="41" t="s">
        <v>21</v>
      </c>
      <c r="C278" s="1" t="s">
        <v>172</v>
      </c>
      <c r="D278" s="4">
        <v>-2041.5342465753424</v>
      </c>
      <c r="E278" s="4">
        <f t="shared" si="4"/>
        <v>480716.38666956208</v>
      </c>
    </row>
    <row r="279" spans="1:5" x14ac:dyDescent="0.2">
      <c r="A279" s="60">
        <v>45387</v>
      </c>
      <c r="B279" s="41" t="s">
        <v>19</v>
      </c>
      <c r="C279" s="1" t="s">
        <v>331</v>
      </c>
      <c r="D279" s="4">
        <v>44.645000000000003</v>
      </c>
      <c r="E279" s="4">
        <f t="shared" si="4"/>
        <v>480761.0316695621</v>
      </c>
    </row>
    <row r="280" spans="1:5" x14ac:dyDescent="0.2">
      <c r="A280" s="60">
        <v>45387</v>
      </c>
      <c r="B280" s="41" t="s">
        <v>19</v>
      </c>
      <c r="C280" s="1" t="s">
        <v>773</v>
      </c>
      <c r="D280" s="4">
        <v>65</v>
      </c>
      <c r="E280" s="4">
        <f t="shared" si="4"/>
        <v>480826.0316695621</v>
      </c>
    </row>
    <row r="281" spans="1:5" x14ac:dyDescent="0.2">
      <c r="A281" s="60">
        <v>45387</v>
      </c>
      <c r="B281" s="41" t="s">
        <v>19</v>
      </c>
      <c r="C281" s="1" t="s">
        <v>179</v>
      </c>
      <c r="D281" s="4">
        <v>120</v>
      </c>
      <c r="E281" s="4">
        <f t="shared" si="4"/>
        <v>480946.0316695621</v>
      </c>
    </row>
    <row r="282" spans="1:5" x14ac:dyDescent="0.2">
      <c r="A282" s="60">
        <v>45388</v>
      </c>
      <c r="B282" s="41" t="s">
        <v>19</v>
      </c>
      <c r="C282" s="1" t="s">
        <v>492</v>
      </c>
      <c r="D282" s="4">
        <v>157.5</v>
      </c>
      <c r="E282" s="4">
        <f t="shared" si="4"/>
        <v>481103.5316695621</v>
      </c>
    </row>
    <row r="283" spans="1:5" x14ac:dyDescent="0.2">
      <c r="A283" s="60">
        <v>45388</v>
      </c>
      <c r="B283" s="41" t="s">
        <v>19</v>
      </c>
      <c r="C283" s="1" t="s">
        <v>105</v>
      </c>
      <c r="D283" s="4">
        <v>110.00000000000001</v>
      </c>
      <c r="E283" s="4">
        <f t="shared" si="4"/>
        <v>481213.5316695621</v>
      </c>
    </row>
    <row r="284" spans="1:5" x14ac:dyDescent="0.2">
      <c r="A284" s="60">
        <v>45389</v>
      </c>
      <c r="B284" s="41" t="s">
        <v>19</v>
      </c>
      <c r="C284" s="1" t="s">
        <v>450</v>
      </c>
      <c r="D284" s="4">
        <v>40</v>
      </c>
      <c r="E284" s="4">
        <f t="shared" si="4"/>
        <v>481253.5316695621</v>
      </c>
    </row>
    <row r="285" spans="1:5" x14ac:dyDescent="0.2">
      <c r="A285" s="98">
        <v>45390</v>
      </c>
      <c r="B285" s="1" t="s">
        <v>914</v>
      </c>
      <c r="C285" s="1" t="s">
        <v>897</v>
      </c>
      <c r="D285" s="119">
        <v>-9778.75</v>
      </c>
      <c r="E285" s="4">
        <f t="shared" si="4"/>
        <v>471474.7816695621</v>
      </c>
    </row>
    <row r="286" spans="1:5" x14ac:dyDescent="0.2">
      <c r="A286" s="98">
        <v>45390</v>
      </c>
      <c r="B286" s="1" t="s">
        <v>914</v>
      </c>
      <c r="C286" s="1" t="s">
        <v>899</v>
      </c>
      <c r="D286" s="119">
        <v>-5904</v>
      </c>
      <c r="E286" s="4">
        <f t="shared" si="4"/>
        <v>465570.7816695621</v>
      </c>
    </row>
    <row r="287" spans="1:5" x14ac:dyDescent="0.2">
      <c r="A287" s="98">
        <v>45390</v>
      </c>
      <c r="B287" s="1" t="s">
        <v>914</v>
      </c>
      <c r="C287" s="1" t="s">
        <v>898</v>
      </c>
      <c r="D287" s="119">
        <v>-3865</v>
      </c>
      <c r="E287" s="4">
        <f t="shared" si="4"/>
        <v>461705.7816695621</v>
      </c>
    </row>
    <row r="288" spans="1:5" x14ac:dyDescent="0.2">
      <c r="A288" s="60">
        <v>45390</v>
      </c>
      <c r="B288" s="41" t="s">
        <v>19</v>
      </c>
      <c r="C288" s="1" t="s">
        <v>557</v>
      </c>
      <c r="D288" s="4">
        <v>75</v>
      </c>
      <c r="E288" s="4">
        <f t="shared" si="4"/>
        <v>461780.7816695621</v>
      </c>
    </row>
    <row r="289" spans="1:5" x14ac:dyDescent="0.2">
      <c r="A289" s="60">
        <v>45390</v>
      </c>
      <c r="B289" s="41" t="s">
        <v>19</v>
      </c>
      <c r="C289" s="1" t="s">
        <v>108</v>
      </c>
      <c r="D289" s="4">
        <v>67.11</v>
      </c>
      <c r="E289" s="4">
        <f t="shared" si="4"/>
        <v>461847.89166956209</v>
      </c>
    </row>
    <row r="290" spans="1:5" x14ac:dyDescent="0.2">
      <c r="A290" s="60">
        <v>45390</v>
      </c>
      <c r="B290" s="41" t="s">
        <v>19</v>
      </c>
      <c r="C290" s="1" t="s">
        <v>20</v>
      </c>
      <c r="D290" s="4">
        <f>E289*0.01*7/365</f>
        <v>88.573568265395465</v>
      </c>
      <c r="E290" s="4">
        <f t="shared" si="4"/>
        <v>461936.46523782751</v>
      </c>
    </row>
    <row r="291" spans="1:5" x14ac:dyDescent="0.2">
      <c r="A291" s="60">
        <v>45393</v>
      </c>
      <c r="B291" s="41" t="s">
        <v>19</v>
      </c>
      <c r="C291" s="1" t="s">
        <v>779</v>
      </c>
      <c r="D291" s="4">
        <v>127.5</v>
      </c>
      <c r="E291" s="4">
        <f t="shared" si="4"/>
        <v>462063.96523782751</v>
      </c>
    </row>
    <row r="292" spans="1:5" x14ac:dyDescent="0.2">
      <c r="A292" s="60">
        <v>45394</v>
      </c>
      <c r="B292" s="41" t="s">
        <v>19</v>
      </c>
      <c r="C292" s="1" t="s">
        <v>224</v>
      </c>
      <c r="D292" s="4">
        <v>50.875</v>
      </c>
      <c r="E292" s="4">
        <f t="shared" si="4"/>
        <v>462114.84023782751</v>
      </c>
    </row>
    <row r="293" spans="1:5" x14ac:dyDescent="0.2">
      <c r="A293" s="60">
        <v>45395</v>
      </c>
      <c r="B293" s="41" t="s">
        <v>19</v>
      </c>
      <c r="C293" s="1" t="s">
        <v>269</v>
      </c>
      <c r="D293" s="4">
        <v>97.5</v>
      </c>
      <c r="E293" s="4">
        <f t="shared" si="4"/>
        <v>462212.34023782751</v>
      </c>
    </row>
    <row r="294" spans="1:5" x14ac:dyDescent="0.2">
      <c r="A294" s="60">
        <v>45397</v>
      </c>
      <c r="B294" s="41" t="s">
        <v>19</v>
      </c>
      <c r="C294" s="1" t="s">
        <v>329</v>
      </c>
      <c r="D294" s="4">
        <v>44.71</v>
      </c>
      <c r="E294" s="4">
        <f t="shared" si="4"/>
        <v>462257.05023782753</v>
      </c>
    </row>
    <row r="295" spans="1:5" x14ac:dyDescent="0.2">
      <c r="A295" s="60">
        <v>45397</v>
      </c>
      <c r="B295" s="41" t="s">
        <v>19</v>
      </c>
      <c r="C295" s="1" t="s">
        <v>514</v>
      </c>
      <c r="D295" s="4">
        <v>77.5</v>
      </c>
      <c r="E295" s="4">
        <f t="shared" si="4"/>
        <v>462334.55023782753</v>
      </c>
    </row>
    <row r="296" spans="1:5" x14ac:dyDescent="0.2">
      <c r="A296" s="60">
        <v>45397</v>
      </c>
      <c r="B296" s="41" t="s">
        <v>19</v>
      </c>
      <c r="C296" s="1" t="s">
        <v>866</v>
      </c>
      <c r="D296" s="4">
        <v>60</v>
      </c>
      <c r="E296" s="4">
        <f t="shared" si="4"/>
        <v>462394.55023782753</v>
      </c>
    </row>
    <row r="297" spans="1:5" x14ac:dyDescent="0.2">
      <c r="A297" s="60">
        <v>45397</v>
      </c>
      <c r="B297" s="41" t="s">
        <v>19</v>
      </c>
      <c r="C297" s="1" t="s">
        <v>417</v>
      </c>
      <c r="D297" s="4">
        <v>40.96</v>
      </c>
      <c r="E297" s="4">
        <f t="shared" si="4"/>
        <v>462435.51023782755</v>
      </c>
    </row>
    <row r="298" spans="1:5" x14ac:dyDescent="0.2">
      <c r="A298" s="60">
        <v>45397</v>
      </c>
      <c r="B298" s="41" t="s">
        <v>19</v>
      </c>
      <c r="C298" s="1" t="s">
        <v>411</v>
      </c>
      <c r="D298" s="4">
        <v>82.5</v>
      </c>
      <c r="E298" s="4">
        <f t="shared" si="4"/>
        <v>462518.01023782755</v>
      </c>
    </row>
    <row r="299" spans="1:5" x14ac:dyDescent="0.2">
      <c r="A299" s="60">
        <v>45397</v>
      </c>
      <c r="B299" s="41" t="s">
        <v>19</v>
      </c>
      <c r="C299" s="1" t="s">
        <v>132</v>
      </c>
      <c r="D299" s="4">
        <v>43.46</v>
      </c>
      <c r="E299" s="4">
        <f t="shared" si="4"/>
        <v>462561.47023782757</v>
      </c>
    </row>
    <row r="300" spans="1:5" x14ac:dyDescent="0.2">
      <c r="A300" s="60">
        <v>45397</v>
      </c>
      <c r="B300" s="41" t="s">
        <v>19</v>
      </c>
      <c r="C300" s="1" t="s">
        <v>372</v>
      </c>
      <c r="D300" s="4">
        <v>42.805</v>
      </c>
      <c r="E300" s="4">
        <f t="shared" si="4"/>
        <v>462604.27523782756</v>
      </c>
    </row>
    <row r="301" spans="1:5" x14ac:dyDescent="0.2">
      <c r="A301" s="60">
        <v>45397</v>
      </c>
      <c r="B301" s="41" t="s">
        <v>19</v>
      </c>
      <c r="C301" s="1" t="s">
        <v>141</v>
      </c>
      <c r="D301" s="4">
        <v>49.709999999999994</v>
      </c>
      <c r="E301" s="4">
        <f t="shared" si="4"/>
        <v>462653.98523782758</v>
      </c>
    </row>
    <row r="302" spans="1:5" x14ac:dyDescent="0.2">
      <c r="A302" s="60">
        <v>45397</v>
      </c>
      <c r="B302" s="41" t="s">
        <v>19</v>
      </c>
      <c r="C302" s="1" t="s">
        <v>875</v>
      </c>
      <c r="D302" s="4">
        <v>43.46</v>
      </c>
      <c r="E302" s="4">
        <f t="shared" si="4"/>
        <v>462697.4452378276</v>
      </c>
    </row>
    <row r="303" spans="1:5" x14ac:dyDescent="0.2">
      <c r="A303" s="60">
        <v>45397</v>
      </c>
      <c r="B303" s="41" t="s">
        <v>19</v>
      </c>
      <c r="C303" s="1" t="s">
        <v>381</v>
      </c>
      <c r="D303" s="4">
        <v>85</v>
      </c>
      <c r="E303" s="4">
        <f t="shared" si="4"/>
        <v>462782.4452378276</v>
      </c>
    </row>
    <row r="304" spans="1:5" x14ac:dyDescent="0.2">
      <c r="A304" s="60">
        <v>45397</v>
      </c>
      <c r="B304" s="41" t="s">
        <v>19</v>
      </c>
      <c r="C304" s="1" t="s">
        <v>302</v>
      </c>
      <c r="D304" s="4">
        <v>92.5</v>
      </c>
      <c r="E304" s="4">
        <f t="shared" si="4"/>
        <v>462874.9452378276</v>
      </c>
    </row>
    <row r="305" spans="1:7" x14ac:dyDescent="0.2">
      <c r="A305" s="60">
        <v>45397</v>
      </c>
      <c r="B305" s="41" t="s">
        <v>19</v>
      </c>
      <c r="C305" s="1" t="s">
        <v>20</v>
      </c>
      <c r="D305" s="4">
        <f>E304*0.01*7/365</f>
        <v>88.770537442871046</v>
      </c>
      <c r="E305" s="4">
        <f t="shared" si="4"/>
        <v>462963.71577527048</v>
      </c>
    </row>
    <row r="306" spans="1:7" x14ac:dyDescent="0.2">
      <c r="A306" s="60">
        <v>45397</v>
      </c>
      <c r="B306" s="41" t="s">
        <v>939</v>
      </c>
      <c r="C306" s="1" t="s">
        <v>55</v>
      </c>
      <c r="D306" s="4">
        <v>84.457534246575349</v>
      </c>
      <c r="E306" s="4">
        <f t="shared" si="4"/>
        <v>463048.17330951703</v>
      </c>
      <c r="G306" s="4"/>
    </row>
    <row r="307" spans="1:7" x14ac:dyDescent="0.2">
      <c r="A307" s="60">
        <v>45397</v>
      </c>
      <c r="B307" s="41" t="s">
        <v>938</v>
      </c>
      <c r="C307" s="1" t="s">
        <v>875</v>
      </c>
      <c r="D307" s="4">
        <v>2000.4762739726027</v>
      </c>
      <c r="E307" s="4">
        <f t="shared" si="4"/>
        <v>465048.64958348963</v>
      </c>
      <c r="G307" s="4"/>
    </row>
    <row r="308" spans="1:7" x14ac:dyDescent="0.2">
      <c r="A308" s="60">
        <v>45398</v>
      </c>
      <c r="B308" s="41" t="s">
        <v>19</v>
      </c>
      <c r="C308" s="1" t="s">
        <v>838</v>
      </c>
      <c r="D308" s="4">
        <v>120</v>
      </c>
      <c r="E308" s="4">
        <f t="shared" si="4"/>
        <v>465168.64958348963</v>
      </c>
    </row>
    <row r="309" spans="1:7" x14ac:dyDescent="0.2">
      <c r="A309" s="60">
        <v>45398</v>
      </c>
      <c r="B309" s="41" t="s">
        <v>937</v>
      </c>
      <c r="C309" s="1" t="s">
        <v>838</v>
      </c>
      <c r="D309" s="4">
        <v>960.32876712328766</v>
      </c>
      <c r="E309" s="4">
        <f t="shared" si="4"/>
        <v>466128.97835061292</v>
      </c>
    </row>
    <row r="310" spans="1:7" x14ac:dyDescent="0.2">
      <c r="A310" s="60">
        <v>45399</v>
      </c>
      <c r="B310" s="41" t="s">
        <v>19</v>
      </c>
      <c r="C310" s="1" t="s">
        <v>279</v>
      </c>
      <c r="D310" s="4">
        <v>47.160000000000004</v>
      </c>
      <c r="E310" s="4">
        <f t="shared" si="4"/>
        <v>466176.13835061289</v>
      </c>
    </row>
    <row r="311" spans="1:7" x14ac:dyDescent="0.2">
      <c r="A311" s="60">
        <v>45399</v>
      </c>
      <c r="B311" s="41" t="s">
        <v>19</v>
      </c>
      <c r="C311" s="1" t="s">
        <v>420</v>
      </c>
      <c r="D311" s="4">
        <v>40.96</v>
      </c>
      <c r="E311" s="4">
        <f t="shared" si="4"/>
        <v>466217.09835061291</v>
      </c>
    </row>
    <row r="312" spans="1:7" x14ac:dyDescent="0.2">
      <c r="A312" s="60">
        <v>45399</v>
      </c>
      <c r="B312" s="41" t="s">
        <v>19</v>
      </c>
      <c r="C312" s="1" t="s">
        <v>359</v>
      </c>
      <c r="D312" s="4">
        <v>43.410000000000004</v>
      </c>
      <c r="E312" s="4">
        <f t="shared" si="4"/>
        <v>466260.50835061289</v>
      </c>
      <c r="G312" s="4"/>
    </row>
    <row r="313" spans="1:7" x14ac:dyDescent="0.2">
      <c r="A313" s="60">
        <v>45399</v>
      </c>
      <c r="B313" s="41" t="s">
        <v>938</v>
      </c>
      <c r="C313" s="1" t="s">
        <v>308</v>
      </c>
      <c r="D313" s="4">
        <v>1981.01753424658</v>
      </c>
      <c r="E313" s="4">
        <f t="shared" si="4"/>
        <v>468241.52588485944</v>
      </c>
    </row>
    <row r="314" spans="1:7" x14ac:dyDescent="0.2">
      <c r="A314" s="60">
        <v>45399</v>
      </c>
      <c r="B314" s="41" t="s">
        <v>21</v>
      </c>
      <c r="C314" s="1" t="s">
        <v>952</v>
      </c>
      <c r="D314" s="4">
        <v>-1895.37972829824</v>
      </c>
      <c r="E314" s="4">
        <f t="shared" si="4"/>
        <v>466346.14615656121</v>
      </c>
    </row>
    <row r="315" spans="1:7" x14ac:dyDescent="0.2">
      <c r="A315" s="60">
        <v>45400</v>
      </c>
      <c r="B315" s="41" t="s">
        <v>19</v>
      </c>
      <c r="C315" s="1" t="s">
        <v>71</v>
      </c>
      <c r="D315" s="4">
        <v>95</v>
      </c>
      <c r="E315" s="4">
        <f t="shared" si="4"/>
        <v>466441.14615656121</v>
      </c>
    </row>
    <row r="316" spans="1:7" x14ac:dyDescent="0.2">
      <c r="A316" s="60">
        <v>45400</v>
      </c>
      <c r="B316" s="41" t="s">
        <v>19</v>
      </c>
      <c r="C316" s="1" t="s">
        <v>799</v>
      </c>
      <c r="D316" s="4">
        <v>62.5</v>
      </c>
      <c r="E316" s="4">
        <f t="shared" si="4"/>
        <v>466503.64615656121</v>
      </c>
    </row>
    <row r="317" spans="1:7" x14ac:dyDescent="0.2">
      <c r="A317" s="60">
        <v>45400</v>
      </c>
      <c r="B317" s="41" t="s">
        <v>19</v>
      </c>
      <c r="C317" s="1" t="s">
        <v>699</v>
      </c>
      <c r="D317" s="4">
        <v>67.5</v>
      </c>
      <c r="E317" s="4">
        <f t="shared" si="4"/>
        <v>466571.14615656121</v>
      </c>
    </row>
    <row r="318" spans="1:7" x14ac:dyDescent="0.2">
      <c r="A318" s="60">
        <v>45404</v>
      </c>
      <c r="B318" s="41" t="s">
        <v>19</v>
      </c>
      <c r="C318" s="1" t="s">
        <v>20</v>
      </c>
      <c r="D318" s="4">
        <f>E317*0.01*7/365</f>
        <v>89.479397893039135</v>
      </c>
      <c r="E318" s="4">
        <f t="shared" si="4"/>
        <v>466660.62555445422</v>
      </c>
      <c r="F318" s="4"/>
    </row>
    <row r="319" spans="1:7" x14ac:dyDescent="0.2">
      <c r="A319" s="60">
        <v>45406</v>
      </c>
      <c r="B319" s="1" t="s">
        <v>21</v>
      </c>
      <c r="C319" s="41" t="s">
        <v>972</v>
      </c>
      <c r="D319" s="4">
        <v>-471.26712328767121</v>
      </c>
      <c r="E319" s="4">
        <f t="shared" si="4"/>
        <v>466189.35843116656</v>
      </c>
      <c r="G319" s="5"/>
    </row>
    <row r="320" spans="1:7" x14ac:dyDescent="0.2">
      <c r="A320" s="60">
        <v>45406</v>
      </c>
      <c r="B320" s="1" t="s">
        <v>21</v>
      </c>
      <c r="C320" s="41" t="s">
        <v>957</v>
      </c>
      <c r="D320" s="4">
        <v>-560.37084931506854</v>
      </c>
      <c r="E320" s="4">
        <f t="shared" si="4"/>
        <v>465628.98758185148</v>
      </c>
      <c r="G320" s="5"/>
    </row>
    <row r="321" spans="1:7" x14ac:dyDescent="0.2">
      <c r="A321" s="60">
        <v>45406</v>
      </c>
      <c r="B321" s="1" t="s">
        <v>21</v>
      </c>
      <c r="C321" s="41" t="s">
        <v>913</v>
      </c>
      <c r="D321" s="4">
        <v>-2003.8356164383561</v>
      </c>
      <c r="E321" s="4">
        <f t="shared" si="4"/>
        <v>463625.15196541313</v>
      </c>
      <c r="G321" s="5"/>
    </row>
    <row r="322" spans="1:7" x14ac:dyDescent="0.2">
      <c r="A322" s="60">
        <v>45406</v>
      </c>
      <c r="B322" s="1" t="s">
        <v>21</v>
      </c>
      <c r="C322" s="41" t="s">
        <v>960</v>
      </c>
      <c r="D322" s="4">
        <v>-2007.5068493150684</v>
      </c>
      <c r="E322" s="4">
        <f t="shared" si="4"/>
        <v>461617.64511609805</v>
      </c>
      <c r="G322" s="5"/>
    </row>
    <row r="323" spans="1:7" x14ac:dyDescent="0.2">
      <c r="A323" s="60">
        <v>45406</v>
      </c>
      <c r="B323" s="1" t="s">
        <v>21</v>
      </c>
      <c r="C323" s="41" t="s">
        <v>975</v>
      </c>
      <c r="D323" s="4">
        <v>-1888.4684931506849</v>
      </c>
      <c r="E323" s="4">
        <f t="shared" si="4"/>
        <v>459729.17662294739</v>
      </c>
      <c r="G323" s="5"/>
    </row>
    <row r="324" spans="1:7" x14ac:dyDescent="0.2">
      <c r="A324" s="60">
        <v>45406</v>
      </c>
      <c r="B324" s="1" t="s">
        <v>21</v>
      </c>
      <c r="C324" s="41" t="s">
        <v>978</v>
      </c>
      <c r="D324" s="4">
        <v>-1924.3013698630139</v>
      </c>
      <c r="E324" s="4">
        <f t="shared" si="4"/>
        <v>457804.87525308435</v>
      </c>
      <c r="G324" s="5"/>
    </row>
    <row r="325" spans="1:7" x14ac:dyDescent="0.2">
      <c r="A325" s="60">
        <v>45406</v>
      </c>
      <c r="B325" s="1" t="s">
        <v>21</v>
      </c>
      <c r="C325" s="41" t="s">
        <v>963</v>
      </c>
      <c r="D325" s="4">
        <v>-2277.6438356164385</v>
      </c>
      <c r="E325" s="4">
        <f t="shared" si="4"/>
        <v>455527.23141746793</v>
      </c>
      <c r="G325" s="5"/>
    </row>
    <row r="326" spans="1:7" x14ac:dyDescent="0.2">
      <c r="A326" s="60">
        <v>45406</v>
      </c>
      <c r="B326" s="1" t="s">
        <v>21</v>
      </c>
      <c r="C326" s="41" t="s">
        <v>966</v>
      </c>
      <c r="D326" s="4">
        <v>-2240.9260273972604</v>
      </c>
      <c r="E326" s="4">
        <f t="shared" ref="E326:E327" si="5">IF(D326="","",D326+E325)</f>
        <v>453286.30539007066</v>
      </c>
      <c r="G326" s="5"/>
    </row>
    <row r="327" spans="1:7" x14ac:dyDescent="0.2">
      <c r="A327" s="60">
        <v>45406</v>
      </c>
      <c r="B327" s="1" t="s">
        <v>21</v>
      </c>
      <c r="C327" s="41" t="s">
        <v>969</v>
      </c>
      <c r="D327" s="4">
        <v>-2240.0164383561641</v>
      </c>
      <c r="E327" s="4">
        <f t="shared" si="5"/>
        <v>451046.28895171452</v>
      </c>
      <c r="G327" s="5"/>
    </row>
    <row r="328" spans="1:7" x14ac:dyDescent="0.2">
      <c r="A328" s="60">
        <v>45408</v>
      </c>
      <c r="B328" s="41" t="s">
        <v>19</v>
      </c>
      <c r="C328" s="1" t="s">
        <v>175</v>
      </c>
      <c r="D328" s="4">
        <v>132.5</v>
      </c>
      <c r="E328" s="4">
        <f t="shared" ref="E328:E397" si="6">IF(D328="","",D328+E327)</f>
        <v>451178.78895171452</v>
      </c>
    </row>
    <row r="329" spans="1:7" x14ac:dyDescent="0.2">
      <c r="A329" s="60">
        <v>45409</v>
      </c>
      <c r="B329" s="41" t="s">
        <v>19</v>
      </c>
      <c r="C329" s="1" t="s">
        <v>336</v>
      </c>
      <c r="D329" s="4">
        <v>177.5</v>
      </c>
      <c r="E329" s="4">
        <f t="shared" si="6"/>
        <v>451356.28895171452</v>
      </c>
    </row>
    <row r="330" spans="1:7" x14ac:dyDescent="0.2">
      <c r="A330" s="60">
        <v>45410</v>
      </c>
      <c r="B330" s="41" t="s">
        <v>19</v>
      </c>
      <c r="C330" s="1" t="s">
        <v>283</v>
      </c>
      <c r="D330" s="4">
        <v>47.125</v>
      </c>
      <c r="E330" s="4">
        <f t="shared" si="6"/>
        <v>451403.41395171452</v>
      </c>
    </row>
    <row r="331" spans="1:7" x14ac:dyDescent="0.2">
      <c r="A331" s="60">
        <v>45411</v>
      </c>
      <c r="B331" s="41" t="s">
        <v>19</v>
      </c>
      <c r="C331" s="1" t="s">
        <v>554</v>
      </c>
      <c r="D331" s="4">
        <v>149.17808219177999</v>
      </c>
      <c r="E331" s="4">
        <f t="shared" si="6"/>
        <v>451552.59203390632</v>
      </c>
    </row>
    <row r="332" spans="1:7" x14ac:dyDescent="0.2">
      <c r="A332" s="60">
        <v>45411</v>
      </c>
      <c r="B332" s="41" t="s">
        <v>19</v>
      </c>
      <c r="C332" s="1" t="s">
        <v>20</v>
      </c>
      <c r="D332" s="4">
        <f>E330*0.01*7/365</f>
        <v>86.570517744164434</v>
      </c>
      <c r="E332" s="4">
        <f t="shared" si="6"/>
        <v>451639.16255165049</v>
      </c>
    </row>
    <row r="333" spans="1:7" x14ac:dyDescent="0.2">
      <c r="A333" s="60">
        <v>45412</v>
      </c>
      <c r="B333" s="41" t="s">
        <v>937</v>
      </c>
      <c r="C333" s="1" t="s">
        <v>554</v>
      </c>
      <c r="D333" s="4">
        <v>2000</v>
      </c>
      <c r="E333" s="4">
        <f t="shared" si="6"/>
        <v>453639.16255165049</v>
      </c>
    </row>
    <row r="334" spans="1:7" x14ac:dyDescent="0.2">
      <c r="A334" s="98">
        <v>45412</v>
      </c>
      <c r="B334" s="1" t="s">
        <v>19</v>
      </c>
      <c r="C334" s="1" t="s">
        <v>47</v>
      </c>
      <c r="D334" s="5">
        <v>44.484999999999999</v>
      </c>
      <c r="E334" s="4">
        <f t="shared" si="6"/>
        <v>453683.64755165047</v>
      </c>
      <c r="F334" s="5"/>
    </row>
    <row r="335" spans="1:7" x14ac:dyDescent="0.2">
      <c r="A335" s="98">
        <v>45412</v>
      </c>
      <c r="B335" s="1" t="s">
        <v>19</v>
      </c>
      <c r="C335" s="1" t="s">
        <v>71</v>
      </c>
      <c r="D335" s="5">
        <v>65</v>
      </c>
      <c r="E335" s="4">
        <f t="shared" si="6"/>
        <v>453748.64755165047</v>
      </c>
      <c r="F335" s="5"/>
    </row>
    <row r="336" spans="1:7" x14ac:dyDescent="0.2">
      <c r="A336" s="98">
        <v>45412</v>
      </c>
      <c r="B336" s="1" t="s">
        <v>19</v>
      </c>
      <c r="C336" s="1" t="s">
        <v>230</v>
      </c>
      <c r="D336" s="5">
        <v>16.666666666666668</v>
      </c>
      <c r="E336" s="4">
        <f t="shared" si="6"/>
        <v>453765.31421831716</v>
      </c>
      <c r="F336"/>
    </row>
    <row r="337" spans="1:6" x14ac:dyDescent="0.2">
      <c r="A337" s="98">
        <v>45412</v>
      </c>
      <c r="B337" s="1" t="s">
        <v>19</v>
      </c>
      <c r="C337" s="1" t="s">
        <v>576</v>
      </c>
      <c r="D337" s="5">
        <v>75</v>
      </c>
      <c r="E337" s="4">
        <f t="shared" si="6"/>
        <v>453840.31421831716</v>
      </c>
      <c r="F337"/>
    </row>
    <row r="338" spans="1:6" x14ac:dyDescent="0.2">
      <c r="A338" s="98">
        <v>45412</v>
      </c>
      <c r="B338" s="1" t="s">
        <v>19</v>
      </c>
      <c r="C338" s="1" t="s">
        <v>504</v>
      </c>
      <c r="D338" s="5">
        <v>38.809999999999995</v>
      </c>
      <c r="E338" s="4">
        <f t="shared" si="6"/>
        <v>453879.12421831716</v>
      </c>
      <c r="F338"/>
    </row>
    <row r="339" spans="1:6" x14ac:dyDescent="0.2">
      <c r="A339" s="98">
        <v>45412</v>
      </c>
      <c r="B339" s="1" t="s">
        <v>19</v>
      </c>
      <c r="C339" s="1" t="s">
        <v>299</v>
      </c>
      <c r="D339" s="5">
        <v>92.5</v>
      </c>
      <c r="E339" s="4">
        <f t="shared" si="6"/>
        <v>453971.62421831716</v>
      </c>
      <c r="F339"/>
    </row>
    <row r="340" spans="1:6" x14ac:dyDescent="0.2">
      <c r="A340" s="98">
        <v>45412</v>
      </c>
      <c r="B340" s="1" t="s">
        <v>19</v>
      </c>
      <c r="C340" s="1" t="s">
        <v>468</v>
      </c>
      <c r="D340" s="5">
        <v>160</v>
      </c>
      <c r="E340" s="4">
        <f t="shared" si="6"/>
        <v>454131.62421831716</v>
      </c>
      <c r="F340"/>
    </row>
    <row r="341" spans="1:6" x14ac:dyDescent="0.2">
      <c r="A341" s="98">
        <v>45412</v>
      </c>
      <c r="B341" s="1" t="s">
        <v>19</v>
      </c>
      <c r="C341" s="1" t="s">
        <v>570</v>
      </c>
      <c r="D341" s="5">
        <v>75</v>
      </c>
      <c r="E341" s="4">
        <f t="shared" si="6"/>
        <v>454206.62421831716</v>
      </c>
      <c r="F341"/>
    </row>
    <row r="342" spans="1:6" x14ac:dyDescent="0.2">
      <c r="A342" s="98">
        <v>45412</v>
      </c>
      <c r="B342" s="1" t="s">
        <v>21</v>
      </c>
      <c r="C342" s="1" t="s">
        <v>1492</v>
      </c>
      <c r="D342" s="5">
        <v>-2042.2419726027399</v>
      </c>
      <c r="E342" s="4">
        <f t="shared" si="6"/>
        <v>452164.38224571443</v>
      </c>
      <c r="F342"/>
    </row>
    <row r="343" spans="1:6" x14ac:dyDescent="0.2">
      <c r="A343" s="98">
        <v>45412</v>
      </c>
      <c r="B343" s="1" t="s">
        <v>21</v>
      </c>
      <c r="C343" s="1" t="s">
        <v>1495</v>
      </c>
      <c r="D343" s="5">
        <v>-2035.49753424658</v>
      </c>
      <c r="E343" s="4">
        <f t="shared" si="6"/>
        <v>450128.88471146784</v>
      </c>
      <c r="F343"/>
    </row>
    <row r="344" spans="1:6" x14ac:dyDescent="0.2">
      <c r="A344" s="98">
        <v>45412</v>
      </c>
      <c r="B344" s="1" t="s">
        <v>21</v>
      </c>
      <c r="C344" s="1" t="s">
        <v>1770</v>
      </c>
      <c r="D344" s="5">
        <v>-1982.99046575342</v>
      </c>
      <c r="E344" s="4">
        <f t="shared" si="6"/>
        <v>448145.89424571441</v>
      </c>
      <c r="F344"/>
    </row>
    <row r="345" spans="1:6" x14ac:dyDescent="0.2">
      <c r="A345" s="98">
        <v>45412</v>
      </c>
      <c r="B345" s="1" t="s">
        <v>21</v>
      </c>
      <c r="C345" s="1" t="s">
        <v>1498</v>
      </c>
      <c r="D345" s="5">
        <v>-2080.7397260274001</v>
      </c>
      <c r="E345" s="4">
        <f t="shared" si="6"/>
        <v>446065.154519687</v>
      </c>
      <c r="F345"/>
    </row>
    <row r="346" spans="1:6" x14ac:dyDescent="0.2">
      <c r="A346" s="98">
        <v>45412</v>
      </c>
      <c r="B346" s="1" t="s">
        <v>939</v>
      </c>
      <c r="C346" s="1" t="s">
        <v>42</v>
      </c>
      <c r="D346" s="5">
        <v>1990.6109589041096</v>
      </c>
      <c r="E346" s="4">
        <f t="shared" si="6"/>
        <v>448055.76547859109</v>
      </c>
      <c r="F346"/>
    </row>
    <row r="347" spans="1:6" x14ac:dyDescent="0.2">
      <c r="A347" s="98">
        <v>45412</v>
      </c>
      <c r="B347" s="1" t="s">
        <v>939</v>
      </c>
      <c r="C347" s="1" t="s">
        <v>60</v>
      </c>
      <c r="D347" s="5">
        <v>2028</v>
      </c>
      <c r="E347" s="4">
        <f>IF(D347="","",D347+E346)</f>
        <v>450083.76547859109</v>
      </c>
      <c r="F347"/>
    </row>
    <row r="348" spans="1:6" x14ac:dyDescent="0.2">
      <c r="A348" s="98">
        <v>45412</v>
      </c>
      <c r="B348" s="1" t="s">
        <v>939</v>
      </c>
      <c r="C348" s="1" t="s">
        <v>71</v>
      </c>
      <c r="D348" s="5">
        <v>2060.7123287671234</v>
      </c>
      <c r="E348" s="4">
        <f t="shared" si="6"/>
        <v>452144.4778073582</v>
      </c>
      <c r="F348"/>
    </row>
    <row r="349" spans="1:6" x14ac:dyDescent="0.2">
      <c r="A349" s="98">
        <v>45412</v>
      </c>
      <c r="B349" s="1" t="s">
        <v>939</v>
      </c>
      <c r="C349" s="1" t="s">
        <v>74</v>
      </c>
      <c r="D349" s="5">
        <v>2014.352767123288</v>
      </c>
      <c r="E349" s="4">
        <f t="shared" si="6"/>
        <v>454158.83057448152</v>
      </c>
      <c r="F349"/>
    </row>
    <row r="350" spans="1:6" x14ac:dyDescent="0.2">
      <c r="A350" s="98">
        <v>45412</v>
      </c>
      <c r="B350" s="1" t="s">
        <v>939</v>
      </c>
      <c r="C350" s="1" t="s">
        <v>84</v>
      </c>
      <c r="D350" s="5">
        <v>1459.0550684931507</v>
      </c>
      <c r="E350" s="4">
        <f t="shared" si="6"/>
        <v>455617.88564297464</v>
      </c>
      <c r="F350"/>
    </row>
    <row r="351" spans="1:6" x14ac:dyDescent="0.2">
      <c r="A351" s="98">
        <v>45412</v>
      </c>
      <c r="B351" s="1" t="s">
        <v>939</v>
      </c>
      <c r="C351" s="1" t="s">
        <v>525</v>
      </c>
      <c r="D351" s="5">
        <v>2074.9095890410958</v>
      </c>
      <c r="E351" s="4">
        <f t="shared" si="6"/>
        <v>457692.79523201572</v>
      </c>
      <c r="F351"/>
    </row>
    <row r="352" spans="1:6" x14ac:dyDescent="0.2">
      <c r="A352" s="98">
        <v>45412</v>
      </c>
      <c r="B352" s="1" t="s">
        <v>939</v>
      </c>
      <c r="C352" s="1" t="s">
        <v>115</v>
      </c>
      <c r="D352" s="5">
        <v>2077.6671232876711</v>
      </c>
      <c r="E352" s="4">
        <f t="shared" si="6"/>
        <v>459770.4623553034</v>
      </c>
      <c r="F352"/>
    </row>
    <row r="353" spans="1:6" x14ac:dyDescent="0.2">
      <c r="A353" s="98">
        <v>45412</v>
      </c>
      <c r="B353" s="1" t="s">
        <v>939</v>
      </c>
      <c r="C353" s="1" t="s">
        <v>688</v>
      </c>
      <c r="D353" s="4">
        <v>1744.4356164383562</v>
      </c>
      <c r="E353" s="4">
        <f t="shared" si="6"/>
        <v>461514.89797174174</v>
      </c>
      <c r="F353"/>
    </row>
    <row r="354" spans="1:6" x14ac:dyDescent="0.2">
      <c r="A354" s="98">
        <v>45412</v>
      </c>
      <c r="B354" s="1" t="s">
        <v>939</v>
      </c>
      <c r="C354" s="1" t="s">
        <v>844</v>
      </c>
      <c r="D354" s="4">
        <v>1332.8767123287671</v>
      </c>
      <c r="E354" s="4">
        <f t="shared" si="6"/>
        <v>462847.77468407049</v>
      </c>
      <c r="F354"/>
    </row>
    <row r="355" spans="1:6" x14ac:dyDescent="0.2">
      <c r="A355" s="98">
        <v>45412</v>
      </c>
      <c r="B355" s="1" t="s">
        <v>939</v>
      </c>
      <c r="C355" s="1" t="s">
        <v>847</v>
      </c>
      <c r="D355" s="4">
        <v>1999.8630136986301</v>
      </c>
      <c r="E355" s="4">
        <f t="shared" si="6"/>
        <v>464847.6376977691</v>
      </c>
      <c r="F355"/>
    </row>
    <row r="356" spans="1:6" x14ac:dyDescent="0.2">
      <c r="A356" s="98">
        <v>45412</v>
      </c>
      <c r="B356" s="1" t="s">
        <v>939</v>
      </c>
      <c r="C356" s="1" t="s">
        <v>829</v>
      </c>
      <c r="D356" s="4">
        <v>1609.186301369863</v>
      </c>
      <c r="E356" s="4">
        <f t="shared" si="6"/>
        <v>466456.82399913896</v>
      </c>
      <c r="F356"/>
    </row>
    <row r="357" spans="1:6" x14ac:dyDescent="0.2">
      <c r="A357" s="98">
        <v>45412</v>
      </c>
      <c r="B357" s="1" t="s">
        <v>939</v>
      </c>
      <c r="C357" s="1" t="s">
        <v>860</v>
      </c>
      <c r="D357" s="4">
        <v>1936.3298630136987</v>
      </c>
      <c r="E357" s="4">
        <f t="shared" si="6"/>
        <v>468393.15386215266</v>
      </c>
      <c r="F357"/>
    </row>
    <row r="358" spans="1:6" x14ac:dyDescent="0.2">
      <c r="A358" s="98">
        <v>45412</v>
      </c>
      <c r="B358" s="1" t="s">
        <v>939</v>
      </c>
      <c r="C358" s="1" t="s">
        <v>863</v>
      </c>
      <c r="D358" s="4">
        <v>2010.8465753424657</v>
      </c>
      <c r="E358" s="4">
        <f t="shared" si="6"/>
        <v>470404.00043749512</v>
      </c>
      <c r="F358"/>
    </row>
    <row r="359" spans="1:6" x14ac:dyDescent="0.2">
      <c r="A359" s="60">
        <v>45412</v>
      </c>
      <c r="B359" s="1" t="s">
        <v>21</v>
      </c>
      <c r="C359" s="41" t="s">
        <v>1124</v>
      </c>
      <c r="D359" s="4">
        <v>-2000.7562798695417</v>
      </c>
      <c r="E359" s="4">
        <f t="shared" si="6"/>
        <v>468403.2441576256</v>
      </c>
      <c r="F359"/>
    </row>
    <row r="360" spans="1:6" x14ac:dyDescent="0.2">
      <c r="A360" s="98">
        <v>45412</v>
      </c>
      <c r="B360" s="1" t="s">
        <v>21</v>
      </c>
      <c r="C360" s="1" t="s">
        <v>1365</v>
      </c>
      <c r="D360" s="5">
        <v>-1926.5335426729639</v>
      </c>
      <c r="E360" s="4">
        <f t="shared" si="6"/>
        <v>466476.71061495261</v>
      </c>
      <c r="F360"/>
    </row>
    <row r="361" spans="1:6" x14ac:dyDescent="0.2">
      <c r="A361" s="60">
        <v>45412</v>
      </c>
      <c r="B361" s="1" t="s">
        <v>21</v>
      </c>
      <c r="C361" s="41" t="s">
        <v>1189</v>
      </c>
      <c r="D361" s="4">
        <v>-1815.9531617480798</v>
      </c>
      <c r="E361" s="4">
        <f t="shared" si="6"/>
        <v>464660.75745320454</v>
      </c>
      <c r="F361"/>
    </row>
    <row r="362" spans="1:6" x14ac:dyDescent="0.2">
      <c r="A362" s="98">
        <v>45412</v>
      </c>
      <c r="B362" s="1" t="s">
        <v>21</v>
      </c>
      <c r="C362" s="1" t="s">
        <v>1764</v>
      </c>
      <c r="D362" s="5">
        <v>-2051.613546096663</v>
      </c>
      <c r="E362" s="4">
        <f t="shared" si="6"/>
        <v>462609.14390710788</v>
      </c>
      <c r="F362"/>
    </row>
    <row r="363" spans="1:6" x14ac:dyDescent="0.2">
      <c r="A363" s="98">
        <v>45412</v>
      </c>
      <c r="B363" s="1" t="s">
        <v>21</v>
      </c>
      <c r="C363" s="1" t="s">
        <v>1278</v>
      </c>
      <c r="D363" s="5">
        <v>-1772.2943512792242</v>
      </c>
      <c r="E363" s="4">
        <f t="shared" si="6"/>
        <v>460836.84955582867</v>
      </c>
      <c r="F363"/>
    </row>
    <row r="364" spans="1:6" x14ac:dyDescent="0.2">
      <c r="A364" s="98">
        <v>45412</v>
      </c>
      <c r="B364" s="1" t="s">
        <v>21</v>
      </c>
      <c r="C364" s="1" t="s">
        <v>1626</v>
      </c>
      <c r="D364" s="5">
        <v>-1914.931289674352</v>
      </c>
      <c r="E364" s="4">
        <f t="shared" si="6"/>
        <v>458921.9182661543</v>
      </c>
      <c r="F364"/>
    </row>
    <row r="365" spans="1:6" x14ac:dyDescent="0.2">
      <c r="A365" s="98">
        <v>45412</v>
      </c>
      <c r="B365" s="1" t="s">
        <v>21</v>
      </c>
      <c r="C365" s="1" t="s">
        <v>1299</v>
      </c>
      <c r="D365" s="5">
        <v>-1988.6302519612814</v>
      </c>
      <c r="E365" s="4">
        <f t="shared" si="6"/>
        <v>456933.28801419301</v>
      </c>
      <c r="F365"/>
    </row>
    <row r="366" spans="1:6" x14ac:dyDescent="0.2">
      <c r="A366" s="98">
        <v>45412</v>
      </c>
      <c r="B366" s="1" t="s">
        <v>21</v>
      </c>
      <c r="C366" s="1" t="s">
        <v>1237</v>
      </c>
      <c r="D366" s="5">
        <v>-1867.8806150905939</v>
      </c>
      <c r="E366" s="4">
        <f t="shared" si="6"/>
        <v>455065.40739910241</v>
      </c>
      <c r="F366"/>
    </row>
    <row r="367" spans="1:6" x14ac:dyDescent="0.2">
      <c r="A367" s="98">
        <v>45412</v>
      </c>
      <c r="B367" s="1" t="s">
        <v>21</v>
      </c>
      <c r="C367" s="1" t="s">
        <v>1234</v>
      </c>
      <c r="D367" s="5">
        <v>-1928.6103485147148</v>
      </c>
      <c r="E367" s="4">
        <f t="shared" si="6"/>
        <v>453136.79705058772</v>
      </c>
      <c r="F367"/>
    </row>
    <row r="368" spans="1:6" x14ac:dyDescent="0.2">
      <c r="A368" s="98">
        <v>45412</v>
      </c>
      <c r="B368" s="1" t="s">
        <v>21</v>
      </c>
      <c r="C368" s="1" t="s">
        <v>1406</v>
      </c>
      <c r="D368" s="5">
        <v>-2074.1256472133255</v>
      </c>
      <c r="E368" s="4">
        <f t="shared" si="6"/>
        <v>451062.67140337441</v>
      </c>
      <c r="F368"/>
    </row>
    <row r="369" spans="1:6" x14ac:dyDescent="0.2">
      <c r="A369" s="98">
        <v>45412</v>
      </c>
      <c r="B369" s="1" t="s">
        <v>21</v>
      </c>
      <c r="C369" s="1" t="s">
        <v>1368</v>
      </c>
      <c r="D369" s="5">
        <v>-1883.606995077793</v>
      </c>
      <c r="E369" s="4">
        <f t="shared" si="6"/>
        <v>449179.0644082966</v>
      </c>
      <c r="F369"/>
    </row>
    <row r="370" spans="1:6" x14ac:dyDescent="0.2">
      <c r="A370" s="98">
        <v>45412</v>
      </c>
      <c r="B370" s="1" t="s">
        <v>21</v>
      </c>
      <c r="C370" s="1" t="s">
        <v>1708</v>
      </c>
      <c r="D370" s="5">
        <v>-2083.1320206597265</v>
      </c>
      <c r="E370" s="4">
        <f t="shared" si="6"/>
        <v>447095.93238763686</v>
      </c>
      <c r="F370"/>
    </row>
    <row r="371" spans="1:6" x14ac:dyDescent="0.2">
      <c r="A371" s="60">
        <v>45412</v>
      </c>
      <c r="B371" s="1" t="s">
        <v>21</v>
      </c>
      <c r="C371" s="41" t="s">
        <v>1519</v>
      </c>
      <c r="D371" s="4">
        <v>-1817.1259065457809</v>
      </c>
      <c r="E371" s="4">
        <f t="shared" si="6"/>
        <v>445278.80648109107</v>
      </c>
      <c r="F371"/>
    </row>
    <row r="372" spans="1:6" x14ac:dyDescent="0.2">
      <c r="A372" s="98">
        <v>45412</v>
      </c>
      <c r="B372" s="1" t="s">
        <v>21</v>
      </c>
      <c r="C372" s="1" t="s">
        <v>1668</v>
      </c>
      <c r="D372" s="5">
        <v>-1459.1283108003663</v>
      </c>
      <c r="E372" s="4">
        <f t="shared" si="6"/>
        <v>443819.67817029072</v>
      </c>
      <c r="F372"/>
    </row>
    <row r="373" spans="1:6" x14ac:dyDescent="0.2">
      <c r="A373" s="60">
        <v>45412</v>
      </c>
      <c r="B373" s="1" t="s">
        <v>21</v>
      </c>
      <c r="C373" s="41" t="s">
        <v>1109</v>
      </c>
      <c r="D373" s="4">
        <v>-2601.6742912111845</v>
      </c>
      <c r="E373" s="4">
        <f t="shared" si="6"/>
        <v>441218.00387907954</v>
      </c>
      <c r="F373"/>
    </row>
    <row r="374" spans="1:6" x14ac:dyDescent="0.2">
      <c r="A374" s="60">
        <v>45412</v>
      </c>
      <c r="B374" s="1" t="s">
        <v>21</v>
      </c>
      <c r="C374" s="41" t="s">
        <v>1115</v>
      </c>
      <c r="D374" s="4">
        <v>-1886.6474445533156</v>
      </c>
      <c r="E374" s="4">
        <f t="shared" si="6"/>
        <v>439331.35643452621</v>
      </c>
      <c r="F374"/>
    </row>
    <row r="375" spans="1:6" x14ac:dyDescent="0.2">
      <c r="A375" s="60">
        <v>45412</v>
      </c>
      <c r="B375" s="1" t="s">
        <v>21</v>
      </c>
      <c r="C375" s="41" t="s">
        <v>1076</v>
      </c>
      <c r="D375" s="4">
        <v>-1831.8886939991999</v>
      </c>
      <c r="E375" s="4">
        <f t="shared" si="6"/>
        <v>437499.467740527</v>
      </c>
      <c r="F375"/>
    </row>
    <row r="376" spans="1:6" x14ac:dyDescent="0.2">
      <c r="A376" s="98">
        <v>45412</v>
      </c>
      <c r="B376" s="1" t="s">
        <v>21</v>
      </c>
      <c r="C376" s="1" t="s">
        <v>1460</v>
      </c>
      <c r="D376" s="5">
        <v>-2009.3078633943937</v>
      </c>
      <c r="E376" s="4">
        <f t="shared" si="6"/>
        <v>435490.15987713262</v>
      </c>
      <c r="F376"/>
    </row>
    <row r="377" spans="1:6" x14ac:dyDescent="0.2">
      <c r="A377" s="98">
        <v>45412</v>
      </c>
      <c r="B377" s="1" t="s">
        <v>21</v>
      </c>
      <c r="C377" s="1" t="s">
        <v>1662</v>
      </c>
      <c r="D377" s="5">
        <v>-2302.29988285327</v>
      </c>
      <c r="E377" s="4">
        <f t="shared" si="6"/>
        <v>433187.85999427934</v>
      </c>
      <c r="F377"/>
    </row>
    <row r="378" spans="1:6" x14ac:dyDescent="0.2">
      <c r="A378" s="60">
        <v>45412</v>
      </c>
      <c r="B378" s="1" t="s">
        <v>21</v>
      </c>
      <c r="C378" s="41" t="s">
        <v>1219</v>
      </c>
      <c r="D378" s="4">
        <v>-2007.8042461537675</v>
      </c>
      <c r="E378" s="4">
        <f t="shared" si="6"/>
        <v>431180.0557481256</v>
      </c>
      <c r="F378"/>
    </row>
    <row r="379" spans="1:6" x14ac:dyDescent="0.2">
      <c r="A379" s="98">
        <v>45412</v>
      </c>
      <c r="B379" s="1" t="s">
        <v>21</v>
      </c>
      <c r="C379" s="1" t="s">
        <v>1225</v>
      </c>
      <c r="D379" s="5">
        <v>-1640.0043945992418</v>
      </c>
      <c r="E379" s="4">
        <f t="shared" si="6"/>
        <v>429540.05135352636</v>
      </c>
      <c r="F379"/>
    </row>
    <row r="380" spans="1:6" x14ac:dyDescent="0.2">
      <c r="A380" s="98">
        <v>45412</v>
      </c>
      <c r="B380" s="1" t="s">
        <v>21</v>
      </c>
      <c r="C380" s="1" t="s">
        <v>1653</v>
      </c>
      <c r="D380" s="5">
        <v>-2357.5747433183565</v>
      </c>
      <c r="E380" s="4">
        <f t="shared" si="6"/>
        <v>427182.47661020799</v>
      </c>
      <c r="F380"/>
    </row>
    <row r="381" spans="1:6" x14ac:dyDescent="0.2">
      <c r="A381" s="60">
        <v>45412</v>
      </c>
      <c r="B381" s="1" t="s">
        <v>21</v>
      </c>
      <c r="C381" s="41" t="s">
        <v>1206</v>
      </c>
      <c r="D381" s="4">
        <v>-1941.0893751620829</v>
      </c>
      <c r="E381" s="4">
        <f t="shared" si="6"/>
        <v>425241.3872350459</v>
      </c>
      <c r="F381"/>
    </row>
    <row r="382" spans="1:6" x14ac:dyDescent="0.2">
      <c r="A382" s="98">
        <v>45412</v>
      </c>
      <c r="B382" s="1" t="s">
        <v>21</v>
      </c>
      <c r="C382" s="1" t="s">
        <v>1690</v>
      </c>
      <c r="D382" s="5">
        <v>-1948.4375538945219</v>
      </c>
      <c r="E382" s="4">
        <f t="shared" si="6"/>
        <v>423292.94968115137</v>
      </c>
      <c r="F382"/>
    </row>
    <row r="383" spans="1:6" x14ac:dyDescent="0.2">
      <c r="A383" s="98">
        <v>45412</v>
      </c>
      <c r="B383" s="1" t="s">
        <v>21</v>
      </c>
      <c r="C383" s="1" t="s">
        <v>1567</v>
      </c>
      <c r="D383" s="5">
        <v>-1514.7468187061736</v>
      </c>
      <c r="E383" s="4">
        <f t="shared" si="6"/>
        <v>421778.20286244521</v>
      </c>
      <c r="F383"/>
    </row>
    <row r="384" spans="1:6" x14ac:dyDescent="0.2">
      <c r="A384" s="98">
        <v>45412</v>
      </c>
      <c r="B384" s="1" t="s">
        <v>21</v>
      </c>
      <c r="C384" s="1" t="s">
        <v>1477</v>
      </c>
      <c r="D384" s="5">
        <v>-1944.574394560917</v>
      </c>
      <c r="E384" s="4">
        <f t="shared" si="6"/>
        <v>419833.62846788426</v>
      </c>
      <c r="F384"/>
    </row>
    <row r="385" spans="1:6" x14ac:dyDescent="0.2">
      <c r="A385" s="60">
        <v>45412</v>
      </c>
      <c r="B385" s="1" t="s">
        <v>21</v>
      </c>
      <c r="C385" s="41" t="s">
        <v>1091</v>
      </c>
      <c r="D385" s="4">
        <v>-1920.5241837095784</v>
      </c>
      <c r="E385" s="4">
        <f t="shared" si="6"/>
        <v>417913.10428417468</v>
      </c>
      <c r="F385"/>
    </row>
    <row r="386" spans="1:6" x14ac:dyDescent="0.2">
      <c r="A386" s="98">
        <v>45412</v>
      </c>
      <c r="B386" s="1" t="s">
        <v>21</v>
      </c>
      <c r="C386" s="1" t="s">
        <v>1735</v>
      </c>
      <c r="D386" s="5">
        <v>-1851.3526806416623</v>
      </c>
      <c r="E386" s="4">
        <f t="shared" si="6"/>
        <v>416061.75160353305</v>
      </c>
      <c r="F386"/>
    </row>
    <row r="387" spans="1:6" x14ac:dyDescent="0.2">
      <c r="A387" s="98">
        <v>45412</v>
      </c>
      <c r="B387" s="1" t="s">
        <v>21</v>
      </c>
      <c r="C387" s="1" t="s">
        <v>1557</v>
      </c>
      <c r="D387" s="5">
        <v>-1737.1058753492364</v>
      </c>
      <c r="E387" s="4">
        <f t="shared" si="6"/>
        <v>414324.64572818379</v>
      </c>
      <c r="F387"/>
    </row>
    <row r="388" spans="1:6" x14ac:dyDescent="0.2">
      <c r="A388" s="98">
        <v>45412</v>
      </c>
      <c r="B388" s="1" t="s">
        <v>21</v>
      </c>
      <c r="C388" s="1" t="s">
        <v>982</v>
      </c>
      <c r="D388" s="5">
        <v>-2185.1710380579957</v>
      </c>
      <c r="E388" s="4">
        <f t="shared" si="6"/>
        <v>412139.47469012579</v>
      </c>
      <c r="F388"/>
    </row>
    <row r="389" spans="1:6" x14ac:dyDescent="0.2">
      <c r="A389" s="98">
        <v>45412</v>
      </c>
      <c r="B389" s="1" t="s">
        <v>21</v>
      </c>
      <c r="C389" s="1" t="s">
        <v>1324</v>
      </c>
      <c r="D389" s="5">
        <v>-1794.0465955269622</v>
      </c>
      <c r="E389" s="4">
        <f t="shared" si="6"/>
        <v>410345.42809459881</v>
      </c>
      <c r="F389"/>
    </row>
    <row r="390" spans="1:6" x14ac:dyDescent="0.2">
      <c r="A390" s="98">
        <v>45412</v>
      </c>
      <c r="B390" s="1" t="s">
        <v>21</v>
      </c>
      <c r="C390" s="1" t="s">
        <v>1369</v>
      </c>
      <c r="D390" s="5">
        <v>-1941.3550951162463</v>
      </c>
      <c r="E390" s="4">
        <f t="shared" si="6"/>
        <v>408404.07299948257</v>
      </c>
      <c r="F390"/>
    </row>
    <row r="391" spans="1:6" x14ac:dyDescent="0.2">
      <c r="A391" s="98">
        <v>45412</v>
      </c>
      <c r="B391" s="1" t="s">
        <v>21</v>
      </c>
      <c r="C391" s="1" t="s">
        <v>1300</v>
      </c>
      <c r="D391" s="5">
        <v>-1915.585369561524</v>
      </c>
      <c r="E391" s="4">
        <f t="shared" si="6"/>
        <v>406488.48762992106</v>
      </c>
      <c r="F391"/>
    </row>
    <row r="392" spans="1:6" x14ac:dyDescent="0.2">
      <c r="A392" s="98">
        <v>45412</v>
      </c>
      <c r="B392" s="1" t="s">
        <v>21</v>
      </c>
      <c r="C392" s="1" t="s">
        <v>1582</v>
      </c>
      <c r="D392" s="5">
        <v>-1867.3342028848499</v>
      </c>
      <c r="E392" s="4">
        <f t="shared" si="6"/>
        <v>404621.15342703619</v>
      </c>
      <c r="F392"/>
    </row>
    <row r="393" spans="1:6" x14ac:dyDescent="0.2">
      <c r="A393" s="60">
        <v>45412</v>
      </c>
      <c r="B393" s="1" t="s">
        <v>21</v>
      </c>
      <c r="C393" s="41" t="s">
        <v>1030</v>
      </c>
      <c r="D393" s="4">
        <v>-1937.3207508121707</v>
      </c>
      <c r="E393" s="4">
        <f t="shared" si="6"/>
        <v>402683.832676224</v>
      </c>
      <c r="F393"/>
    </row>
    <row r="394" spans="1:6" x14ac:dyDescent="0.2">
      <c r="A394" s="60">
        <v>45412</v>
      </c>
      <c r="B394" s="1" t="s">
        <v>21</v>
      </c>
      <c r="C394" s="41" t="s">
        <v>1156</v>
      </c>
      <c r="D394" s="4">
        <v>-1956.9712524224587</v>
      </c>
      <c r="E394" s="4">
        <f t="shared" si="6"/>
        <v>400726.86142380157</v>
      </c>
      <c r="F394"/>
    </row>
    <row r="395" spans="1:6" x14ac:dyDescent="0.2">
      <c r="A395" s="60">
        <v>45412</v>
      </c>
      <c r="B395" s="1" t="s">
        <v>21</v>
      </c>
      <c r="C395" s="41" t="s">
        <v>1222</v>
      </c>
      <c r="D395" s="4">
        <v>-1979.897263467722</v>
      </c>
      <c r="E395" s="4">
        <f t="shared" si="6"/>
        <v>398746.96416033385</v>
      </c>
      <c r="F395"/>
    </row>
    <row r="396" spans="1:6" x14ac:dyDescent="0.2">
      <c r="A396" s="98">
        <v>45412</v>
      </c>
      <c r="B396" s="1" t="s">
        <v>21</v>
      </c>
      <c r="C396" s="1" t="s">
        <v>1579</v>
      </c>
      <c r="D396" s="5">
        <v>-1927.9196299338641</v>
      </c>
      <c r="E396" s="4">
        <f t="shared" si="6"/>
        <v>396819.04453040002</v>
      </c>
      <c r="F396"/>
    </row>
    <row r="397" spans="1:6" x14ac:dyDescent="0.2">
      <c r="A397" s="98">
        <v>45412</v>
      </c>
      <c r="B397" s="1" t="s">
        <v>21</v>
      </c>
      <c r="C397" s="1" t="s">
        <v>1269</v>
      </c>
      <c r="D397" s="5">
        <v>-1192.6865692615668</v>
      </c>
      <c r="E397" s="4">
        <f t="shared" si="6"/>
        <v>395626.35796113848</v>
      </c>
      <c r="F397"/>
    </row>
    <row r="398" spans="1:6" x14ac:dyDescent="0.2">
      <c r="A398" s="98">
        <v>45412</v>
      </c>
      <c r="B398" s="1" t="s">
        <v>21</v>
      </c>
      <c r="C398" s="1" t="s">
        <v>1304</v>
      </c>
      <c r="D398" s="5">
        <v>-1823.3345554747891</v>
      </c>
      <c r="E398" s="4">
        <f t="shared" ref="E398:E461" si="7">IF(D398="","",D398+E397)</f>
        <v>393803.02340566367</v>
      </c>
      <c r="F398"/>
    </row>
    <row r="399" spans="1:6" x14ac:dyDescent="0.2">
      <c r="A399" s="98">
        <v>45412</v>
      </c>
      <c r="B399" s="1" t="s">
        <v>21</v>
      </c>
      <c r="C399" s="1" t="s">
        <v>1560</v>
      </c>
      <c r="D399" s="5">
        <v>-1976.4531240618362</v>
      </c>
      <c r="E399" s="4">
        <f t="shared" si="7"/>
        <v>391826.57028160186</v>
      </c>
      <c r="F399"/>
    </row>
    <row r="400" spans="1:6" x14ac:dyDescent="0.2">
      <c r="A400" s="98">
        <v>45412</v>
      </c>
      <c r="B400" s="1" t="s">
        <v>21</v>
      </c>
      <c r="C400" s="1" t="s">
        <v>1741</v>
      </c>
      <c r="D400" s="5">
        <v>-2012.7034578086534</v>
      </c>
      <c r="E400" s="4">
        <f t="shared" si="7"/>
        <v>389813.86682379321</v>
      </c>
      <c r="F400"/>
    </row>
    <row r="401" spans="1:6" x14ac:dyDescent="0.2">
      <c r="A401" s="60">
        <v>45412</v>
      </c>
      <c r="B401" s="1" t="s">
        <v>21</v>
      </c>
      <c r="C401" s="41" t="s">
        <v>1170</v>
      </c>
      <c r="D401" s="4">
        <v>-1933.6415514468324</v>
      </c>
      <c r="E401" s="4">
        <f t="shared" si="7"/>
        <v>387880.2252723464</v>
      </c>
      <c r="F401"/>
    </row>
    <row r="402" spans="1:6" x14ac:dyDescent="0.2">
      <c r="A402" s="60">
        <v>45412</v>
      </c>
      <c r="B402" s="1" t="s">
        <v>21</v>
      </c>
      <c r="C402" s="41" t="s">
        <v>1134</v>
      </c>
      <c r="D402" s="4">
        <v>-1741.947599514039</v>
      </c>
      <c r="E402" s="4">
        <f t="shared" si="7"/>
        <v>386138.27767283237</v>
      </c>
      <c r="F402"/>
    </row>
    <row r="403" spans="1:6" x14ac:dyDescent="0.2">
      <c r="A403" s="98">
        <v>45412</v>
      </c>
      <c r="B403" s="1" t="s">
        <v>21</v>
      </c>
      <c r="C403" s="1" t="s">
        <v>1249</v>
      </c>
      <c r="D403" s="5">
        <v>-1956.5701174916549</v>
      </c>
      <c r="E403" s="4">
        <f t="shared" si="7"/>
        <v>384181.70755534072</v>
      </c>
      <c r="F403"/>
    </row>
    <row r="404" spans="1:6" x14ac:dyDescent="0.2">
      <c r="A404" s="60">
        <v>45412</v>
      </c>
      <c r="B404" s="1" t="s">
        <v>21</v>
      </c>
      <c r="C404" s="41" t="s">
        <v>998</v>
      </c>
      <c r="D404" s="4">
        <v>-1956.3299475330837</v>
      </c>
      <c r="E404" s="4">
        <f t="shared" si="7"/>
        <v>382225.37760780763</v>
      </c>
      <c r="F404"/>
    </row>
    <row r="405" spans="1:6" x14ac:dyDescent="0.2">
      <c r="A405" s="98">
        <v>45412</v>
      </c>
      <c r="B405" s="1" t="s">
        <v>21</v>
      </c>
      <c r="C405" s="1" t="s">
        <v>1385</v>
      </c>
      <c r="D405" s="5">
        <v>-2044.4544373316096</v>
      </c>
      <c r="E405" s="4">
        <f t="shared" si="7"/>
        <v>380180.92317047605</v>
      </c>
      <c r="F405"/>
    </row>
    <row r="406" spans="1:6" x14ac:dyDescent="0.2">
      <c r="A406" s="98">
        <v>45412</v>
      </c>
      <c r="B406" s="1" t="s">
        <v>21</v>
      </c>
      <c r="C406" s="1" t="s">
        <v>1314</v>
      </c>
      <c r="D406" s="5">
        <v>-1537.9513247033965</v>
      </c>
      <c r="E406" s="4">
        <f t="shared" si="7"/>
        <v>378642.97184577264</v>
      </c>
      <c r="F406"/>
    </row>
    <row r="407" spans="1:6" x14ac:dyDescent="0.2">
      <c r="A407" s="98">
        <v>45412</v>
      </c>
      <c r="B407" s="1" t="s">
        <v>21</v>
      </c>
      <c r="C407" s="1" t="s">
        <v>1334</v>
      </c>
      <c r="D407" s="5">
        <v>-1922.552853359633</v>
      </c>
      <c r="E407" s="4">
        <f t="shared" si="7"/>
        <v>376720.41899241303</v>
      </c>
      <c r="F407"/>
    </row>
    <row r="408" spans="1:6" x14ac:dyDescent="0.2">
      <c r="A408" s="60">
        <v>45412</v>
      </c>
      <c r="B408" s="1" t="s">
        <v>21</v>
      </c>
      <c r="C408" s="41" t="s">
        <v>994</v>
      </c>
      <c r="D408" s="4">
        <v>-2435.2492849194982</v>
      </c>
      <c r="E408" s="4">
        <f t="shared" si="7"/>
        <v>374285.16970749351</v>
      </c>
      <c r="F408"/>
    </row>
    <row r="409" spans="1:6" x14ac:dyDescent="0.2">
      <c r="A409" s="98">
        <v>45412</v>
      </c>
      <c r="B409" s="1" t="s">
        <v>21</v>
      </c>
      <c r="C409" s="1" t="s">
        <v>1430</v>
      </c>
      <c r="D409" s="5">
        <v>-1868.1747977398472</v>
      </c>
      <c r="E409" s="4">
        <f t="shared" si="7"/>
        <v>372416.99490975367</v>
      </c>
      <c r="F409"/>
    </row>
    <row r="410" spans="1:6" x14ac:dyDescent="0.2">
      <c r="A410" s="98">
        <v>45412</v>
      </c>
      <c r="B410" s="1" t="s">
        <v>21</v>
      </c>
      <c r="C410" s="1" t="s">
        <v>1632</v>
      </c>
      <c r="D410" s="5">
        <v>-1957.0249074132037</v>
      </c>
      <c r="E410" s="4">
        <f t="shared" si="7"/>
        <v>370459.97000234044</v>
      </c>
      <c r="F410"/>
    </row>
    <row r="411" spans="1:6" x14ac:dyDescent="0.2">
      <c r="A411" s="60">
        <v>45412</v>
      </c>
      <c r="B411" s="1" t="s">
        <v>21</v>
      </c>
      <c r="C411" s="41" t="s">
        <v>1159</v>
      </c>
      <c r="D411" s="4">
        <v>-2287.4693879115302</v>
      </c>
      <c r="E411" s="4">
        <f t="shared" si="7"/>
        <v>368172.50061442889</v>
      </c>
      <c r="F411"/>
    </row>
    <row r="412" spans="1:6" x14ac:dyDescent="0.2">
      <c r="A412" s="60">
        <v>45412</v>
      </c>
      <c r="B412" s="1" t="s">
        <v>21</v>
      </c>
      <c r="C412" s="41" t="s">
        <v>1167</v>
      </c>
      <c r="D412" s="4">
        <v>-938.47688811273679</v>
      </c>
      <c r="E412" s="4">
        <f t="shared" si="7"/>
        <v>367234.02372631617</v>
      </c>
      <c r="F412"/>
    </row>
    <row r="413" spans="1:6" x14ac:dyDescent="0.2">
      <c r="A413" s="98">
        <v>45412</v>
      </c>
      <c r="B413" s="1" t="s">
        <v>21</v>
      </c>
      <c r="C413" s="1" t="s">
        <v>1680</v>
      </c>
      <c r="D413" s="5">
        <v>-1945.3741094229661</v>
      </c>
      <c r="E413" s="4">
        <f t="shared" si="7"/>
        <v>365288.64961689321</v>
      </c>
      <c r="F413"/>
    </row>
    <row r="414" spans="1:6" x14ac:dyDescent="0.2">
      <c r="A414" s="60">
        <v>45412</v>
      </c>
      <c r="B414" s="1" t="s">
        <v>21</v>
      </c>
      <c r="C414" s="41" t="s">
        <v>1504</v>
      </c>
      <c r="D414" s="4">
        <v>-2124.3096710565819</v>
      </c>
      <c r="E414" s="4">
        <f t="shared" si="7"/>
        <v>363164.33994583663</v>
      </c>
      <c r="F414"/>
    </row>
    <row r="415" spans="1:6" x14ac:dyDescent="0.2">
      <c r="A415" s="60">
        <v>45412</v>
      </c>
      <c r="B415" s="1" t="s">
        <v>21</v>
      </c>
      <c r="C415" s="41" t="s">
        <v>1079</v>
      </c>
      <c r="D415" s="4">
        <v>-1629.2618989523221</v>
      </c>
      <c r="E415" s="4">
        <f t="shared" si="7"/>
        <v>361535.07804688433</v>
      </c>
      <c r="F415"/>
    </row>
    <row r="416" spans="1:6" x14ac:dyDescent="0.2">
      <c r="A416" s="98">
        <v>45412</v>
      </c>
      <c r="B416" s="1" t="s">
        <v>21</v>
      </c>
      <c r="C416" s="1" t="s">
        <v>1281</v>
      </c>
      <c r="D416" s="5">
        <v>-2057.0735801548076</v>
      </c>
      <c r="E416" s="4">
        <f t="shared" si="7"/>
        <v>359478.00446672953</v>
      </c>
      <c r="F416"/>
    </row>
    <row r="417" spans="1:6" x14ac:dyDescent="0.2">
      <c r="A417" s="98">
        <v>45412</v>
      </c>
      <c r="B417" s="1" t="s">
        <v>21</v>
      </c>
      <c r="C417" s="1" t="s">
        <v>1250</v>
      </c>
      <c r="D417" s="5">
        <v>-1930.3430470158244</v>
      </c>
      <c r="E417" s="4">
        <f t="shared" si="7"/>
        <v>357547.6614197137</v>
      </c>
      <c r="F417"/>
    </row>
    <row r="418" spans="1:6" x14ac:dyDescent="0.2">
      <c r="A418" s="98">
        <v>45412</v>
      </c>
      <c r="B418" s="1" t="s">
        <v>21</v>
      </c>
      <c r="C418" s="1" t="s">
        <v>1757</v>
      </c>
      <c r="D418" s="5">
        <v>-1826.4976449291564</v>
      </c>
      <c r="E418" s="4">
        <f t="shared" si="7"/>
        <v>355721.16377478454</v>
      </c>
      <c r="F418"/>
    </row>
    <row r="419" spans="1:6" x14ac:dyDescent="0.2">
      <c r="A419" s="98">
        <v>45412</v>
      </c>
      <c r="B419" s="1" t="s">
        <v>21</v>
      </c>
      <c r="C419" s="1" t="s">
        <v>1738</v>
      </c>
      <c r="D419" s="5">
        <v>-1842.3616371926178</v>
      </c>
      <c r="E419" s="4">
        <f t="shared" si="7"/>
        <v>353878.80213759193</v>
      </c>
      <c r="F419"/>
    </row>
    <row r="420" spans="1:6" x14ac:dyDescent="0.2">
      <c r="A420" s="98">
        <v>45412</v>
      </c>
      <c r="B420" s="1" t="s">
        <v>21</v>
      </c>
      <c r="C420" s="1" t="s">
        <v>1671</v>
      </c>
      <c r="D420" s="5">
        <v>-2302.8926427510191</v>
      </c>
      <c r="E420" s="4">
        <f t="shared" si="7"/>
        <v>351575.90949484089</v>
      </c>
      <c r="F420"/>
    </row>
    <row r="421" spans="1:6" x14ac:dyDescent="0.2">
      <c r="A421" s="98">
        <v>45412</v>
      </c>
      <c r="B421" s="1" t="s">
        <v>21</v>
      </c>
      <c r="C421" s="1" t="s">
        <v>1390</v>
      </c>
      <c r="D421" s="5">
        <v>-2036.868643640159</v>
      </c>
      <c r="E421" s="4">
        <f t="shared" si="7"/>
        <v>349539.04085120076</v>
      </c>
      <c r="F421"/>
    </row>
    <row r="422" spans="1:6" x14ac:dyDescent="0.2">
      <c r="A422" s="60">
        <v>45412</v>
      </c>
      <c r="B422" s="1" t="s">
        <v>21</v>
      </c>
      <c r="C422" s="41" t="s">
        <v>1183</v>
      </c>
      <c r="D422" s="4">
        <v>-1882.1123203356244</v>
      </c>
      <c r="E422" s="4">
        <f t="shared" si="7"/>
        <v>347656.92853086512</v>
      </c>
      <c r="F422"/>
    </row>
    <row r="423" spans="1:6" x14ac:dyDescent="0.2">
      <c r="A423" s="98">
        <v>45412</v>
      </c>
      <c r="B423" s="1" t="s">
        <v>21</v>
      </c>
      <c r="C423" s="1" t="s">
        <v>1614</v>
      </c>
      <c r="D423" s="5">
        <v>-1936.753540910014</v>
      </c>
      <c r="E423" s="4">
        <f t="shared" si="7"/>
        <v>345720.17498995509</v>
      </c>
      <c r="F423"/>
    </row>
    <row r="424" spans="1:6" x14ac:dyDescent="0.2">
      <c r="A424" s="98">
        <v>45412</v>
      </c>
      <c r="B424" s="1" t="s">
        <v>21</v>
      </c>
      <c r="C424" s="1" t="s">
        <v>1251</v>
      </c>
      <c r="D424" s="5">
        <v>-2046.4779969825456</v>
      </c>
      <c r="E424" s="4">
        <f t="shared" si="7"/>
        <v>343673.69699297257</v>
      </c>
      <c r="F424"/>
    </row>
    <row r="425" spans="1:6" x14ac:dyDescent="0.2">
      <c r="A425" s="98">
        <v>45412</v>
      </c>
      <c r="B425" s="1" t="s">
        <v>21</v>
      </c>
      <c r="C425" s="1" t="s">
        <v>1674</v>
      </c>
      <c r="D425" s="5">
        <v>-1622.6035701008841</v>
      </c>
      <c r="E425" s="4">
        <f t="shared" si="7"/>
        <v>342051.09342287167</v>
      </c>
      <c r="F425"/>
    </row>
    <row r="426" spans="1:6" x14ac:dyDescent="0.2">
      <c r="A426" s="98">
        <v>45412</v>
      </c>
      <c r="B426" s="1" t="s">
        <v>21</v>
      </c>
      <c r="C426" s="1" t="s">
        <v>1352</v>
      </c>
      <c r="D426" s="5">
        <v>-485.83699869311778</v>
      </c>
      <c r="E426" s="4">
        <f t="shared" si="7"/>
        <v>341565.25642417854</v>
      </c>
      <c r="F426"/>
    </row>
    <row r="427" spans="1:6" x14ac:dyDescent="0.2">
      <c r="A427" s="60">
        <v>45412</v>
      </c>
      <c r="B427" s="1" t="s">
        <v>21</v>
      </c>
      <c r="C427" s="41" t="s">
        <v>1010</v>
      </c>
      <c r="D427" s="4">
        <v>-1728.0100769182618</v>
      </c>
      <c r="E427" s="4">
        <f t="shared" si="7"/>
        <v>339837.24634726025</v>
      </c>
      <c r="F427"/>
    </row>
    <row r="428" spans="1:6" x14ac:dyDescent="0.2">
      <c r="A428" s="98">
        <v>45412</v>
      </c>
      <c r="B428" s="1" t="s">
        <v>21</v>
      </c>
      <c r="C428" s="1" t="s">
        <v>1337</v>
      </c>
      <c r="D428" s="5">
        <v>-1927.1531300660849</v>
      </c>
      <c r="E428" s="4">
        <f t="shared" si="7"/>
        <v>337910.0932171942</v>
      </c>
      <c r="F428"/>
    </row>
    <row r="429" spans="1:6" x14ac:dyDescent="0.2">
      <c r="A429" s="98">
        <v>45412</v>
      </c>
      <c r="B429" s="1" t="s">
        <v>21</v>
      </c>
      <c r="C429" s="1" t="s">
        <v>1468</v>
      </c>
      <c r="D429" s="5">
        <v>-1915.0845896479082</v>
      </c>
      <c r="E429" s="4">
        <f t="shared" si="7"/>
        <v>335995.00862754631</v>
      </c>
      <c r="F429"/>
    </row>
    <row r="430" spans="1:6" x14ac:dyDescent="0.2">
      <c r="A430" s="98">
        <v>45412</v>
      </c>
      <c r="B430" s="1" t="s">
        <v>21</v>
      </c>
      <c r="C430" s="1" t="s">
        <v>1761</v>
      </c>
      <c r="D430" s="5">
        <v>-1923.2427032406333</v>
      </c>
      <c r="E430" s="4">
        <f t="shared" si="7"/>
        <v>334071.76592430566</v>
      </c>
      <c r="F430"/>
    </row>
    <row r="431" spans="1:6" x14ac:dyDescent="0.2">
      <c r="A431" s="98">
        <v>45412</v>
      </c>
      <c r="B431" s="1" t="s">
        <v>21</v>
      </c>
      <c r="C431" s="1" t="s">
        <v>1602</v>
      </c>
      <c r="D431" s="5">
        <v>-2227.4051807726059</v>
      </c>
      <c r="E431" s="4">
        <f t="shared" si="7"/>
        <v>331844.36074353306</v>
      </c>
      <c r="F431"/>
    </row>
    <row r="432" spans="1:6" x14ac:dyDescent="0.2">
      <c r="A432" s="98">
        <v>45412</v>
      </c>
      <c r="B432" s="1" t="s">
        <v>21</v>
      </c>
      <c r="C432" s="1" t="s">
        <v>1526</v>
      </c>
      <c r="D432" s="5">
        <v>-1861.3082364243289</v>
      </c>
      <c r="E432" s="4">
        <f t="shared" si="7"/>
        <v>329983.05250710872</v>
      </c>
      <c r="F432"/>
    </row>
    <row r="433" spans="1:6" x14ac:dyDescent="0.2">
      <c r="A433" s="60">
        <v>45412</v>
      </c>
      <c r="B433" s="1" t="s">
        <v>21</v>
      </c>
      <c r="C433" s="41" t="s">
        <v>1014</v>
      </c>
      <c r="D433" s="4">
        <v>-1971.0160849997251</v>
      </c>
      <c r="E433" s="4">
        <f t="shared" si="7"/>
        <v>328012.036422109</v>
      </c>
      <c r="F433"/>
    </row>
    <row r="434" spans="1:6" x14ac:dyDescent="0.2">
      <c r="A434" s="98">
        <v>45412</v>
      </c>
      <c r="B434" s="1" t="s">
        <v>21</v>
      </c>
      <c r="C434" s="1" t="s">
        <v>1413</v>
      </c>
      <c r="D434" s="5">
        <v>-1923.4598782031708</v>
      </c>
      <c r="E434" s="4">
        <f t="shared" si="7"/>
        <v>326088.57654390583</v>
      </c>
      <c r="F434"/>
    </row>
    <row r="435" spans="1:6" x14ac:dyDescent="0.2">
      <c r="A435" s="98">
        <v>45412</v>
      </c>
      <c r="B435" s="1" t="s">
        <v>21</v>
      </c>
      <c r="C435" s="1" t="s">
        <v>1659</v>
      </c>
      <c r="D435" s="5">
        <v>-2052.6801051126818</v>
      </c>
      <c r="E435" s="4">
        <f t="shared" si="7"/>
        <v>324035.89643879316</v>
      </c>
      <c r="F435"/>
    </row>
    <row r="436" spans="1:6" x14ac:dyDescent="0.2">
      <c r="A436" s="98">
        <v>45412</v>
      </c>
      <c r="B436" s="1" t="s">
        <v>21</v>
      </c>
      <c r="C436" s="1" t="s">
        <v>1399</v>
      </c>
      <c r="D436" s="5">
        <v>-1893.4309683831577</v>
      </c>
      <c r="E436" s="4">
        <f t="shared" si="7"/>
        <v>322142.46547041001</v>
      </c>
      <c r="F436"/>
    </row>
    <row r="437" spans="1:6" x14ac:dyDescent="0.2">
      <c r="A437" s="98">
        <v>45412</v>
      </c>
      <c r="B437" s="1" t="s">
        <v>21</v>
      </c>
      <c r="C437" s="1" t="s">
        <v>1340</v>
      </c>
      <c r="D437" s="5">
        <v>-1942.2927799544955</v>
      </c>
      <c r="E437" s="4">
        <f t="shared" si="7"/>
        <v>320200.17269045551</v>
      </c>
      <c r="F437"/>
    </row>
    <row r="438" spans="1:6" x14ac:dyDescent="0.2">
      <c r="A438" s="98">
        <v>45412</v>
      </c>
      <c r="B438" s="1" t="s">
        <v>21</v>
      </c>
      <c r="C438" s="1" t="s">
        <v>1677</v>
      </c>
      <c r="D438" s="5">
        <v>-1941.4279126036849</v>
      </c>
      <c r="E438" s="4">
        <f t="shared" si="7"/>
        <v>318258.74477785185</v>
      </c>
      <c r="F438"/>
    </row>
    <row r="439" spans="1:6" x14ac:dyDescent="0.2">
      <c r="A439" s="98">
        <v>45412</v>
      </c>
      <c r="B439" s="1" t="s">
        <v>21</v>
      </c>
      <c r="C439" s="1" t="s">
        <v>1696</v>
      </c>
      <c r="D439" s="5">
        <v>-2057.088910152163</v>
      </c>
      <c r="E439" s="4">
        <f t="shared" si="7"/>
        <v>316201.65586769971</v>
      </c>
      <c r="F439"/>
    </row>
    <row r="440" spans="1:6" x14ac:dyDescent="0.2">
      <c r="A440" s="60">
        <v>45412</v>
      </c>
      <c r="B440" s="1" t="s">
        <v>21</v>
      </c>
      <c r="C440" s="41" t="s">
        <v>1179</v>
      </c>
      <c r="D440" s="4">
        <v>-1521.1956375937523</v>
      </c>
      <c r="E440" s="4">
        <f t="shared" si="7"/>
        <v>314680.46023010596</v>
      </c>
      <c r="F440"/>
    </row>
    <row r="441" spans="1:6" x14ac:dyDescent="0.2">
      <c r="A441" s="98">
        <v>45412</v>
      </c>
      <c r="B441" s="1" t="s">
        <v>21</v>
      </c>
      <c r="C441" s="1" t="s">
        <v>1282</v>
      </c>
      <c r="D441" s="5">
        <v>-2081.227268488296</v>
      </c>
      <c r="E441" s="4">
        <f t="shared" si="7"/>
        <v>312599.23296161764</v>
      </c>
      <c r="F441"/>
    </row>
    <row r="442" spans="1:6" x14ac:dyDescent="0.2">
      <c r="A442" s="98">
        <v>45412</v>
      </c>
      <c r="B442" s="1" t="s">
        <v>21</v>
      </c>
      <c r="C442" s="1" t="s">
        <v>1434</v>
      </c>
      <c r="D442" s="5">
        <v>-1945.8340093436334</v>
      </c>
      <c r="E442" s="4">
        <f t="shared" si="7"/>
        <v>310653.398952274</v>
      </c>
      <c r="F442"/>
    </row>
    <row r="443" spans="1:6" x14ac:dyDescent="0.2">
      <c r="A443" s="98">
        <v>45412</v>
      </c>
      <c r="B443" s="1" t="s">
        <v>21</v>
      </c>
      <c r="C443" s="1" t="s">
        <v>1705</v>
      </c>
      <c r="D443" s="5">
        <v>-1991.798451414767</v>
      </c>
      <c r="E443" s="4">
        <f t="shared" si="7"/>
        <v>308661.60050085926</v>
      </c>
      <c r="F443"/>
    </row>
    <row r="444" spans="1:6" x14ac:dyDescent="0.2">
      <c r="A444" s="98">
        <v>45412</v>
      </c>
      <c r="B444" s="1" t="s">
        <v>21</v>
      </c>
      <c r="C444" s="1" t="s">
        <v>1463</v>
      </c>
      <c r="D444" s="5">
        <v>-1882.1455353298954</v>
      </c>
      <c r="E444" s="4">
        <f t="shared" si="7"/>
        <v>306779.45496552938</v>
      </c>
      <c r="F444"/>
    </row>
    <row r="445" spans="1:6" x14ac:dyDescent="0.2">
      <c r="A445" s="98">
        <v>45412</v>
      </c>
      <c r="B445" s="1" t="s">
        <v>21</v>
      </c>
      <c r="C445" s="1" t="s">
        <v>1563</v>
      </c>
      <c r="D445" s="5">
        <v>-1859.4060392524584</v>
      </c>
      <c r="E445" s="4">
        <f t="shared" si="7"/>
        <v>304920.04892627691</v>
      </c>
      <c r="F445"/>
    </row>
    <row r="446" spans="1:6" x14ac:dyDescent="0.2">
      <c r="A446" s="98">
        <v>45412</v>
      </c>
      <c r="B446" s="1" t="s">
        <v>21</v>
      </c>
      <c r="C446" s="1" t="s">
        <v>1416</v>
      </c>
      <c r="D446" s="5">
        <v>-1840.9193399414139</v>
      </c>
      <c r="E446" s="4">
        <f t="shared" si="7"/>
        <v>303079.1295863355</v>
      </c>
      <c r="F446"/>
    </row>
    <row r="447" spans="1:6" x14ac:dyDescent="0.2">
      <c r="A447" s="98">
        <v>45412</v>
      </c>
      <c r="B447" s="1" t="s">
        <v>21</v>
      </c>
      <c r="C447" s="1" t="s">
        <v>1409</v>
      </c>
      <c r="D447" s="5">
        <v>-1809.0575245375769</v>
      </c>
      <c r="E447" s="4">
        <f t="shared" si="7"/>
        <v>301270.07206179795</v>
      </c>
      <c r="F447"/>
    </row>
    <row r="448" spans="1:6" x14ac:dyDescent="0.2">
      <c r="A448" s="98">
        <v>45412</v>
      </c>
      <c r="B448" s="1" t="s">
        <v>21</v>
      </c>
      <c r="C448" s="1" t="s">
        <v>1529</v>
      </c>
      <c r="D448" s="5">
        <v>-1878.1712335154621</v>
      </c>
      <c r="E448" s="4">
        <f t="shared" si="7"/>
        <v>299391.90082828247</v>
      </c>
      <c r="F448"/>
    </row>
    <row r="449" spans="1:6" x14ac:dyDescent="0.2">
      <c r="A449" s="98">
        <v>45412</v>
      </c>
      <c r="B449" s="1" t="s">
        <v>21</v>
      </c>
      <c r="C449" s="1" t="s">
        <v>1243</v>
      </c>
      <c r="D449" s="5">
        <v>-2116.9218898309737</v>
      </c>
      <c r="E449" s="4">
        <f t="shared" si="7"/>
        <v>297274.9789384515</v>
      </c>
      <c r="F449"/>
    </row>
    <row r="450" spans="1:6" x14ac:dyDescent="0.2">
      <c r="A450" s="60">
        <v>45412</v>
      </c>
      <c r="B450" s="1" t="s">
        <v>21</v>
      </c>
      <c r="C450" s="41" t="s">
        <v>1108</v>
      </c>
      <c r="D450" s="4">
        <v>-2135.0547217030607</v>
      </c>
      <c r="E450" s="4">
        <f t="shared" si="7"/>
        <v>295139.92421674845</v>
      </c>
      <c r="F450"/>
    </row>
    <row r="451" spans="1:6" x14ac:dyDescent="0.2">
      <c r="A451" s="98">
        <v>45412</v>
      </c>
      <c r="B451" s="1" t="s">
        <v>21</v>
      </c>
      <c r="C451" s="1" t="s">
        <v>1699</v>
      </c>
      <c r="D451" s="5">
        <v>-1833.9947801359006</v>
      </c>
      <c r="E451" s="4">
        <f t="shared" si="7"/>
        <v>293305.92943661253</v>
      </c>
      <c r="F451"/>
    </row>
    <row r="452" spans="1:6" x14ac:dyDescent="0.2">
      <c r="A452" s="98">
        <v>45412</v>
      </c>
      <c r="B452" s="1" t="s">
        <v>21</v>
      </c>
      <c r="C452" s="1" t="s">
        <v>1246</v>
      </c>
      <c r="D452" s="5">
        <v>-1837.2746330701259</v>
      </c>
      <c r="E452" s="4">
        <f t="shared" si="7"/>
        <v>291468.65480354242</v>
      </c>
      <c r="F452"/>
    </row>
    <row r="453" spans="1:6" x14ac:dyDescent="0.2">
      <c r="A453" s="60">
        <v>45412</v>
      </c>
      <c r="B453" s="1" t="s">
        <v>21</v>
      </c>
      <c r="C453" s="41" t="s">
        <v>1101</v>
      </c>
      <c r="D453" s="4">
        <v>-1231.1699726231798</v>
      </c>
      <c r="E453" s="4">
        <f t="shared" si="7"/>
        <v>290237.48483091925</v>
      </c>
      <c r="F453"/>
    </row>
    <row r="454" spans="1:6" x14ac:dyDescent="0.2">
      <c r="A454" s="98">
        <v>45412</v>
      </c>
      <c r="B454" s="1" t="s">
        <v>21</v>
      </c>
      <c r="C454" s="1" t="s">
        <v>1711</v>
      </c>
      <c r="D454" s="5">
        <v>-1914.0779198215585</v>
      </c>
      <c r="E454" s="4">
        <f t="shared" si="7"/>
        <v>288323.4069110977</v>
      </c>
      <c r="F454"/>
    </row>
    <row r="455" spans="1:6" x14ac:dyDescent="0.2">
      <c r="A455" s="98">
        <v>45412</v>
      </c>
      <c r="B455" s="1" t="s">
        <v>21</v>
      </c>
      <c r="C455" s="1" t="s">
        <v>1054</v>
      </c>
      <c r="D455" s="5">
        <v>-877.70622359567631</v>
      </c>
      <c r="E455" s="4">
        <f t="shared" si="7"/>
        <v>287445.70068750205</v>
      </c>
      <c r="F455"/>
    </row>
    <row r="456" spans="1:6" x14ac:dyDescent="0.2">
      <c r="A456" s="98">
        <v>45412</v>
      </c>
      <c r="B456" s="1" t="s">
        <v>21</v>
      </c>
      <c r="C456" s="1" t="s">
        <v>1261</v>
      </c>
      <c r="D456" s="5">
        <v>-2039.479853189725</v>
      </c>
      <c r="E456" s="4">
        <f t="shared" si="7"/>
        <v>285406.22083431232</v>
      </c>
      <c r="F456"/>
    </row>
    <row r="457" spans="1:6" x14ac:dyDescent="0.2">
      <c r="A457" s="98">
        <v>45412</v>
      </c>
      <c r="B457" s="1" t="s">
        <v>21</v>
      </c>
      <c r="C457" s="1" t="s">
        <v>1216</v>
      </c>
      <c r="D457" s="5">
        <v>-1346.8169176740814</v>
      </c>
      <c r="E457" s="4">
        <f t="shared" si="7"/>
        <v>284059.40391663823</v>
      </c>
      <c r="F457"/>
    </row>
    <row r="458" spans="1:6" x14ac:dyDescent="0.2">
      <c r="A458" s="98">
        <v>45412</v>
      </c>
      <c r="B458" s="1" t="s">
        <v>21</v>
      </c>
      <c r="C458" s="1" t="s">
        <v>1435</v>
      </c>
      <c r="D458" s="5">
        <v>-2093.5257588668064</v>
      </c>
      <c r="E458" s="4">
        <f t="shared" si="7"/>
        <v>281965.87815777143</v>
      </c>
      <c r="F458"/>
    </row>
    <row r="459" spans="1:6" x14ac:dyDescent="0.2">
      <c r="A459" s="98">
        <v>45412</v>
      </c>
      <c r="B459" s="1" t="s">
        <v>21</v>
      </c>
      <c r="C459" s="1" t="s">
        <v>1686</v>
      </c>
      <c r="D459" s="5">
        <v>-1982.7333129785029</v>
      </c>
      <c r="E459" s="4">
        <f t="shared" si="7"/>
        <v>279983.1448447929</v>
      </c>
      <c r="F459"/>
    </row>
    <row r="460" spans="1:6" x14ac:dyDescent="0.2">
      <c r="A460" s="60">
        <v>45412</v>
      </c>
      <c r="B460" s="1" t="s">
        <v>21</v>
      </c>
      <c r="C460" s="41" t="s">
        <v>1118</v>
      </c>
      <c r="D460" s="4">
        <v>-2045.6604993235635</v>
      </c>
      <c r="E460" s="4">
        <f t="shared" si="7"/>
        <v>277937.48434546933</v>
      </c>
      <c r="F460"/>
    </row>
    <row r="461" spans="1:6" x14ac:dyDescent="0.2">
      <c r="A461" s="60">
        <v>45412</v>
      </c>
      <c r="B461" s="1" t="s">
        <v>21</v>
      </c>
      <c r="C461" s="41" t="s">
        <v>1137</v>
      </c>
      <c r="D461" s="4">
        <v>-1245.5622851405058</v>
      </c>
      <c r="E461" s="4">
        <f t="shared" si="7"/>
        <v>276691.92206032883</v>
      </c>
      <c r="F461"/>
    </row>
    <row r="462" spans="1:6" x14ac:dyDescent="0.2">
      <c r="A462" s="60">
        <v>45412</v>
      </c>
      <c r="B462" s="1" t="s">
        <v>21</v>
      </c>
      <c r="C462" s="41" t="s">
        <v>1085</v>
      </c>
      <c r="D462" s="4">
        <v>-2269.1652177690003</v>
      </c>
      <c r="E462" s="4">
        <f t="shared" ref="E462:E525" si="8">IF(D462="","",D462+E461)</f>
        <v>274422.75684255984</v>
      </c>
      <c r="F462"/>
    </row>
    <row r="463" spans="1:6" x14ac:dyDescent="0.2">
      <c r="A463" s="98">
        <v>45412</v>
      </c>
      <c r="B463" s="1" t="s">
        <v>21</v>
      </c>
      <c r="C463" s="1" t="s">
        <v>983</v>
      </c>
      <c r="D463" s="5">
        <v>-1942.806334865907</v>
      </c>
      <c r="E463" s="4">
        <f t="shared" si="8"/>
        <v>272479.95050769392</v>
      </c>
      <c r="F463"/>
    </row>
    <row r="464" spans="1:6" x14ac:dyDescent="0.2">
      <c r="A464" s="98">
        <v>45412</v>
      </c>
      <c r="B464" s="1" t="s">
        <v>21</v>
      </c>
      <c r="C464" s="1" t="s">
        <v>1424</v>
      </c>
      <c r="D464" s="5">
        <v>-1994.7264809096816</v>
      </c>
      <c r="E464" s="4">
        <f t="shared" si="8"/>
        <v>270485.22402678424</v>
      </c>
      <c r="F464"/>
    </row>
    <row r="465" spans="1:6" x14ac:dyDescent="0.2">
      <c r="A465" s="98">
        <v>45412</v>
      </c>
      <c r="B465" s="1" t="s">
        <v>21</v>
      </c>
      <c r="C465" s="1" t="s">
        <v>1480</v>
      </c>
      <c r="D465" s="5">
        <v>-1798.1443038201076</v>
      </c>
      <c r="E465" s="4">
        <f t="shared" si="8"/>
        <v>268687.07972296415</v>
      </c>
      <c r="F465"/>
    </row>
    <row r="466" spans="1:6" x14ac:dyDescent="0.2">
      <c r="A466" s="60">
        <v>45412</v>
      </c>
      <c r="B466" s="1" t="s">
        <v>21</v>
      </c>
      <c r="C466" s="41" t="s">
        <v>1513</v>
      </c>
      <c r="D466" s="4">
        <v>-1992.5675062821051</v>
      </c>
      <c r="E466" s="4">
        <f t="shared" si="8"/>
        <v>266694.51221668202</v>
      </c>
      <c r="F466"/>
    </row>
    <row r="467" spans="1:6" x14ac:dyDescent="0.2">
      <c r="A467" s="98">
        <v>45412</v>
      </c>
      <c r="B467" s="1" t="s">
        <v>21</v>
      </c>
      <c r="C467" s="1" t="s">
        <v>1754</v>
      </c>
      <c r="D467" s="5">
        <v>-1765.7831904023999</v>
      </c>
      <c r="E467" s="4">
        <f t="shared" si="8"/>
        <v>264928.72902627965</v>
      </c>
      <c r="F467"/>
    </row>
    <row r="468" spans="1:6" x14ac:dyDescent="0.2">
      <c r="A468" s="60">
        <v>45412</v>
      </c>
      <c r="B468" s="1" t="s">
        <v>21</v>
      </c>
      <c r="C468" s="41" t="s">
        <v>1152</v>
      </c>
      <c r="D468" s="4">
        <v>-1863.9539384679456</v>
      </c>
      <c r="E468" s="4">
        <f t="shared" si="8"/>
        <v>263064.77508781169</v>
      </c>
      <c r="F468"/>
    </row>
    <row r="469" spans="1:6" x14ac:dyDescent="0.2">
      <c r="A469" s="98">
        <v>45412</v>
      </c>
      <c r="B469" s="1" t="s">
        <v>21</v>
      </c>
      <c r="C469" s="1" t="s">
        <v>1635</v>
      </c>
      <c r="D469" s="5">
        <v>-1865.5380381946886</v>
      </c>
      <c r="E469" s="4">
        <f t="shared" si="8"/>
        <v>261199.23704961702</v>
      </c>
      <c r="F469"/>
    </row>
    <row r="470" spans="1:6" x14ac:dyDescent="0.2">
      <c r="A470" s="98">
        <v>45412</v>
      </c>
      <c r="B470" s="1" t="s">
        <v>21</v>
      </c>
      <c r="C470" s="1" t="s">
        <v>1471</v>
      </c>
      <c r="D470" s="5">
        <v>-2305.8692172375595</v>
      </c>
      <c r="E470" s="4">
        <f t="shared" si="8"/>
        <v>258893.36783237947</v>
      </c>
      <c r="F470"/>
    </row>
    <row r="471" spans="1:6" x14ac:dyDescent="0.2">
      <c r="A471" s="98">
        <v>45412</v>
      </c>
      <c r="B471" s="1" t="s">
        <v>21</v>
      </c>
      <c r="C471" s="1" t="s">
        <v>1767</v>
      </c>
      <c r="D471" s="5">
        <v>-1928.3475923600404</v>
      </c>
      <c r="E471" s="4">
        <f t="shared" si="8"/>
        <v>256965.02024001942</v>
      </c>
      <c r="F471"/>
    </row>
    <row r="472" spans="1:6" x14ac:dyDescent="0.2">
      <c r="A472" s="98">
        <v>45412</v>
      </c>
      <c r="B472" s="1" t="s">
        <v>21</v>
      </c>
      <c r="C472" s="1" t="s">
        <v>1343</v>
      </c>
      <c r="D472" s="5">
        <v>-1988.042602062651</v>
      </c>
      <c r="E472" s="4">
        <f t="shared" si="8"/>
        <v>254976.97763795676</v>
      </c>
      <c r="F472"/>
    </row>
    <row r="473" spans="1:6" x14ac:dyDescent="0.2">
      <c r="A473" s="98">
        <v>45412</v>
      </c>
      <c r="B473" s="1" t="s">
        <v>21</v>
      </c>
      <c r="C473" s="1" t="s">
        <v>1596</v>
      </c>
      <c r="D473" s="5">
        <v>-1370.6563410617809</v>
      </c>
      <c r="E473" s="4">
        <f t="shared" si="8"/>
        <v>253606.32129689498</v>
      </c>
      <c r="F473"/>
    </row>
    <row r="474" spans="1:6" x14ac:dyDescent="0.2">
      <c r="A474" s="60">
        <v>45412</v>
      </c>
      <c r="B474" s="1" t="s">
        <v>21</v>
      </c>
      <c r="C474" s="41" t="s">
        <v>1056</v>
      </c>
      <c r="D474" s="4">
        <v>-2003.7328543560825</v>
      </c>
      <c r="E474" s="4">
        <f t="shared" si="8"/>
        <v>251602.58844253889</v>
      </c>
      <c r="F474"/>
    </row>
    <row r="475" spans="1:6" x14ac:dyDescent="0.2">
      <c r="A475" s="98">
        <v>45412</v>
      </c>
      <c r="B475" s="1" t="s">
        <v>21</v>
      </c>
      <c r="C475" s="1" t="s">
        <v>1307</v>
      </c>
      <c r="D475" s="5">
        <v>-1923.7843631471976</v>
      </c>
      <c r="E475" s="4">
        <f t="shared" si="8"/>
        <v>249678.8040793917</v>
      </c>
      <c r="F475"/>
    </row>
    <row r="476" spans="1:6" x14ac:dyDescent="0.2">
      <c r="A476" s="60">
        <v>45412</v>
      </c>
      <c r="B476" s="1" t="s">
        <v>21</v>
      </c>
      <c r="C476" s="41" t="s">
        <v>1140</v>
      </c>
      <c r="D476" s="4">
        <v>-1941.4572950986167</v>
      </c>
      <c r="E476" s="4">
        <f t="shared" si="8"/>
        <v>247737.3467842931</v>
      </c>
      <c r="F476"/>
    </row>
    <row r="477" spans="1:6" x14ac:dyDescent="0.2">
      <c r="A477" s="98">
        <v>45412</v>
      </c>
      <c r="B477" s="1" t="s">
        <v>21</v>
      </c>
      <c r="C477" s="1" t="s">
        <v>1254</v>
      </c>
      <c r="D477" s="5">
        <v>-1924.8242479678172</v>
      </c>
      <c r="E477" s="4">
        <f t="shared" si="8"/>
        <v>245812.52253632527</v>
      </c>
      <c r="F477"/>
    </row>
    <row r="478" spans="1:6" x14ac:dyDescent="0.2">
      <c r="A478" s="98">
        <v>45412</v>
      </c>
      <c r="B478" s="1" t="s">
        <v>21</v>
      </c>
      <c r="C478" s="1" t="s">
        <v>1702</v>
      </c>
      <c r="D478" s="5">
        <v>-1993.5077461199137</v>
      </c>
      <c r="E478" s="4">
        <f t="shared" si="8"/>
        <v>243819.01479020534</v>
      </c>
      <c r="F478"/>
    </row>
    <row r="479" spans="1:6" x14ac:dyDescent="0.2">
      <c r="A479" s="98">
        <v>45412</v>
      </c>
      <c r="B479" s="1" t="s">
        <v>21</v>
      </c>
      <c r="C479" s="1" t="s">
        <v>1589</v>
      </c>
      <c r="D479" s="5">
        <v>-950.12129860407595</v>
      </c>
      <c r="E479" s="4">
        <f t="shared" si="8"/>
        <v>242868.89349160128</v>
      </c>
      <c r="F479"/>
    </row>
    <row r="480" spans="1:6" x14ac:dyDescent="0.2">
      <c r="A480" s="60">
        <v>45412</v>
      </c>
      <c r="B480" s="1" t="s">
        <v>21</v>
      </c>
      <c r="C480" s="41" t="s">
        <v>1196</v>
      </c>
      <c r="D480" s="4">
        <v>-1914.6221347276817</v>
      </c>
      <c r="E480" s="4">
        <f t="shared" si="8"/>
        <v>240954.27135687359</v>
      </c>
      <c r="F480"/>
    </row>
    <row r="481" spans="1:6" x14ac:dyDescent="0.2">
      <c r="A481" s="60">
        <v>45412</v>
      </c>
      <c r="B481" s="1" t="s">
        <v>21</v>
      </c>
      <c r="C481" s="41" t="s">
        <v>1130</v>
      </c>
      <c r="D481" s="4">
        <v>-2370.4110611040924</v>
      </c>
      <c r="E481" s="4">
        <f t="shared" si="8"/>
        <v>238583.8602957695</v>
      </c>
      <c r="F481"/>
    </row>
    <row r="482" spans="1:6" x14ac:dyDescent="0.2">
      <c r="A482" s="98">
        <v>45412</v>
      </c>
      <c r="B482" s="1" t="s">
        <v>21</v>
      </c>
      <c r="C482" s="1" t="s">
        <v>1144</v>
      </c>
      <c r="D482" s="5">
        <v>-1596.2206446519388</v>
      </c>
      <c r="E482" s="4">
        <f t="shared" si="8"/>
        <v>236987.63965111756</v>
      </c>
      <c r="F482"/>
    </row>
    <row r="483" spans="1:6" x14ac:dyDescent="0.2">
      <c r="A483" s="60">
        <v>45412</v>
      </c>
      <c r="B483" s="1" t="s">
        <v>21</v>
      </c>
      <c r="C483" s="41" t="s">
        <v>1069</v>
      </c>
      <c r="D483" s="4">
        <v>-2225.3752336227722</v>
      </c>
      <c r="E483" s="4">
        <f t="shared" si="8"/>
        <v>234762.26441749479</v>
      </c>
      <c r="F483"/>
    </row>
    <row r="484" spans="1:6" x14ac:dyDescent="0.2">
      <c r="A484" s="60">
        <v>45412</v>
      </c>
      <c r="B484" s="1" t="s">
        <v>21</v>
      </c>
      <c r="C484" s="41" t="s">
        <v>990</v>
      </c>
      <c r="D484" s="4">
        <v>-2072.5479349854809</v>
      </c>
      <c r="E484" s="4">
        <f t="shared" si="8"/>
        <v>232689.71648250931</v>
      </c>
      <c r="F484"/>
    </row>
    <row r="485" spans="1:6" x14ac:dyDescent="0.2">
      <c r="A485" s="60">
        <v>45412</v>
      </c>
      <c r="B485" s="1" t="s">
        <v>21</v>
      </c>
      <c r="C485" s="41" t="s">
        <v>1200</v>
      </c>
      <c r="D485" s="4">
        <v>-1729.9365465859457</v>
      </c>
      <c r="E485" s="4">
        <f t="shared" si="8"/>
        <v>230959.77993592335</v>
      </c>
      <c r="F485"/>
    </row>
    <row r="486" spans="1:6" x14ac:dyDescent="0.2">
      <c r="A486" s="60">
        <v>45412</v>
      </c>
      <c r="B486" s="1" t="s">
        <v>21</v>
      </c>
      <c r="C486" s="41" t="s">
        <v>1121</v>
      </c>
      <c r="D486" s="4">
        <v>-1914.7549947047632</v>
      </c>
      <c r="E486" s="4">
        <f t="shared" si="8"/>
        <v>229045.02494121858</v>
      </c>
      <c r="F486"/>
    </row>
    <row r="487" spans="1:6" x14ac:dyDescent="0.2">
      <c r="A487" s="98">
        <v>45412</v>
      </c>
      <c r="B487" s="1" t="s">
        <v>21</v>
      </c>
      <c r="C487" s="1" t="s">
        <v>1717</v>
      </c>
      <c r="D487" s="5">
        <v>-1849.9525408831864</v>
      </c>
      <c r="E487" s="4">
        <f t="shared" si="8"/>
        <v>227195.0724003354</v>
      </c>
      <c r="F487"/>
    </row>
    <row r="488" spans="1:6" x14ac:dyDescent="0.2">
      <c r="A488" s="60">
        <v>45412</v>
      </c>
      <c r="B488" s="1" t="s">
        <v>21</v>
      </c>
      <c r="C488" s="41" t="s">
        <v>1112</v>
      </c>
      <c r="D488" s="4">
        <v>-1629.30533394483</v>
      </c>
      <c r="E488" s="4">
        <f t="shared" si="8"/>
        <v>225565.76706639057</v>
      </c>
      <c r="F488"/>
    </row>
    <row r="489" spans="1:6" x14ac:dyDescent="0.2">
      <c r="A489" s="98">
        <v>45412</v>
      </c>
      <c r="B489" s="1" t="s">
        <v>21</v>
      </c>
      <c r="C489" s="1" t="s">
        <v>1431</v>
      </c>
      <c r="D489" s="5">
        <v>-2246.1742075349489</v>
      </c>
      <c r="E489" s="4">
        <f t="shared" si="8"/>
        <v>223319.59285885561</v>
      </c>
      <c r="F489"/>
    </row>
    <row r="490" spans="1:6" x14ac:dyDescent="0.2">
      <c r="A490" s="98">
        <v>45412</v>
      </c>
      <c r="B490" s="1" t="s">
        <v>21</v>
      </c>
      <c r="C490" s="1" t="s">
        <v>1647</v>
      </c>
      <c r="D490" s="5">
        <v>-1981.062343266746</v>
      </c>
      <c r="E490" s="4">
        <f t="shared" si="8"/>
        <v>221338.53051558888</v>
      </c>
      <c r="F490"/>
    </row>
    <row r="491" spans="1:6" x14ac:dyDescent="0.2">
      <c r="A491" s="98">
        <v>45412</v>
      </c>
      <c r="B491" s="1" t="s">
        <v>21</v>
      </c>
      <c r="C491" s="1" t="s">
        <v>1474</v>
      </c>
      <c r="D491" s="5">
        <v>-1436.4079772196239</v>
      </c>
      <c r="E491" s="4">
        <f t="shared" si="8"/>
        <v>219902.12253836927</v>
      </c>
      <c r="F491"/>
    </row>
    <row r="492" spans="1:6" x14ac:dyDescent="0.2">
      <c r="A492" s="60">
        <v>45412</v>
      </c>
      <c r="B492" s="1" t="s">
        <v>21</v>
      </c>
      <c r="C492" s="41" t="s">
        <v>1044</v>
      </c>
      <c r="D492" s="4">
        <v>-2505.2920428371226</v>
      </c>
      <c r="E492" s="4">
        <f t="shared" si="8"/>
        <v>217396.83049553214</v>
      </c>
      <c r="F492"/>
    </row>
    <row r="493" spans="1:6" x14ac:dyDescent="0.2">
      <c r="A493" s="98">
        <v>45412</v>
      </c>
      <c r="B493" s="1" t="s">
        <v>21</v>
      </c>
      <c r="C493" s="1" t="s">
        <v>1457</v>
      </c>
      <c r="D493" s="5">
        <v>-1960.3668468367187</v>
      </c>
      <c r="E493" s="4">
        <f t="shared" si="8"/>
        <v>215436.46364869541</v>
      </c>
      <c r="F493"/>
    </row>
    <row r="494" spans="1:6" x14ac:dyDescent="0.2">
      <c r="A494" s="98">
        <v>45412</v>
      </c>
      <c r="B494" s="1" t="s">
        <v>21</v>
      </c>
      <c r="C494" s="1" t="s">
        <v>1333</v>
      </c>
      <c r="D494" s="5">
        <v>-1938.2221546566782</v>
      </c>
      <c r="E494" s="4">
        <f t="shared" si="8"/>
        <v>213498.24149403872</v>
      </c>
      <c r="F494"/>
    </row>
    <row r="495" spans="1:6" x14ac:dyDescent="0.2">
      <c r="A495" s="98">
        <v>45412</v>
      </c>
      <c r="B495" s="1" t="s">
        <v>21</v>
      </c>
      <c r="C495" s="1" t="s">
        <v>1656</v>
      </c>
      <c r="D495" s="5">
        <v>-2018.1175018747308</v>
      </c>
      <c r="E495" s="4">
        <f t="shared" si="8"/>
        <v>211480.12399216398</v>
      </c>
      <c r="F495"/>
    </row>
    <row r="496" spans="1:6" x14ac:dyDescent="0.2">
      <c r="A496" s="98">
        <v>45412</v>
      </c>
      <c r="B496" s="1" t="s">
        <v>21</v>
      </c>
      <c r="C496" s="1" t="s">
        <v>1744</v>
      </c>
      <c r="D496" s="5">
        <v>-1812.9382622681496</v>
      </c>
      <c r="E496" s="4">
        <f t="shared" si="8"/>
        <v>209667.18572989583</v>
      </c>
      <c r="F496"/>
    </row>
    <row r="497" spans="1:6" x14ac:dyDescent="0.2">
      <c r="A497" s="98">
        <v>45412</v>
      </c>
      <c r="B497" s="1" t="s">
        <v>21</v>
      </c>
      <c r="C497" s="1" t="s">
        <v>1296</v>
      </c>
      <c r="D497" s="5">
        <v>-1964.7486710808539</v>
      </c>
      <c r="E497" s="4">
        <f t="shared" si="8"/>
        <v>207702.43705881498</v>
      </c>
      <c r="F497"/>
    </row>
    <row r="498" spans="1:6" x14ac:dyDescent="0.2">
      <c r="A498" s="98">
        <v>45412</v>
      </c>
      <c r="B498" s="1" t="s">
        <v>21</v>
      </c>
      <c r="C498" s="1" t="s">
        <v>1720</v>
      </c>
      <c r="D498" s="5">
        <v>-2154.7154433115861</v>
      </c>
      <c r="E498" s="4">
        <f t="shared" si="8"/>
        <v>205547.7216155034</v>
      </c>
      <c r="F498"/>
    </row>
    <row r="499" spans="1:6" x14ac:dyDescent="0.2">
      <c r="A499" s="98">
        <v>45412</v>
      </c>
      <c r="B499" s="1" t="s">
        <v>21</v>
      </c>
      <c r="C499" s="1" t="s">
        <v>1723</v>
      </c>
      <c r="D499" s="5">
        <v>-1867.3776378773575</v>
      </c>
      <c r="E499" s="4">
        <f t="shared" si="8"/>
        <v>203680.34397762603</v>
      </c>
      <c r="F499"/>
    </row>
    <row r="500" spans="1:6" x14ac:dyDescent="0.2">
      <c r="A500" s="60">
        <v>45412</v>
      </c>
      <c r="B500" s="1" t="s">
        <v>21</v>
      </c>
      <c r="C500" s="41" t="s">
        <v>1023</v>
      </c>
      <c r="D500" s="4">
        <v>-2058.1798949639679</v>
      </c>
      <c r="E500" s="4">
        <f t="shared" si="8"/>
        <v>201622.16408266206</v>
      </c>
      <c r="F500"/>
    </row>
    <row r="501" spans="1:6" x14ac:dyDescent="0.2">
      <c r="A501" s="60">
        <v>45412</v>
      </c>
      <c r="B501" s="1" t="s">
        <v>21</v>
      </c>
      <c r="C501" s="41" t="s">
        <v>1050</v>
      </c>
      <c r="D501" s="4">
        <v>-1917.0238343133885</v>
      </c>
      <c r="E501" s="4">
        <f t="shared" si="8"/>
        <v>199705.14024834867</v>
      </c>
      <c r="F501"/>
    </row>
    <row r="502" spans="1:6" x14ac:dyDescent="0.2">
      <c r="A502" s="98">
        <v>45412</v>
      </c>
      <c r="B502" s="1" t="s">
        <v>21</v>
      </c>
      <c r="C502" s="1" t="s">
        <v>1393</v>
      </c>
      <c r="D502" s="5">
        <v>-1847.8548862450323</v>
      </c>
      <c r="E502" s="4">
        <f t="shared" si="8"/>
        <v>197857.28536210363</v>
      </c>
      <c r="F502"/>
    </row>
    <row r="503" spans="1:6" x14ac:dyDescent="0.2">
      <c r="A503" s="98">
        <v>45412</v>
      </c>
      <c r="B503" s="1" t="s">
        <v>21</v>
      </c>
      <c r="C503" s="1" t="s">
        <v>1605</v>
      </c>
      <c r="D503" s="5">
        <v>-1677.0959875009421</v>
      </c>
      <c r="E503" s="4">
        <f t="shared" si="8"/>
        <v>196180.18937460269</v>
      </c>
      <c r="F503"/>
    </row>
    <row r="504" spans="1:6" x14ac:dyDescent="0.2">
      <c r="A504" s="60">
        <v>45412</v>
      </c>
      <c r="B504" s="1" t="s">
        <v>21</v>
      </c>
      <c r="C504" s="41" t="s">
        <v>1501</v>
      </c>
      <c r="D504" s="4">
        <v>-2019.5355266301215</v>
      </c>
      <c r="E504" s="4">
        <f t="shared" si="8"/>
        <v>194160.65384797257</v>
      </c>
      <c r="F504"/>
    </row>
    <row r="505" spans="1:6" x14ac:dyDescent="0.2">
      <c r="A505" s="98">
        <v>45412</v>
      </c>
      <c r="B505" s="1" t="s">
        <v>21</v>
      </c>
      <c r="C505" s="1" t="s">
        <v>1273</v>
      </c>
      <c r="D505" s="5">
        <v>-1463.506302545163</v>
      </c>
      <c r="E505" s="4">
        <f t="shared" si="8"/>
        <v>192697.1475454274</v>
      </c>
      <c r="F505"/>
    </row>
    <row r="506" spans="1:6" x14ac:dyDescent="0.2">
      <c r="A506" s="98">
        <v>45412</v>
      </c>
      <c r="B506" s="1" t="s">
        <v>21</v>
      </c>
      <c r="C506" s="1" t="s">
        <v>1438</v>
      </c>
      <c r="D506" s="5">
        <v>-2033.1817792761431</v>
      </c>
      <c r="E506" s="4">
        <f t="shared" si="8"/>
        <v>190663.96576615126</v>
      </c>
      <c r="F506"/>
    </row>
    <row r="507" spans="1:6" x14ac:dyDescent="0.2">
      <c r="A507" s="98">
        <v>45412</v>
      </c>
      <c r="B507" s="1" t="s">
        <v>21</v>
      </c>
      <c r="C507" s="1" t="s">
        <v>1570</v>
      </c>
      <c r="D507" s="5">
        <v>-2017.6499369553856</v>
      </c>
      <c r="E507" s="4">
        <f t="shared" si="8"/>
        <v>188646.31582919587</v>
      </c>
      <c r="F507"/>
    </row>
    <row r="508" spans="1:6" x14ac:dyDescent="0.2">
      <c r="A508" s="98">
        <v>45412</v>
      </c>
      <c r="B508" s="1" t="s">
        <v>21</v>
      </c>
      <c r="C508" s="1" t="s">
        <v>1347</v>
      </c>
      <c r="D508" s="5">
        <v>-2024.7783857257282</v>
      </c>
      <c r="E508" s="4">
        <f t="shared" si="8"/>
        <v>186621.53744347015</v>
      </c>
      <c r="F508"/>
    </row>
    <row r="509" spans="1:6" x14ac:dyDescent="0.2">
      <c r="A509" s="98">
        <v>45412</v>
      </c>
      <c r="B509" s="1" t="s">
        <v>21</v>
      </c>
      <c r="C509" s="1" t="s">
        <v>1419</v>
      </c>
      <c r="D509" s="5">
        <v>-1756.0094994883614</v>
      </c>
      <c r="E509" s="4">
        <f t="shared" si="8"/>
        <v>184865.52794398178</v>
      </c>
      <c r="F509"/>
    </row>
    <row r="510" spans="1:6" x14ac:dyDescent="0.2">
      <c r="A510" s="98">
        <v>45412</v>
      </c>
      <c r="B510" s="1" t="s">
        <v>21</v>
      </c>
      <c r="C510" s="1" t="s">
        <v>1403</v>
      </c>
      <c r="D510" s="5">
        <v>-1818.5490413002901</v>
      </c>
      <c r="E510" s="4">
        <f t="shared" si="8"/>
        <v>183046.9789026815</v>
      </c>
      <c r="F510"/>
    </row>
    <row r="511" spans="1:6" x14ac:dyDescent="0.2">
      <c r="A511" s="98">
        <v>45412</v>
      </c>
      <c r="B511" s="1" t="s">
        <v>21</v>
      </c>
      <c r="C511" s="1" t="s">
        <v>1592</v>
      </c>
      <c r="D511" s="5">
        <v>-2040.7611854686957</v>
      </c>
      <c r="E511" s="4">
        <f t="shared" si="8"/>
        <v>181006.2177172128</v>
      </c>
      <c r="F511"/>
    </row>
    <row r="512" spans="1:6" x14ac:dyDescent="0.2">
      <c r="A512" s="60">
        <v>45412</v>
      </c>
      <c r="B512" s="1" t="s">
        <v>21</v>
      </c>
      <c r="C512" s="41" t="s">
        <v>1510</v>
      </c>
      <c r="D512" s="4">
        <v>-1995.9835406928394</v>
      </c>
      <c r="E512" s="4">
        <f t="shared" si="8"/>
        <v>179010.23417651997</v>
      </c>
      <c r="F512"/>
    </row>
    <row r="513" spans="1:6" x14ac:dyDescent="0.2">
      <c r="A513" s="98">
        <v>45412</v>
      </c>
      <c r="B513" s="1" t="s">
        <v>21</v>
      </c>
      <c r="C513" s="1" t="s">
        <v>1301</v>
      </c>
      <c r="D513" s="5">
        <v>-2003.6127693767976</v>
      </c>
      <c r="E513" s="4">
        <f t="shared" si="8"/>
        <v>177006.62140714316</v>
      </c>
      <c r="F513"/>
    </row>
    <row r="514" spans="1:6" x14ac:dyDescent="0.2">
      <c r="A514" s="98">
        <v>45412</v>
      </c>
      <c r="B514" s="1" t="s">
        <v>21</v>
      </c>
      <c r="C514" s="1" t="s">
        <v>1629</v>
      </c>
      <c r="D514" s="5">
        <v>-587.2538736987068</v>
      </c>
      <c r="E514" s="4">
        <f t="shared" si="8"/>
        <v>176419.36753344446</v>
      </c>
      <c r="F514"/>
    </row>
    <row r="515" spans="1:6" x14ac:dyDescent="0.2">
      <c r="A515" s="98">
        <v>45412</v>
      </c>
      <c r="B515" s="1" t="s">
        <v>21</v>
      </c>
      <c r="C515" s="1" t="s">
        <v>1361</v>
      </c>
      <c r="D515" s="5">
        <v>-1425.998909015188</v>
      </c>
      <c r="E515" s="4">
        <f t="shared" si="8"/>
        <v>174993.36862442928</v>
      </c>
      <c r="F515"/>
    </row>
    <row r="516" spans="1:6" x14ac:dyDescent="0.2">
      <c r="A516" s="98">
        <v>45412</v>
      </c>
      <c r="B516" s="1" t="s">
        <v>21</v>
      </c>
      <c r="C516" s="1" t="s">
        <v>1293</v>
      </c>
      <c r="D516" s="5">
        <v>-1863.750816002984</v>
      </c>
      <c r="E516" s="4">
        <f t="shared" si="8"/>
        <v>173129.61780842629</v>
      </c>
      <c r="F516"/>
    </row>
    <row r="517" spans="1:6" x14ac:dyDescent="0.2">
      <c r="A517" s="98">
        <v>45412</v>
      </c>
      <c r="B517" s="1" t="s">
        <v>21</v>
      </c>
      <c r="C517" s="1" t="s">
        <v>1283</v>
      </c>
      <c r="D517" s="5">
        <v>-1910.8458453790915</v>
      </c>
      <c r="E517" s="4">
        <f t="shared" si="8"/>
        <v>171218.77196304721</v>
      </c>
      <c r="F517"/>
    </row>
    <row r="518" spans="1:6" x14ac:dyDescent="0.2">
      <c r="A518" s="60">
        <v>45412</v>
      </c>
      <c r="B518" s="1" t="s">
        <v>21</v>
      </c>
      <c r="C518" s="41" t="s">
        <v>1213</v>
      </c>
      <c r="D518" s="4">
        <v>-2041.6835403095895</v>
      </c>
      <c r="E518" s="4">
        <f t="shared" si="8"/>
        <v>169177.08842273764</v>
      </c>
      <c r="F518"/>
    </row>
    <row r="519" spans="1:6" x14ac:dyDescent="0.2">
      <c r="A519" s="98">
        <v>45412</v>
      </c>
      <c r="B519" s="1" t="s">
        <v>21</v>
      </c>
      <c r="C519" s="1" t="s">
        <v>1585</v>
      </c>
      <c r="D519" s="5">
        <v>-1764.7407505822202</v>
      </c>
      <c r="E519" s="4">
        <f t="shared" si="8"/>
        <v>167412.34767215542</v>
      </c>
      <c r="F519"/>
    </row>
    <row r="520" spans="1:6" x14ac:dyDescent="0.2">
      <c r="A520" s="98">
        <v>45412</v>
      </c>
      <c r="B520" s="1" t="s">
        <v>21</v>
      </c>
      <c r="C520" s="1" t="s">
        <v>1270</v>
      </c>
      <c r="D520" s="5">
        <v>-1905.8099412477852</v>
      </c>
      <c r="E520" s="4">
        <f t="shared" si="8"/>
        <v>165506.53773090764</v>
      </c>
      <c r="F520"/>
    </row>
    <row r="521" spans="1:6" x14ac:dyDescent="0.2">
      <c r="A521" s="98">
        <v>45412</v>
      </c>
      <c r="B521" s="1" t="s">
        <v>21</v>
      </c>
      <c r="C521" s="1" t="s">
        <v>1372</v>
      </c>
      <c r="D521" s="5">
        <v>-2279.2052418370963</v>
      </c>
      <c r="E521" s="4">
        <f t="shared" si="8"/>
        <v>163227.33248907054</v>
      </c>
      <c r="F521"/>
    </row>
    <row r="522" spans="1:6" x14ac:dyDescent="0.2">
      <c r="A522" s="98">
        <v>45412</v>
      </c>
      <c r="B522" s="1" t="s">
        <v>21</v>
      </c>
      <c r="C522" s="1" t="s">
        <v>1376</v>
      </c>
      <c r="D522" s="5">
        <v>-2018.6821567773281</v>
      </c>
      <c r="E522" s="4">
        <f t="shared" si="8"/>
        <v>161208.65033229321</v>
      </c>
      <c r="F522"/>
    </row>
    <row r="523" spans="1:6" x14ac:dyDescent="0.2">
      <c r="A523" s="60">
        <v>45412</v>
      </c>
      <c r="B523" s="1" t="s">
        <v>21</v>
      </c>
      <c r="C523" s="41" t="s">
        <v>1092</v>
      </c>
      <c r="D523" s="4">
        <v>-1866.3428630558562</v>
      </c>
      <c r="E523" s="4">
        <f t="shared" si="8"/>
        <v>159342.30746923736</v>
      </c>
      <c r="F523"/>
    </row>
    <row r="524" spans="1:6" x14ac:dyDescent="0.2">
      <c r="A524" s="60">
        <v>45412</v>
      </c>
      <c r="B524" s="1" t="s">
        <v>21</v>
      </c>
      <c r="C524" s="41" t="s">
        <v>1062</v>
      </c>
      <c r="D524" s="4">
        <v>-1966.2395133236837</v>
      </c>
      <c r="E524" s="4">
        <f t="shared" si="8"/>
        <v>157376.06795591369</v>
      </c>
      <c r="F524"/>
    </row>
    <row r="525" spans="1:6" x14ac:dyDescent="0.2">
      <c r="A525" s="98">
        <v>45412</v>
      </c>
      <c r="B525" s="1" t="s">
        <v>21</v>
      </c>
      <c r="C525" s="1" t="s">
        <v>1258</v>
      </c>
      <c r="D525" s="5">
        <v>-2009.6911133282831</v>
      </c>
      <c r="E525" s="4">
        <f t="shared" si="8"/>
        <v>155366.37684258542</v>
      </c>
      <c r="F525"/>
    </row>
    <row r="526" spans="1:6" x14ac:dyDescent="0.2">
      <c r="A526" s="98">
        <v>45412</v>
      </c>
      <c r="B526" s="1" t="s">
        <v>21</v>
      </c>
      <c r="C526" s="1" t="s">
        <v>1573</v>
      </c>
      <c r="D526" s="5">
        <v>-1861.2724664304994</v>
      </c>
      <c r="E526" s="4">
        <f t="shared" ref="E526:E589" si="9">IF(D526="","",D526+E525)</f>
        <v>153505.10437615492</v>
      </c>
      <c r="F526"/>
    </row>
    <row r="527" spans="1:6" x14ac:dyDescent="0.2">
      <c r="A527" s="98">
        <v>45412</v>
      </c>
      <c r="B527" s="1" t="s">
        <v>21</v>
      </c>
      <c r="C527" s="1" t="s">
        <v>1693</v>
      </c>
      <c r="D527" s="5">
        <v>-1432.8028728415045</v>
      </c>
      <c r="E527" s="4">
        <f t="shared" si="9"/>
        <v>152072.30150331341</v>
      </c>
      <c r="F527"/>
    </row>
    <row r="528" spans="1:6" x14ac:dyDescent="0.2">
      <c r="A528" s="98">
        <v>45412</v>
      </c>
      <c r="B528" s="1" t="s">
        <v>21</v>
      </c>
      <c r="C528" s="1" t="s">
        <v>1551</v>
      </c>
      <c r="D528" s="5">
        <v>-1922.8798933032185</v>
      </c>
      <c r="E528" s="4">
        <f t="shared" si="9"/>
        <v>150149.42161001021</v>
      </c>
      <c r="F528"/>
    </row>
    <row r="529" spans="1:6" x14ac:dyDescent="0.2">
      <c r="A529" s="60">
        <v>45412</v>
      </c>
      <c r="B529" s="1" t="s">
        <v>21</v>
      </c>
      <c r="C529" s="41" t="s">
        <v>1059</v>
      </c>
      <c r="D529" s="4">
        <v>-2112.6269355718537</v>
      </c>
      <c r="E529" s="4">
        <f t="shared" si="9"/>
        <v>148036.79467443837</v>
      </c>
      <c r="F529"/>
    </row>
    <row r="530" spans="1:6" x14ac:dyDescent="0.2">
      <c r="A530" s="98">
        <v>45412</v>
      </c>
      <c r="B530" s="1" t="s">
        <v>21</v>
      </c>
      <c r="C530" s="1" t="s">
        <v>1641</v>
      </c>
      <c r="D530" s="5">
        <v>-1210.8832761226347</v>
      </c>
      <c r="E530" s="4">
        <f t="shared" si="9"/>
        <v>146825.91139831574</v>
      </c>
      <c r="F530"/>
    </row>
    <row r="531" spans="1:6" x14ac:dyDescent="0.2">
      <c r="A531" s="60">
        <v>45412</v>
      </c>
      <c r="B531" s="1" t="s">
        <v>21</v>
      </c>
      <c r="C531" s="41" t="s">
        <v>1026</v>
      </c>
      <c r="D531" s="4">
        <v>-1970.0017501746984</v>
      </c>
      <c r="E531" s="4">
        <f t="shared" si="9"/>
        <v>144855.90964814104</v>
      </c>
      <c r="F531"/>
    </row>
    <row r="532" spans="1:6" x14ac:dyDescent="0.2">
      <c r="A532" s="60">
        <v>45412</v>
      </c>
      <c r="B532" s="1" t="s">
        <v>21</v>
      </c>
      <c r="C532" s="41" t="s">
        <v>1034</v>
      </c>
      <c r="D532" s="4">
        <v>-1990.1300367025688</v>
      </c>
      <c r="E532" s="4">
        <f t="shared" si="9"/>
        <v>142865.77961143845</v>
      </c>
      <c r="F532"/>
    </row>
    <row r="533" spans="1:6" x14ac:dyDescent="0.2">
      <c r="A533" s="98">
        <v>45412</v>
      </c>
      <c r="B533" s="1" t="s">
        <v>21</v>
      </c>
      <c r="C533" s="1" t="s">
        <v>1611</v>
      </c>
      <c r="D533" s="5">
        <v>-1782.9055710487889</v>
      </c>
      <c r="E533" s="4">
        <f t="shared" si="9"/>
        <v>141082.87404038967</v>
      </c>
      <c r="F533"/>
    </row>
    <row r="534" spans="1:6" x14ac:dyDescent="0.2">
      <c r="A534" s="60">
        <v>45412</v>
      </c>
      <c r="B534" s="1" t="s">
        <v>21</v>
      </c>
      <c r="C534" s="41" t="s">
        <v>1127</v>
      </c>
      <c r="D534" s="4">
        <v>-1901.3540220164309</v>
      </c>
      <c r="E534" s="4">
        <f t="shared" si="9"/>
        <v>139181.52001837324</v>
      </c>
      <c r="F534"/>
    </row>
    <row r="535" spans="1:6" x14ac:dyDescent="0.2">
      <c r="A535" s="98">
        <v>45412</v>
      </c>
      <c r="B535" s="1" t="s">
        <v>21</v>
      </c>
      <c r="C535" s="1" t="s">
        <v>1522</v>
      </c>
      <c r="D535" s="5">
        <v>-2045.8136970971373</v>
      </c>
      <c r="E535" s="4">
        <f t="shared" si="9"/>
        <v>137135.70632127611</v>
      </c>
      <c r="F535"/>
    </row>
    <row r="536" spans="1:6" x14ac:dyDescent="0.2">
      <c r="A536" s="60">
        <v>45412</v>
      </c>
      <c r="B536" s="1" t="s">
        <v>21</v>
      </c>
      <c r="C536" s="41" t="s">
        <v>1082</v>
      </c>
      <c r="D536" s="4">
        <v>-2036.1046987719392</v>
      </c>
      <c r="E536" s="4">
        <f t="shared" si="9"/>
        <v>135099.60162250418</v>
      </c>
      <c r="F536"/>
    </row>
    <row r="537" spans="1:6" x14ac:dyDescent="0.2">
      <c r="A537" s="98">
        <v>45412</v>
      </c>
      <c r="B537" s="1" t="s">
        <v>21</v>
      </c>
      <c r="C537" s="1" t="s">
        <v>1451</v>
      </c>
      <c r="D537" s="5">
        <v>-1541.6356340678531</v>
      </c>
      <c r="E537" s="4">
        <f t="shared" si="9"/>
        <v>133557.96598843634</v>
      </c>
      <c r="F537"/>
    </row>
    <row r="538" spans="1:6" x14ac:dyDescent="0.2">
      <c r="A538" s="98">
        <v>45412</v>
      </c>
      <c r="B538" s="1" t="s">
        <v>21</v>
      </c>
      <c r="C538" s="1" t="s">
        <v>1320</v>
      </c>
      <c r="D538" s="5">
        <v>-1404.7627746784212</v>
      </c>
      <c r="E538" s="4">
        <f t="shared" si="9"/>
        <v>132153.20321375792</v>
      </c>
      <c r="F538"/>
    </row>
    <row r="539" spans="1:6" x14ac:dyDescent="0.2">
      <c r="A539" s="98">
        <v>45412</v>
      </c>
      <c r="B539" s="1" t="s">
        <v>21</v>
      </c>
      <c r="C539" s="1" t="s">
        <v>1396</v>
      </c>
      <c r="D539" s="5">
        <v>-1959.5466919781957</v>
      </c>
      <c r="E539" s="4">
        <f t="shared" si="9"/>
        <v>130193.65652177973</v>
      </c>
      <c r="F539"/>
    </row>
    <row r="540" spans="1:6" x14ac:dyDescent="0.2">
      <c r="A540" s="98">
        <v>45412</v>
      </c>
      <c r="B540" s="1" t="s">
        <v>21</v>
      </c>
      <c r="C540" s="1" t="s">
        <v>1443</v>
      </c>
      <c r="D540" s="5">
        <v>-2024.4053557900761</v>
      </c>
      <c r="E540" s="4">
        <f t="shared" si="9"/>
        <v>128169.25116598966</v>
      </c>
      <c r="F540"/>
    </row>
    <row r="541" spans="1:6" x14ac:dyDescent="0.2">
      <c r="A541" s="98">
        <v>45412</v>
      </c>
      <c r="B541" s="1" t="s">
        <v>21</v>
      </c>
      <c r="C541" s="1" t="s">
        <v>1750</v>
      </c>
      <c r="D541" s="5">
        <v>-1903.2012866977777</v>
      </c>
      <c r="E541" s="4">
        <f t="shared" si="9"/>
        <v>126266.04987929188</v>
      </c>
      <c r="F541"/>
    </row>
    <row r="542" spans="1:6" x14ac:dyDescent="0.2">
      <c r="A542" s="60">
        <v>45412</v>
      </c>
      <c r="B542" s="1" t="s">
        <v>21</v>
      </c>
      <c r="C542" s="41" t="s">
        <v>1164</v>
      </c>
      <c r="D542" s="4">
        <v>-1746.6296362063877</v>
      </c>
      <c r="E542" s="4">
        <f t="shared" si="9"/>
        <v>124519.42024308549</v>
      </c>
      <c r="F542"/>
    </row>
    <row r="543" spans="1:6" x14ac:dyDescent="0.2">
      <c r="A543" s="98">
        <v>45412</v>
      </c>
      <c r="B543" s="1" t="s">
        <v>21</v>
      </c>
      <c r="C543" s="1" t="s">
        <v>1554</v>
      </c>
      <c r="D543" s="5">
        <v>-1971.5270849115777</v>
      </c>
      <c r="E543" s="4">
        <f t="shared" si="9"/>
        <v>122547.89315817392</v>
      </c>
      <c r="F543"/>
    </row>
    <row r="544" spans="1:6" x14ac:dyDescent="0.2">
      <c r="A544" s="60">
        <v>45412</v>
      </c>
      <c r="B544" s="1" t="s">
        <v>21</v>
      </c>
      <c r="C544" s="41" t="s">
        <v>1095</v>
      </c>
      <c r="D544" s="4">
        <v>-2027.4688002616319</v>
      </c>
      <c r="E544" s="4">
        <f t="shared" si="9"/>
        <v>120520.42435791228</v>
      </c>
      <c r="F544"/>
    </row>
    <row r="545" spans="1:6" x14ac:dyDescent="0.2">
      <c r="A545" s="98">
        <v>45412</v>
      </c>
      <c r="B545" s="1" t="s">
        <v>21</v>
      </c>
      <c r="C545" s="1" t="s">
        <v>1379</v>
      </c>
      <c r="D545" s="5">
        <v>-2213.2377082164949</v>
      </c>
      <c r="E545" s="4">
        <f t="shared" si="9"/>
        <v>118307.1866496958</v>
      </c>
      <c r="F545"/>
    </row>
    <row r="546" spans="1:6" x14ac:dyDescent="0.2">
      <c r="A546" s="60">
        <v>45412</v>
      </c>
      <c r="B546" s="1" t="s">
        <v>21</v>
      </c>
      <c r="C546" s="41" t="s">
        <v>1047</v>
      </c>
      <c r="D546" s="4">
        <v>-1704.4069909897939</v>
      </c>
      <c r="E546" s="4">
        <f t="shared" si="9"/>
        <v>116602.779658706</v>
      </c>
      <c r="F546"/>
    </row>
    <row r="547" spans="1:6" x14ac:dyDescent="0.2">
      <c r="A547" s="98">
        <v>45412</v>
      </c>
      <c r="B547" s="1" t="s">
        <v>21</v>
      </c>
      <c r="C547" s="1" t="s">
        <v>1608</v>
      </c>
      <c r="D547" s="5">
        <v>-1880.8729411494176</v>
      </c>
      <c r="E547" s="4">
        <f t="shared" si="9"/>
        <v>114721.90671755659</v>
      </c>
      <c r="F547"/>
    </row>
    <row r="548" spans="1:6" x14ac:dyDescent="0.2">
      <c r="A548" s="98">
        <v>45412</v>
      </c>
      <c r="B548" s="1" t="s">
        <v>21</v>
      </c>
      <c r="C548" s="1" t="s">
        <v>1623</v>
      </c>
      <c r="D548" s="5">
        <v>-1967.3803206268947</v>
      </c>
      <c r="E548" s="4">
        <f t="shared" si="9"/>
        <v>112754.52639692969</v>
      </c>
      <c r="F548"/>
    </row>
    <row r="549" spans="1:6" x14ac:dyDescent="0.2">
      <c r="A549" s="60">
        <v>45412</v>
      </c>
      <c r="B549" s="1" t="s">
        <v>21</v>
      </c>
      <c r="C549" s="41" t="s">
        <v>1041</v>
      </c>
      <c r="D549" s="4">
        <v>-1868.2655002242011</v>
      </c>
      <c r="E549" s="4">
        <f t="shared" si="9"/>
        <v>110886.2608967055</v>
      </c>
      <c r="F549"/>
    </row>
    <row r="550" spans="1:6" x14ac:dyDescent="0.2">
      <c r="A550" s="98">
        <v>45412</v>
      </c>
      <c r="B550" s="1" t="s">
        <v>21</v>
      </c>
      <c r="C550" s="1" t="s">
        <v>1454</v>
      </c>
      <c r="D550" s="5">
        <v>-1860.0422341427147</v>
      </c>
      <c r="E550" s="4">
        <f t="shared" si="9"/>
        <v>109026.21866256278</v>
      </c>
      <c r="F550"/>
    </row>
    <row r="551" spans="1:6" x14ac:dyDescent="0.2">
      <c r="A551" s="98">
        <v>45412</v>
      </c>
      <c r="B551" s="1" t="s">
        <v>21</v>
      </c>
      <c r="C551" s="1" t="s">
        <v>1355</v>
      </c>
      <c r="D551" s="5">
        <v>-1804.3790137446199</v>
      </c>
      <c r="E551" s="4">
        <f t="shared" si="9"/>
        <v>107221.83964881816</v>
      </c>
      <c r="F551"/>
    </row>
    <row r="552" spans="1:6" x14ac:dyDescent="0.2">
      <c r="A552" s="98">
        <v>45412</v>
      </c>
      <c r="B552" s="1" t="s">
        <v>21</v>
      </c>
      <c r="C552" s="1" t="s">
        <v>1617</v>
      </c>
      <c r="D552" s="5">
        <v>-2097.9152481096198</v>
      </c>
      <c r="E552" s="4">
        <f t="shared" si="9"/>
        <v>105123.92440070854</v>
      </c>
      <c r="F552"/>
    </row>
    <row r="553" spans="1:6" x14ac:dyDescent="0.2">
      <c r="A553" s="98">
        <v>45412</v>
      </c>
      <c r="B553" s="1" t="s">
        <v>21</v>
      </c>
      <c r="C553" s="1" t="s">
        <v>1726</v>
      </c>
      <c r="D553" s="5">
        <v>-1779.2378180814762</v>
      </c>
      <c r="E553" s="4">
        <f t="shared" si="9"/>
        <v>103344.68658262707</v>
      </c>
      <c r="F553"/>
    </row>
    <row r="554" spans="1:6" x14ac:dyDescent="0.2">
      <c r="A554" s="98">
        <v>45412</v>
      </c>
      <c r="B554" s="1" t="s">
        <v>21</v>
      </c>
      <c r="C554" s="1" t="s">
        <v>1665</v>
      </c>
      <c r="D554" s="5">
        <v>-2028.0630931591163</v>
      </c>
      <c r="E554" s="4">
        <f t="shared" si="9"/>
        <v>101316.62348946795</v>
      </c>
      <c r="F554"/>
    </row>
    <row r="555" spans="1:6" x14ac:dyDescent="0.2">
      <c r="A555" s="98">
        <v>45412</v>
      </c>
      <c r="B555" s="1" t="s">
        <v>21</v>
      </c>
      <c r="C555" s="1" t="s">
        <v>1427</v>
      </c>
      <c r="D555" s="5">
        <v>-1887.3079119393851</v>
      </c>
      <c r="E555" s="4">
        <f t="shared" si="9"/>
        <v>99429.31557752857</v>
      </c>
      <c r="F555"/>
    </row>
    <row r="556" spans="1:6" x14ac:dyDescent="0.2">
      <c r="A556" s="98">
        <v>45412</v>
      </c>
      <c r="B556" s="1" t="s">
        <v>21</v>
      </c>
      <c r="C556" s="1" t="s">
        <v>1412</v>
      </c>
      <c r="D556" s="5">
        <v>-1785.0631148766126</v>
      </c>
      <c r="E556" s="4">
        <f t="shared" si="9"/>
        <v>97644.252462651959</v>
      </c>
      <c r="F556"/>
    </row>
    <row r="557" spans="1:6" x14ac:dyDescent="0.2">
      <c r="A557" s="60">
        <v>45412</v>
      </c>
      <c r="B557" s="1" t="s">
        <v>21</v>
      </c>
      <c r="C557" s="41" t="s">
        <v>1210</v>
      </c>
      <c r="D557" s="4">
        <v>-2494.6530246723528</v>
      </c>
      <c r="E557" s="4">
        <f t="shared" si="9"/>
        <v>95149.599437979603</v>
      </c>
      <c r="F557"/>
    </row>
    <row r="558" spans="1:6" x14ac:dyDescent="0.2">
      <c r="A558" s="60">
        <v>45412</v>
      </c>
      <c r="B558" s="1" t="s">
        <v>21</v>
      </c>
      <c r="C558" s="41" t="s">
        <v>1173</v>
      </c>
      <c r="D558" s="4">
        <v>-1933.5291314662247</v>
      </c>
      <c r="E558" s="4">
        <f t="shared" si="9"/>
        <v>93216.070306513371</v>
      </c>
      <c r="F558"/>
    </row>
    <row r="559" spans="1:6" x14ac:dyDescent="0.2">
      <c r="A559" s="98">
        <v>45412</v>
      </c>
      <c r="B559" s="1" t="s">
        <v>21</v>
      </c>
      <c r="C559" s="1" t="s">
        <v>1714</v>
      </c>
      <c r="D559" s="5">
        <v>-2080.5412511066343</v>
      </c>
      <c r="E559" s="4">
        <f t="shared" si="9"/>
        <v>91135.529055406732</v>
      </c>
      <c r="F559"/>
    </row>
    <row r="560" spans="1:6" x14ac:dyDescent="0.2">
      <c r="A560" s="98">
        <v>45412</v>
      </c>
      <c r="B560" s="1" t="s">
        <v>21</v>
      </c>
      <c r="C560" s="1" t="s">
        <v>1683</v>
      </c>
      <c r="D560" s="5">
        <v>-1911.9649351860489</v>
      </c>
      <c r="E560" s="4">
        <f t="shared" si="9"/>
        <v>89223.56412022069</v>
      </c>
      <c r="F560"/>
    </row>
    <row r="561" spans="1:6" x14ac:dyDescent="0.2">
      <c r="A561" s="98">
        <v>45412</v>
      </c>
      <c r="B561" s="1" t="s">
        <v>21</v>
      </c>
      <c r="C561" s="1" t="s">
        <v>1328</v>
      </c>
      <c r="D561" s="5">
        <v>-1656.6029492359912</v>
      </c>
      <c r="E561" s="4">
        <f t="shared" si="9"/>
        <v>87566.961170984694</v>
      </c>
      <c r="F561"/>
    </row>
    <row r="562" spans="1:6" x14ac:dyDescent="0.2">
      <c r="A562" s="98">
        <v>45412</v>
      </c>
      <c r="B562" s="1" t="s">
        <v>21</v>
      </c>
      <c r="C562" s="1" t="s">
        <v>1576</v>
      </c>
      <c r="D562" s="5">
        <v>-2058.7930948581916</v>
      </c>
      <c r="E562" s="4">
        <f t="shared" si="9"/>
        <v>85508.168076126502</v>
      </c>
      <c r="F562"/>
    </row>
    <row r="563" spans="1:6" x14ac:dyDescent="0.2">
      <c r="A563" s="98">
        <v>45412</v>
      </c>
      <c r="B563" s="1" t="s">
        <v>21</v>
      </c>
      <c r="C563" s="1" t="s">
        <v>1729</v>
      </c>
      <c r="D563" s="5">
        <v>-2368.5816814196596</v>
      </c>
      <c r="E563" s="4">
        <f t="shared" si="9"/>
        <v>83139.586394706843</v>
      </c>
      <c r="F563"/>
    </row>
    <row r="564" spans="1:6" x14ac:dyDescent="0.2">
      <c r="A564" s="98">
        <v>45412</v>
      </c>
      <c r="B564" s="1" t="s">
        <v>21</v>
      </c>
      <c r="C564" s="1" t="s">
        <v>1644</v>
      </c>
      <c r="D564" s="5">
        <v>-1869.2274575582633</v>
      </c>
      <c r="E564" s="4">
        <f t="shared" si="9"/>
        <v>81270.358937148587</v>
      </c>
      <c r="F564"/>
    </row>
    <row r="565" spans="1:6" x14ac:dyDescent="0.2">
      <c r="A565" s="98">
        <v>45412</v>
      </c>
      <c r="B565" s="1" t="s">
        <v>21</v>
      </c>
      <c r="C565" s="1" t="s">
        <v>1240</v>
      </c>
      <c r="D565" s="5">
        <v>-1760.504561312963</v>
      </c>
      <c r="E565" s="4">
        <f t="shared" si="9"/>
        <v>79509.854375835625</v>
      </c>
      <c r="F565"/>
    </row>
    <row r="566" spans="1:6" x14ac:dyDescent="0.2">
      <c r="A566" s="60">
        <v>45412</v>
      </c>
      <c r="B566" s="1" t="s">
        <v>21</v>
      </c>
      <c r="C566" s="41" t="s">
        <v>1073</v>
      </c>
      <c r="D566" s="4">
        <v>-1863.2794185842999</v>
      </c>
      <c r="E566" s="4">
        <f t="shared" si="9"/>
        <v>77646.57495725133</v>
      </c>
      <c r="F566"/>
    </row>
    <row r="567" spans="1:6" x14ac:dyDescent="0.2">
      <c r="A567" s="60">
        <v>45412</v>
      </c>
      <c r="B567" s="1" t="s">
        <v>21</v>
      </c>
      <c r="C567" s="41" t="s">
        <v>1231</v>
      </c>
      <c r="D567" s="4">
        <v>-1961.2278816881903</v>
      </c>
      <c r="E567" s="4">
        <f t="shared" si="9"/>
        <v>75685.347075563142</v>
      </c>
      <c r="F567"/>
    </row>
    <row r="568" spans="1:6" x14ac:dyDescent="0.2">
      <c r="A568" s="60">
        <v>45412</v>
      </c>
      <c r="B568" s="1" t="s">
        <v>21</v>
      </c>
      <c r="C568" s="41" t="s">
        <v>1003</v>
      </c>
      <c r="D568" s="4">
        <v>-2360.134852876738</v>
      </c>
      <c r="E568" s="4">
        <f t="shared" si="9"/>
        <v>73325.212222686401</v>
      </c>
      <c r="F568"/>
    </row>
    <row r="569" spans="1:6" x14ac:dyDescent="0.2">
      <c r="A569" s="60">
        <v>45412</v>
      </c>
      <c r="B569" s="1" t="s">
        <v>21</v>
      </c>
      <c r="C569" s="41" t="s">
        <v>1203</v>
      </c>
      <c r="D569" s="4">
        <v>-1995.8302407192832</v>
      </c>
      <c r="E569" s="4">
        <f t="shared" si="9"/>
        <v>71329.381981967119</v>
      </c>
      <c r="F569"/>
    </row>
    <row r="570" spans="1:6" x14ac:dyDescent="0.2">
      <c r="A570" s="98">
        <v>45412</v>
      </c>
      <c r="B570" s="1" t="s">
        <v>21</v>
      </c>
      <c r="C570" s="1" t="s">
        <v>1599</v>
      </c>
      <c r="D570" s="5">
        <v>-1866.1307980924373</v>
      </c>
      <c r="E570" s="4">
        <f t="shared" si="9"/>
        <v>69463.251183874687</v>
      </c>
      <c r="F570"/>
    </row>
    <row r="571" spans="1:6" x14ac:dyDescent="0.2">
      <c r="A571" s="60">
        <v>45412</v>
      </c>
      <c r="B571" s="1" t="s">
        <v>21</v>
      </c>
      <c r="C571" s="41" t="s">
        <v>1228</v>
      </c>
      <c r="D571" s="4">
        <v>-1987.1611272147054</v>
      </c>
      <c r="E571" s="4">
        <f t="shared" si="9"/>
        <v>67476.090056659988</v>
      </c>
      <c r="F571"/>
    </row>
    <row r="572" spans="1:6" x14ac:dyDescent="0.2">
      <c r="A572" s="98">
        <v>45412</v>
      </c>
      <c r="B572" s="1" t="s">
        <v>21</v>
      </c>
      <c r="C572" s="1" t="s">
        <v>1275</v>
      </c>
      <c r="D572" s="5">
        <v>-2003.498611996489</v>
      </c>
      <c r="E572" s="4">
        <f t="shared" si="9"/>
        <v>65472.5914446635</v>
      </c>
      <c r="F572"/>
    </row>
    <row r="573" spans="1:6" x14ac:dyDescent="0.2">
      <c r="A573" s="60">
        <v>45412</v>
      </c>
      <c r="B573" s="1" t="s">
        <v>21</v>
      </c>
      <c r="C573" s="41" t="s">
        <v>1146</v>
      </c>
      <c r="D573" s="4">
        <v>-1871.0900522369659</v>
      </c>
      <c r="E573" s="4">
        <f t="shared" si="9"/>
        <v>63601.501392426537</v>
      </c>
      <c r="F573"/>
    </row>
    <row r="574" spans="1:6" x14ac:dyDescent="0.2">
      <c r="A574" s="60">
        <v>45412</v>
      </c>
      <c r="B574" s="1" t="s">
        <v>21</v>
      </c>
      <c r="C574" s="41" t="s">
        <v>1088</v>
      </c>
      <c r="D574" s="4">
        <v>-1919.7729627391639</v>
      </c>
      <c r="E574" s="4">
        <f t="shared" si="9"/>
        <v>61681.728429687369</v>
      </c>
      <c r="F574"/>
    </row>
    <row r="575" spans="1:6" x14ac:dyDescent="0.2">
      <c r="A575" s="98">
        <v>45412</v>
      </c>
      <c r="B575" s="1" t="s">
        <v>21</v>
      </c>
      <c r="C575" s="1" t="s">
        <v>1650</v>
      </c>
      <c r="D575" s="5">
        <v>-1914.9082946783192</v>
      </c>
      <c r="E575" s="4">
        <f t="shared" si="9"/>
        <v>59766.820135009053</v>
      </c>
      <c r="F575"/>
    </row>
    <row r="576" spans="1:6" x14ac:dyDescent="0.2">
      <c r="A576" s="60">
        <v>45412</v>
      </c>
      <c r="B576" s="1" t="s">
        <v>21</v>
      </c>
      <c r="C576" s="41" t="s">
        <v>1007</v>
      </c>
      <c r="D576" s="4">
        <v>-1893.4999533712578</v>
      </c>
      <c r="E576" s="4">
        <f t="shared" si="9"/>
        <v>57873.320181637799</v>
      </c>
      <c r="F576"/>
    </row>
    <row r="577" spans="1:6" x14ac:dyDescent="0.2">
      <c r="A577" s="98">
        <v>45412</v>
      </c>
      <c r="B577" s="1" t="s">
        <v>21</v>
      </c>
      <c r="C577" s="1" t="s">
        <v>1638</v>
      </c>
      <c r="D577" s="5">
        <v>-743.83702168811362</v>
      </c>
      <c r="E577" s="4">
        <f t="shared" si="9"/>
        <v>57129.483159949683</v>
      </c>
      <c r="F577"/>
    </row>
    <row r="578" spans="1:6" x14ac:dyDescent="0.2">
      <c r="A578" s="98">
        <v>45412</v>
      </c>
      <c r="B578" s="1" t="s">
        <v>21</v>
      </c>
      <c r="C578" s="1" t="s">
        <v>1732</v>
      </c>
      <c r="D578" s="5">
        <v>-1949.2142737605377</v>
      </c>
      <c r="E578" s="4">
        <f t="shared" si="9"/>
        <v>55180.268886189144</v>
      </c>
      <c r="F578"/>
    </row>
    <row r="579" spans="1:6" x14ac:dyDescent="0.2">
      <c r="A579" s="98">
        <v>45412</v>
      </c>
      <c r="B579" s="1" t="s">
        <v>21</v>
      </c>
      <c r="C579" s="1" t="s">
        <v>1747</v>
      </c>
      <c r="D579" s="5">
        <v>-1894.8770981337004</v>
      </c>
      <c r="E579" s="4">
        <f t="shared" si="9"/>
        <v>53285.391788055444</v>
      </c>
      <c r="F579"/>
    </row>
    <row r="580" spans="1:6" x14ac:dyDescent="0.2">
      <c r="A580" s="98">
        <v>45412</v>
      </c>
      <c r="B580" s="1" t="s">
        <v>21</v>
      </c>
      <c r="C580" s="1" t="s">
        <v>1620</v>
      </c>
      <c r="D580" s="5">
        <v>-2156.6853479717774</v>
      </c>
      <c r="E580" s="4">
        <f t="shared" si="9"/>
        <v>51128.706440083668</v>
      </c>
      <c r="F580"/>
    </row>
    <row r="581" spans="1:6" x14ac:dyDescent="0.2">
      <c r="A581" s="98">
        <v>45412</v>
      </c>
      <c r="B581" s="1" t="s">
        <v>21</v>
      </c>
      <c r="C581" s="1" t="s">
        <v>1382</v>
      </c>
      <c r="D581" s="5">
        <v>-2201.5153702385987</v>
      </c>
      <c r="E581" s="4">
        <f t="shared" si="9"/>
        <v>48927.191069845067</v>
      </c>
      <c r="F581"/>
    </row>
    <row r="582" spans="1:6" x14ac:dyDescent="0.2">
      <c r="A582" s="60">
        <v>45412</v>
      </c>
      <c r="B582" s="1" t="s">
        <v>21</v>
      </c>
      <c r="C582" s="41" t="s">
        <v>1066</v>
      </c>
      <c r="D582" s="4">
        <v>-1973.0830796431687</v>
      </c>
      <c r="E582" s="4">
        <f t="shared" si="9"/>
        <v>46954.107990201897</v>
      </c>
      <c r="F582"/>
    </row>
    <row r="583" spans="1:6" x14ac:dyDescent="0.2">
      <c r="A583" s="98">
        <v>45412</v>
      </c>
      <c r="B583" s="1" t="s">
        <v>21</v>
      </c>
      <c r="C583" s="1" t="s">
        <v>1264</v>
      </c>
      <c r="D583" s="5">
        <v>-1506.6193651081594</v>
      </c>
      <c r="E583" s="4">
        <f t="shared" si="9"/>
        <v>45447.488625093742</v>
      </c>
      <c r="F583"/>
    </row>
    <row r="584" spans="1:6" x14ac:dyDescent="0.2">
      <c r="A584" s="60">
        <v>45412</v>
      </c>
      <c r="B584" s="1" t="s">
        <v>21</v>
      </c>
      <c r="C584" s="41" t="s">
        <v>987</v>
      </c>
      <c r="D584" s="4">
        <v>-1704.3571684983885</v>
      </c>
      <c r="E584" s="4">
        <f t="shared" si="9"/>
        <v>43743.131456595351</v>
      </c>
      <c r="F584"/>
    </row>
    <row r="585" spans="1:6" x14ac:dyDescent="0.2">
      <c r="A585" s="60">
        <v>45412</v>
      </c>
      <c r="B585" s="1" t="s">
        <v>21</v>
      </c>
      <c r="C585" s="41" t="s">
        <v>1001</v>
      </c>
      <c r="D585" s="4">
        <v>-358.66317313060262</v>
      </c>
      <c r="E585" s="4">
        <f t="shared" si="9"/>
        <v>43384.468283464746</v>
      </c>
      <c r="F585"/>
    </row>
    <row r="586" spans="1:6" x14ac:dyDescent="0.2">
      <c r="A586" s="60">
        <v>45412</v>
      </c>
      <c r="B586" s="1" t="s">
        <v>21</v>
      </c>
      <c r="C586" s="41" t="s">
        <v>1507</v>
      </c>
      <c r="D586" s="4">
        <v>-2057.0339776616388</v>
      </c>
      <c r="E586" s="4">
        <f t="shared" si="9"/>
        <v>41327.434305803108</v>
      </c>
      <c r="F586"/>
    </row>
    <row r="587" spans="1:6" x14ac:dyDescent="0.2">
      <c r="A587" s="60">
        <v>45412</v>
      </c>
      <c r="B587" s="1" t="s">
        <v>21</v>
      </c>
      <c r="C587" s="41" t="s">
        <v>1019</v>
      </c>
      <c r="D587" s="4">
        <v>-2271.9694830852641</v>
      </c>
      <c r="E587" s="4">
        <f t="shared" si="9"/>
        <v>39055.46482271784</v>
      </c>
      <c r="F587"/>
    </row>
    <row r="588" spans="1:6" x14ac:dyDescent="0.2">
      <c r="A588" s="98">
        <v>45412</v>
      </c>
      <c r="B588" s="1" t="s">
        <v>21</v>
      </c>
      <c r="C588" s="1" t="s">
        <v>1288</v>
      </c>
      <c r="D588" s="5">
        <v>-2026.6716403991422</v>
      </c>
      <c r="E588" s="4">
        <f t="shared" si="9"/>
        <v>37028.793182318695</v>
      </c>
      <c r="F588"/>
    </row>
    <row r="589" spans="1:6" x14ac:dyDescent="0.2">
      <c r="A589" s="98">
        <v>45412</v>
      </c>
      <c r="B589" s="1" t="s">
        <v>21</v>
      </c>
      <c r="C589" s="1" t="s">
        <v>1348</v>
      </c>
      <c r="D589" s="5">
        <v>-2462.0090728034347</v>
      </c>
      <c r="E589" s="4">
        <f t="shared" si="9"/>
        <v>34566.784109515262</v>
      </c>
      <c r="F589"/>
    </row>
    <row r="590" spans="1:6" x14ac:dyDescent="0.2">
      <c r="A590" s="60">
        <v>45412</v>
      </c>
      <c r="B590" s="1" t="s">
        <v>21</v>
      </c>
      <c r="C590" s="41" t="s">
        <v>1516</v>
      </c>
      <c r="D590" s="4">
        <v>-2048.6931816004262</v>
      </c>
      <c r="E590" s="4">
        <f t="shared" ref="E590:E600" si="10">IF(D590="","",D590+E589)</f>
        <v>32518.090927914836</v>
      </c>
      <c r="F590"/>
    </row>
    <row r="591" spans="1:6" x14ac:dyDescent="0.2">
      <c r="A591" s="60">
        <v>45412</v>
      </c>
      <c r="B591" s="1" t="s">
        <v>21</v>
      </c>
      <c r="C591" s="41" t="s">
        <v>1193</v>
      </c>
      <c r="D591" s="4">
        <v>-1843.8869719294973</v>
      </c>
      <c r="E591" s="4">
        <f t="shared" si="10"/>
        <v>30674.20395598534</v>
      </c>
      <c r="F591"/>
    </row>
    <row r="592" spans="1:6" x14ac:dyDescent="0.2">
      <c r="A592" s="60">
        <v>45412</v>
      </c>
      <c r="B592" s="1" t="s">
        <v>21</v>
      </c>
      <c r="C592" s="41" t="s">
        <v>1037</v>
      </c>
      <c r="D592" s="4">
        <v>-1477.5817951171402</v>
      </c>
      <c r="E592" s="4">
        <f t="shared" si="10"/>
        <v>29196.622160868199</v>
      </c>
      <c r="F592"/>
    </row>
    <row r="593" spans="1:6" x14ac:dyDescent="0.2">
      <c r="A593" s="60">
        <v>45412</v>
      </c>
      <c r="B593" s="1" t="s">
        <v>21</v>
      </c>
      <c r="C593" s="41" t="s">
        <v>1176</v>
      </c>
      <c r="D593" s="4">
        <v>-1935.5526911171607</v>
      </c>
      <c r="E593" s="4">
        <f t="shared" si="10"/>
        <v>27261.069469751037</v>
      </c>
      <c r="F593"/>
    </row>
    <row r="594" spans="1:6" x14ac:dyDescent="0.2">
      <c r="A594" s="98">
        <v>45412</v>
      </c>
      <c r="B594" s="1" t="s">
        <v>21</v>
      </c>
      <c r="C594" s="1" t="s">
        <v>1444</v>
      </c>
      <c r="D594" s="5">
        <v>-1932.6399916196015</v>
      </c>
      <c r="E594" s="4">
        <f t="shared" si="10"/>
        <v>25328.429478131435</v>
      </c>
      <c r="F594"/>
    </row>
    <row r="595" spans="1:6" x14ac:dyDescent="0.2">
      <c r="A595" s="98">
        <v>45412</v>
      </c>
      <c r="B595" s="1" t="s">
        <v>21</v>
      </c>
      <c r="C595" s="1" t="s">
        <v>1351</v>
      </c>
      <c r="D595" s="5">
        <v>-1850.1518308488091</v>
      </c>
      <c r="E595" s="4">
        <f t="shared" si="10"/>
        <v>23478.277647282626</v>
      </c>
      <c r="F595"/>
    </row>
    <row r="596" spans="1:6" x14ac:dyDescent="0.2">
      <c r="A596" s="60">
        <v>45412</v>
      </c>
      <c r="B596" s="1" t="s">
        <v>21</v>
      </c>
      <c r="C596" s="41" t="s">
        <v>1149</v>
      </c>
      <c r="D596" s="4">
        <v>-1918.3642381821689</v>
      </c>
      <c r="E596" s="4">
        <f t="shared" si="10"/>
        <v>21559.913409100456</v>
      </c>
      <c r="F596"/>
    </row>
    <row r="597" spans="1:6" x14ac:dyDescent="0.2">
      <c r="A597" s="60">
        <v>45412</v>
      </c>
      <c r="B597" s="1" t="s">
        <v>21</v>
      </c>
      <c r="C597" s="41" t="s">
        <v>1104</v>
      </c>
      <c r="D597" s="4">
        <v>-1908.2371908290847</v>
      </c>
      <c r="E597" s="4">
        <f t="shared" si="10"/>
        <v>19651.676218271372</v>
      </c>
      <c r="F597"/>
    </row>
    <row r="598" spans="1:6" x14ac:dyDescent="0.2">
      <c r="A598" s="60">
        <v>45412</v>
      </c>
      <c r="B598" s="1" t="s">
        <v>21</v>
      </c>
      <c r="C598" s="41" t="s">
        <v>1186</v>
      </c>
      <c r="D598" s="4">
        <v>-1928.5060023327144</v>
      </c>
      <c r="E598" s="4">
        <f t="shared" si="10"/>
        <v>17723.170215938659</v>
      </c>
      <c r="F598"/>
    </row>
    <row r="599" spans="1:6" x14ac:dyDescent="0.2">
      <c r="A599" s="98">
        <v>45412</v>
      </c>
      <c r="B599" s="1" t="s">
        <v>21</v>
      </c>
      <c r="C599" s="1" t="s">
        <v>1317</v>
      </c>
      <c r="D599" s="5">
        <v>-1900.7970321125122</v>
      </c>
      <c r="E599" s="4">
        <f t="shared" si="10"/>
        <v>15822.373183826146</v>
      </c>
      <c r="F599"/>
    </row>
    <row r="600" spans="1:6" x14ac:dyDescent="0.2">
      <c r="A600" s="60">
        <v>45412</v>
      </c>
      <c r="B600" s="41" t="s">
        <v>1773</v>
      </c>
      <c r="C600" s="1" t="s">
        <v>1540</v>
      </c>
      <c r="D600" s="4">
        <v>-14902.78</v>
      </c>
      <c r="E600" s="4">
        <f t="shared" si="10"/>
        <v>919.59318382614583</v>
      </c>
    </row>
    <row r="601" spans="1:6" x14ac:dyDescent="0.2">
      <c r="A601" s="60">
        <v>45413</v>
      </c>
      <c r="B601" s="41" t="s">
        <v>19</v>
      </c>
      <c r="C601" s="1" t="s">
        <v>1066</v>
      </c>
      <c r="D601" s="4">
        <v>98.011761411369378</v>
      </c>
      <c r="E601" s="4">
        <f t="shared" ref="E601:E612" si="11">IF(D601="","",D601+E600)</f>
        <v>1017.6049452375153</v>
      </c>
    </row>
    <row r="602" spans="1:6" x14ac:dyDescent="0.2">
      <c r="A602" s="60">
        <v>45413</v>
      </c>
      <c r="B602" s="41" t="s">
        <v>19</v>
      </c>
      <c r="C602" s="1" t="s">
        <v>1504</v>
      </c>
      <c r="D602" s="4">
        <v>96.844954727900685</v>
      </c>
      <c r="E602" s="4">
        <f t="shared" si="11"/>
        <v>1114.4498999654159</v>
      </c>
    </row>
    <row r="603" spans="1:6" x14ac:dyDescent="0.2">
      <c r="A603" s="60">
        <v>45413</v>
      </c>
      <c r="B603" s="41" t="s">
        <v>19</v>
      </c>
      <c r="C603" s="1" t="s">
        <v>84</v>
      </c>
      <c r="D603" s="4">
        <v>50.734999999999999</v>
      </c>
      <c r="E603" s="4">
        <f t="shared" si="11"/>
        <v>1165.1848999654158</v>
      </c>
    </row>
    <row r="604" spans="1:6" x14ac:dyDescent="0.2">
      <c r="A604" s="60">
        <v>45413</v>
      </c>
      <c r="B604" s="41" t="s">
        <v>19</v>
      </c>
      <c r="C604" s="1" t="s">
        <v>1091</v>
      </c>
      <c r="D604" s="4">
        <v>93.344534677494636</v>
      </c>
      <c r="E604" s="4">
        <f t="shared" si="11"/>
        <v>1258.5294346429105</v>
      </c>
    </row>
    <row r="605" spans="1:6" x14ac:dyDescent="0.2">
      <c r="A605" s="60">
        <v>45413</v>
      </c>
      <c r="B605" s="41" t="s">
        <v>19</v>
      </c>
      <c r="C605" s="1" t="s">
        <v>1406</v>
      </c>
      <c r="D605" s="4">
        <v>81.20974516942033</v>
      </c>
      <c r="E605" s="4">
        <f t="shared" si="11"/>
        <v>1339.7391798123308</v>
      </c>
    </row>
    <row r="606" spans="1:6" x14ac:dyDescent="0.2">
      <c r="A606" s="60">
        <v>45413</v>
      </c>
      <c r="B606" s="41" t="s">
        <v>19</v>
      </c>
      <c r="C606" s="1" t="s">
        <v>365</v>
      </c>
      <c r="D606" s="4">
        <v>43.234999999999999</v>
      </c>
      <c r="E606" s="4">
        <f t="shared" si="11"/>
        <v>1382.9741798123307</v>
      </c>
    </row>
    <row r="607" spans="1:6" x14ac:dyDescent="0.2">
      <c r="A607" s="60">
        <v>45413</v>
      </c>
      <c r="B607" s="41" t="s">
        <v>19</v>
      </c>
      <c r="C607" s="1" t="s">
        <v>1457</v>
      </c>
      <c r="D607" s="4">
        <v>79.342854475870439</v>
      </c>
      <c r="E607" s="4">
        <f t="shared" si="11"/>
        <v>1462.3170342882011</v>
      </c>
    </row>
    <row r="608" spans="1:6" x14ac:dyDescent="0.2">
      <c r="A608" s="60">
        <v>45413</v>
      </c>
      <c r="B608" s="41" t="s">
        <v>19</v>
      </c>
      <c r="C608" s="1" t="s">
        <v>1623</v>
      </c>
      <c r="D608" s="4">
        <v>77.009241108933082</v>
      </c>
      <c r="E608" s="4">
        <f t="shared" si="11"/>
        <v>1539.3262753971342</v>
      </c>
    </row>
    <row r="609" spans="1:6" x14ac:dyDescent="0.2">
      <c r="A609" s="60">
        <v>45413</v>
      </c>
      <c r="B609" s="41" t="s">
        <v>19</v>
      </c>
      <c r="C609" s="1" t="s">
        <v>1732</v>
      </c>
      <c r="D609" s="4">
        <v>74.675627741995712</v>
      </c>
      <c r="E609" s="4">
        <f t="shared" si="11"/>
        <v>1614.0019031391298</v>
      </c>
    </row>
    <row r="610" spans="1:6" x14ac:dyDescent="0.2">
      <c r="A610" s="60">
        <v>45413</v>
      </c>
      <c r="B610" s="41" t="s">
        <v>19</v>
      </c>
      <c r="C610" s="1" t="s">
        <v>1708</v>
      </c>
      <c r="D610" s="4">
        <v>74.675627741995712</v>
      </c>
      <c r="E610" s="4">
        <f t="shared" si="11"/>
        <v>1688.6775308811254</v>
      </c>
    </row>
    <row r="611" spans="1:6" x14ac:dyDescent="0.2">
      <c r="A611" s="60">
        <v>45413</v>
      </c>
      <c r="B611" s="41" t="s">
        <v>19</v>
      </c>
      <c r="C611" s="1" t="s">
        <v>516</v>
      </c>
      <c r="D611" s="4">
        <v>77.5</v>
      </c>
      <c r="E611" s="4">
        <f t="shared" si="11"/>
        <v>1766.1775308811254</v>
      </c>
    </row>
    <row r="612" spans="1:6" x14ac:dyDescent="0.2">
      <c r="A612" s="60">
        <v>45413</v>
      </c>
      <c r="B612" s="41" t="s">
        <v>19</v>
      </c>
      <c r="C612" s="1" t="s">
        <v>672</v>
      </c>
      <c r="D612" s="4">
        <v>70</v>
      </c>
      <c r="E612" s="4">
        <f t="shared" si="11"/>
        <v>1836.1775308811254</v>
      </c>
    </row>
    <row r="613" spans="1:6" x14ac:dyDescent="0.2">
      <c r="A613" s="60">
        <v>45413</v>
      </c>
      <c r="B613" s="41" t="s">
        <v>19</v>
      </c>
      <c r="C613" s="1" t="s">
        <v>857</v>
      </c>
      <c r="D613" s="4">
        <v>60</v>
      </c>
      <c r="E613" s="4">
        <f>IF(D613="","",D613+E612)</f>
        <v>1896.1775308811254</v>
      </c>
    </row>
    <row r="614" spans="1:6" x14ac:dyDescent="0.2">
      <c r="A614" s="60">
        <v>45413</v>
      </c>
      <c r="B614" s="41" t="s">
        <v>19</v>
      </c>
      <c r="C614" s="1" t="s">
        <v>1808</v>
      </c>
      <c r="D614" s="4">
        <v>95.678148044432007</v>
      </c>
      <c r="E614" s="4">
        <f>IF(D614="","",D614+E613)</f>
        <v>1991.8556789255574</v>
      </c>
    </row>
    <row r="615" spans="1:6" x14ac:dyDescent="0.2">
      <c r="A615" s="60">
        <v>45413</v>
      </c>
      <c r="B615" s="41" t="s">
        <v>1780</v>
      </c>
      <c r="C615" s="1" t="s">
        <v>1781</v>
      </c>
      <c r="D615" s="4">
        <f>2.46*100</f>
        <v>246</v>
      </c>
      <c r="E615" s="4">
        <f t="shared" ref="E615:E679" si="12">IF(D615="","",D615+E614)</f>
        <v>2237.8556789255572</v>
      </c>
      <c r="F615" s="1" t="s">
        <v>1782</v>
      </c>
    </row>
    <row r="616" spans="1:6" x14ac:dyDescent="0.2">
      <c r="A616" s="60">
        <v>45414</v>
      </c>
      <c r="B616" s="41" t="s">
        <v>19</v>
      </c>
      <c r="C616" s="1" t="s">
        <v>1554</v>
      </c>
      <c r="D616" s="4">
        <v>80.427079447967174</v>
      </c>
      <c r="E616" s="4">
        <f t="shared" si="12"/>
        <v>2318.2827583735243</v>
      </c>
    </row>
    <row r="617" spans="1:6" x14ac:dyDescent="0.2">
      <c r="A617" s="60">
        <v>45414</v>
      </c>
      <c r="B617" s="41" t="s">
        <v>19</v>
      </c>
      <c r="C617" s="1" t="s">
        <v>480</v>
      </c>
      <c r="D617" s="4">
        <v>39.559999999999995</v>
      </c>
      <c r="E617" s="4">
        <f t="shared" si="12"/>
        <v>2357.8427583735242</v>
      </c>
    </row>
    <row r="618" spans="1:6" x14ac:dyDescent="0.2">
      <c r="A618" s="60">
        <v>45414</v>
      </c>
      <c r="B618" s="41" t="s">
        <v>19</v>
      </c>
      <c r="C618" s="1" t="s">
        <v>1498</v>
      </c>
      <c r="D618" s="4">
        <v>73.75</v>
      </c>
      <c r="E618" s="4">
        <f t="shared" si="12"/>
        <v>2431.5927583735242</v>
      </c>
    </row>
    <row r="619" spans="1:6" x14ac:dyDescent="0.2">
      <c r="A619" s="60">
        <v>45415</v>
      </c>
      <c r="B619" s="41" t="s">
        <v>19</v>
      </c>
      <c r="C619" s="1" t="s">
        <v>1396</v>
      </c>
      <c r="D619" s="4">
        <v>81.312145711365105</v>
      </c>
      <c r="E619" s="4">
        <f t="shared" si="12"/>
        <v>2512.9049040848895</v>
      </c>
    </row>
    <row r="620" spans="1:6" x14ac:dyDescent="0.2">
      <c r="A620" s="60">
        <v>45416</v>
      </c>
      <c r="B620" s="41" t="s">
        <v>19</v>
      </c>
      <c r="C620" s="1" t="s">
        <v>1082</v>
      </c>
      <c r="D620" s="4">
        <v>190.50274138091254</v>
      </c>
      <c r="E620" s="4">
        <f t="shared" si="12"/>
        <v>2703.407645465802</v>
      </c>
    </row>
    <row r="621" spans="1:6" x14ac:dyDescent="0.2">
      <c r="A621" s="60">
        <v>45418</v>
      </c>
      <c r="B621" s="41" t="s">
        <v>19</v>
      </c>
      <c r="C621" s="1" t="s">
        <v>1605</v>
      </c>
      <c r="D621" s="4">
        <v>38.67793148268499</v>
      </c>
      <c r="E621" s="4">
        <f t="shared" si="12"/>
        <v>2742.085576948487</v>
      </c>
    </row>
    <row r="622" spans="1:6" x14ac:dyDescent="0.2">
      <c r="A622" s="60">
        <v>45418</v>
      </c>
      <c r="B622" s="41" t="s">
        <v>19</v>
      </c>
      <c r="C622" s="1" t="s">
        <v>20</v>
      </c>
      <c r="D622" s="4">
        <f>E621*0.01*7/365</f>
        <v>0.52587942571614821</v>
      </c>
      <c r="E622" s="4">
        <f t="shared" si="12"/>
        <v>2742.611456374203</v>
      </c>
    </row>
    <row r="623" spans="1:6" x14ac:dyDescent="0.2">
      <c r="A623" s="60">
        <v>45419</v>
      </c>
      <c r="B623" s="41" t="s">
        <v>19</v>
      </c>
      <c r="C623" s="1" t="s">
        <v>1551</v>
      </c>
      <c r="D623" s="4">
        <v>81.349944217181118</v>
      </c>
      <c r="E623" s="4">
        <f t="shared" si="12"/>
        <v>2823.9614005913841</v>
      </c>
    </row>
    <row r="624" spans="1:6" x14ac:dyDescent="0.2">
      <c r="A624" s="60">
        <v>45419</v>
      </c>
      <c r="B624" s="41" t="s">
        <v>19</v>
      </c>
      <c r="C624" s="1" t="s">
        <v>1592</v>
      </c>
      <c r="D624" s="4">
        <v>77.863518036444788</v>
      </c>
      <c r="E624" s="4">
        <f t="shared" si="12"/>
        <v>2901.824918627829</v>
      </c>
    </row>
    <row r="625" spans="1:5" x14ac:dyDescent="0.2">
      <c r="A625" s="60">
        <v>45419</v>
      </c>
      <c r="B625" s="41" t="s">
        <v>938</v>
      </c>
      <c r="C625" s="1" t="s">
        <v>411</v>
      </c>
      <c r="D625" s="4">
        <v>2046.3972602739725</v>
      </c>
      <c r="E625" s="4">
        <f t="shared" si="12"/>
        <v>4948.2221789018013</v>
      </c>
    </row>
    <row r="626" spans="1:5" x14ac:dyDescent="0.2">
      <c r="A626" s="60">
        <v>45420</v>
      </c>
      <c r="B626" s="41" t="s">
        <v>19</v>
      </c>
      <c r="C626" s="1" t="s">
        <v>87</v>
      </c>
      <c r="D626" s="4">
        <v>52.5</v>
      </c>
      <c r="E626" s="4">
        <f t="shared" si="12"/>
        <v>5000.7221789018013</v>
      </c>
    </row>
    <row r="627" spans="1:5" x14ac:dyDescent="0.2">
      <c r="A627" s="60">
        <v>45421</v>
      </c>
      <c r="B627" s="41" t="s">
        <v>19</v>
      </c>
      <c r="C627" s="1" t="s">
        <v>1101</v>
      </c>
      <c r="D627" s="4">
        <v>46.37788702346721</v>
      </c>
      <c r="E627" s="4">
        <f t="shared" si="12"/>
        <v>5047.1000659252686</v>
      </c>
    </row>
    <row r="628" spans="1:5" x14ac:dyDescent="0.2">
      <c r="A628" s="60">
        <v>45421</v>
      </c>
      <c r="B628" s="41" t="s">
        <v>19</v>
      </c>
      <c r="C628" s="1" t="s">
        <v>1140</v>
      </c>
      <c r="D628" s="4">
        <v>90.43687969576105</v>
      </c>
      <c r="E628" s="4">
        <f t="shared" si="12"/>
        <v>5137.5369456210301</v>
      </c>
    </row>
    <row r="629" spans="1:5" x14ac:dyDescent="0.2">
      <c r="A629" s="60">
        <v>45422</v>
      </c>
      <c r="B629" s="41" t="s">
        <v>19</v>
      </c>
      <c r="C629" s="1" t="s">
        <v>1109</v>
      </c>
      <c r="D629" s="4">
        <v>92.369105087263264</v>
      </c>
      <c r="E629" s="4">
        <f t="shared" si="12"/>
        <v>5229.9060507082932</v>
      </c>
    </row>
    <row r="630" spans="1:5" x14ac:dyDescent="0.2">
      <c r="A630" s="60">
        <v>45423</v>
      </c>
      <c r="B630" s="41" t="s">
        <v>19</v>
      </c>
      <c r="C630" s="1" t="s">
        <v>94</v>
      </c>
      <c r="D630" s="4">
        <v>55.74</v>
      </c>
      <c r="E630" s="4">
        <f t="shared" si="12"/>
        <v>5285.6460507082929</v>
      </c>
    </row>
    <row r="631" spans="1:5" x14ac:dyDescent="0.2">
      <c r="A631" s="60">
        <v>45424</v>
      </c>
      <c r="B631" s="41" t="s">
        <v>19</v>
      </c>
      <c r="C631" s="1" t="s">
        <v>378</v>
      </c>
      <c r="D631" s="4">
        <v>85</v>
      </c>
      <c r="E631" s="4">
        <f t="shared" si="12"/>
        <v>5370.6460507082929</v>
      </c>
    </row>
    <row r="632" spans="1:5" x14ac:dyDescent="0.2">
      <c r="A632" s="60">
        <v>45425</v>
      </c>
      <c r="B632" s="41" t="s">
        <v>19</v>
      </c>
      <c r="C632" s="1" t="s">
        <v>1596</v>
      </c>
      <c r="D632" s="4">
        <v>77.625359162109561</v>
      </c>
      <c r="E632" s="4">
        <f t="shared" si="12"/>
        <v>5448.2714098704027</v>
      </c>
    </row>
    <row r="633" spans="1:5" x14ac:dyDescent="0.2">
      <c r="A633" s="60">
        <v>45425</v>
      </c>
      <c r="B633" s="41" t="s">
        <v>19</v>
      </c>
      <c r="C633" s="1" t="s">
        <v>1118</v>
      </c>
      <c r="D633" s="4">
        <v>90.443970710909241</v>
      </c>
      <c r="E633" s="4">
        <f t="shared" si="12"/>
        <v>5538.7153805813123</v>
      </c>
    </row>
    <row r="634" spans="1:5" x14ac:dyDescent="0.2">
      <c r="A634" s="60">
        <v>45425</v>
      </c>
      <c r="B634" s="41" t="s">
        <v>19</v>
      </c>
      <c r="C634" s="1" t="s">
        <v>20</v>
      </c>
      <c r="D634" s="4">
        <f>E633*0.01*7/365</f>
        <v>1.0622193880566899</v>
      </c>
      <c r="E634" s="4">
        <f t="shared" si="12"/>
        <v>5539.7775999693686</v>
      </c>
    </row>
    <row r="635" spans="1:5" x14ac:dyDescent="0.2">
      <c r="A635" s="60">
        <v>45426</v>
      </c>
      <c r="B635" s="41" t="s">
        <v>19</v>
      </c>
      <c r="C635" s="1" t="s">
        <v>1095</v>
      </c>
      <c r="D635" s="4">
        <v>92.447074050106309</v>
      </c>
      <c r="E635" s="4">
        <f t="shared" si="12"/>
        <v>5632.2246740194751</v>
      </c>
    </row>
    <row r="636" spans="1:5" x14ac:dyDescent="0.2">
      <c r="A636" s="60">
        <v>45426</v>
      </c>
      <c r="B636" s="41" t="s">
        <v>19</v>
      </c>
      <c r="C636" s="1" t="s">
        <v>1570</v>
      </c>
      <c r="D636" s="4">
        <v>77.655542202089293</v>
      </c>
      <c r="E636" s="4">
        <f t="shared" si="12"/>
        <v>5709.8802162215643</v>
      </c>
    </row>
    <row r="637" spans="1:5" x14ac:dyDescent="0.2">
      <c r="A637" s="60">
        <v>45427</v>
      </c>
      <c r="B637" s="41" t="s">
        <v>19</v>
      </c>
      <c r="C637" s="1" t="s">
        <v>1014</v>
      </c>
      <c r="D637" s="4">
        <v>108.62531200887491</v>
      </c>
      <c r="E637" s="4">
        <f t="shared" si="12"/>
        <v>5818.5055282304393</v>
      </c>
    </row>
    <row r="638" spans="1:5" x14ac:dyDescent="0.2">
      <c r="A638" s="60">
        <v>45427</v>
      </c>
      <c r="B638" s="41" t="s">
        <v>19</v>
      </c>
      <c r="C638" s="1" t="s">
        <v>1019</v>
      </c>
      <c r="D638" s="4">
        <v>106.31413515762225</v>
      </c>
      <c r="E638" s="4">
        <f t="shared" si="12"/>
        <v>5924.8196633880616</v>
      </c>
    </row>
    <row r="639" spans="1:5" x14ac:dyDescent="0.2">
      <c r="A639" s="60">
        <v>45427</v>
      </c>
      <c r="B639" s="41" t="s">
        <v>19</v>
      </c>
      <c r="C639" s="1" t="s">
        <v>1059</v>
      </c>
      <c r="D639" s="4">
        <v>99.380604603864285</v>
      </c>
      <c r="E639" s="4">
        <f t="shared" si="12"/>
        <v>6024.200267991926</v>
      </c>
    </row>
    <row r="640" spans="1:5" x14ac:dyDescent="0.2">
      <c r="A640" s="60">
        <v>45427</v>
      </c>
      <c r="B640" s="41" t="s">
        <v>19</v>
      </c>
      <c r="C640" s="1" t="s">
        <v>101</v>
      </c>
      <c r="D640" s="4">
        <v>52.51</v>
      </c>
      <c r="E640" s="4">
        <f t="shared" si="12"/>
        <v>6076.7102679919262</v>
      </c>
    </row>
    <row r="641" spans="1:5" x14ac:dyDescent="0.2">
      <c r="A641" s="60">
        <v>45427</v>
      </c>
      <c r="B641" s="41" t="s">
        <v>19</v>
      </c>
      <c r="C641" s="1" t="s">
        <v>1073</v>
      </c>
      <c r="D641" s="4">
        <v>94.758250901358963</v>
      </c>
      <c r="E641" s="4">
        <f t="shared" si="12"/>
        <v>6171.4685188932854</v>
      </c>
    </row>
    <row r="642" spans="1:5" x14ac:dyDescent="0.2">
      <c r="A642" s="60">
        <v>45427</v>
      </c>
      <c r="B642" s="41" t="s">
        <v>19</v>
      </c>
      <c r="C642" s="1" t="s">
        <v>239</v>
      </c>
      <c r="D642" s="4">
        <v>100</v>
      </c>
      <c r="E642" s="4">
        <f t="shared" si="12"/>
        <v>6271.4685188932854</v>
      </c>
    </row>
    <row r="643" spans="1:5" x14ac:dyDescent="0.2">
      <c r="A643" s="60">
        <v>45427</v>
      </c>
      <c r="B643" s="41" t="s">
        <v>19</v>
      </c>
      <c r="C643" s="1" t="s">
        <v>90</v>
      </c>
      <c r="D643" s="4">
        <v>48.255000000000003</v>
      </c>
      <c r="E643" s="4">
        <f t="shared" si="12"/>
        <v>6319.7235188932855</v>
      </c>
    </row>
    <row r="644" spans="1:5" x14ac:dyDescent="0.2">
      <c r="A644" s="60">
        <v>45427</v>
      </c>
      <c r="B644" s="41" t="s">
        <v>19</v>
      </c>
      <c r="C644" s="1" t="s">
        <v>287</v>
      </c>
      <c r="D644" s="4">
        <v>47.004999999999995</v>
      </c>
      <c r="E644" s="4">
        <f t="shared" si="12"/>
        <v>6366.7285188932856</v>
      </c>
    </row>
    <row r="645" spans="1:5" x14ac:dyDescent="0.2">
      <c r="A645" s="60">
        <v>45427</v>
      </c>
      <c r="B645" s="41" t="s">
        <v>19</v>
      </c>
      <c r="C645" s="1" t="s">
        <v>1210</v>
      </c>
      <c r="D645" s="4">
        <v>86.900249607099923</v>
      </c>
      <c r="E645" s="4">
        <f t="shared" si="12"/>
        <v>6453.6287685003854</v>
      </c>
    </row>
    <row r="646" spans="1:5" x14ac:dyDescent="0.2">
      <c r="A646" s="60">
        <v>45427</v>
      </c>
      <c r="B646" s="41" t="s">
        <v>19</v>
      </c>
      <c r="C646" s="1" t="s">
        <v>290</v>
      </c>
      <c r="D646" s="4">
        <v>93.75</v>
      </c>
      <c r="E646" s="4">
        <f t="shared" si="12"/>
        <v>6547.3787685003854</v>
      </c>
    </row>
    <row r="647" spans="1:5" x14ac:dyDescent="0.2">
      <c r="A647" s="60">
        <v>45427</v>
      </c>
      <c r="B647" s="41" t="s">
        <v>19</v>
      </c>
      <c r="C647" s="1" t="s">
        <v>323</v>
      </c>
      <c r="D647" s="4">
        <v>90</v>
      </c>
      <c r="E647" s="4">
        <f t="shared" si="12"/>
        <v>6637.3787685003854</v>
      </c>
    </row>
    <row r="648" spans="1:5" x14ac:dyDescent="0.2">
      <c r="A648" s="60">
        <v>45427</v>
      </c>
      <c r="B648" s="41" t="s">
        <v>19</v>
      </c>
      <c r="C648" s="1" t="s">
        <v>333</v>
      </c>
      <c r="D648" s="4">
        <v>44.504999999999995</v>
      </c>
      <c r="E648" s="4">
        <f t="shared" si="12"/>
        <v>6681.8837685003855</v>
      </c>
    </row>
    <row r="649" spans="1:5" x14ac:dyDescent="0.2">
      <c r="A649" s="60">
        <v>45427</v>
      </c>
      <c r="B649" s="41" t="s">
        <v>19</v>
      </c>
      <c r="C649" s="1" t="s">
        <v>1348</v>
      </c>
      <c r="D649" s="4">
        <v>82.046778219469346</v>
      </c>
      <c r="E649" s="4">
        <f t="shared" si="12"/>
        <v>6763.9305467198546</v>
      </c>
    </row>
    <row r="650" spans="1:5" x14ac:dyDescent="0.2">
      <c r="A650" s="60">
        <v>45427</v>
      </c>
      <c r="B650" s="41" t="s">
        <v>19</v>
      </c>
      <c r="C650" s="1" t="s">
        <v>344</v>
      </c>
      <c r="D650" s="4">
        <v>43.88</v>
      </c>
      <c r="E650" s="4">
        <f t="shared" si="12"/>
        <v>6807.8105467198548</v>
      </c>
    </row>
    <row r="651" spans="1:5" x14ac:dyDescent="0.2">
      <c r="A651" s="60">
        <v>45427</v>
      </c>
      <c r="B651" s="41" t="s">
        <v>19</v>
      </c>
      <c r="C651" s="1" t="s">
        <v>347</v>
      </c>
      <c r="D651" s="4">
        <v>87.5</v>
      </c>
      <c r="E651" s="4">
        <f t="shared" si="12"/>
        <v>6895.3105467198548</v>
      </c>
    </row>
    <row r="652" spans="1:5" x14ac:dyDescent="0.2">
      <c r="A652" s="60">
        <v>45427</v>
      </c>
      <c r="B652" s="41" t="s">
        <v>19</v>
      </c>
      <c r="C652" s="1" t="s">
        <v>1385</v>
      </c>
      <c r="D652" s="4">
        <v>80.891189793843012</v>
      </c>
      <c r="E652" s="4">
        <f t="shared" si="12"/>
        <v>6976.2017365136981</v>
      </c>
    </row>
    <row r="653" spans="1:5" x14ac:dyDescent="0.2">
      <c r="A653" s="60">
        <v>45427</v>
      </c>
      <c r="B653" s="41" t="s">
        <v>19</v>
      </c>
      <c r="C653" s="1" t="s">
        <v>362</v>
      </c>
      <c r="D653" s="4">
        <v>43.255000000000003</v>
      </c>
      <c r="E653" s="4">
        <f t="shared" si="12"/>
        <v>7019.4567365136982</v>
      </c>
    </row>
    <row r="654" spans="1:5" x14ac:dyDescent="0.2">
      <c r="A654" s="60">
        <v>45427</v>
      </c>
      <c r="B654" s="41" t="s">
        <v>19</v>
      </c>
      <c r="C654" s="1" t="s">
        <v>375</v>
      </c>
      <c r="D654" s="4">
        <v>42.63</v>
      </c>
      <c r="E654" s="4">
        <f t="shared" si="12"/>
        <v>7062.0867365136983</v>
      </c>
    </row>
    <row r="655" spans="1:5" x14ac:dyDescent="0.2">
      <c r="A655" s="60">
        <v>45427</v>
      </c>
      <c r="B655" s="41" t="s">
        <v>19</v>
      </c>
      <c r="C655" s="1" t="s">
        <v>387</v>
      </c>
      <c r="D655" s="4">
        <v>85</v>
      </c>
      <c r="E655" s="4">
        <f t="shared" si="12"/>
        <v>7147.0867365136983</v>
      </c>
    </row>
    <row r="656" spans="1:5" x14ac:dyDescent="0.2">
      <c r="A656" s="60">
        <v>45427</v>
      </c>
      <c r="B656" s="41" t="s">
        <v>19</v>
      </c>
      <c r="C656" s="1" t="s">
        <v>1460</v>
      </c>
      <c r="D656" s="4">
        <v>78.580012942590358</v>
      </c>
      <c r="E656" s="4">
        <f t="shared" si="12"/>
        <v>7225.6667494562889</v>
      </c>
    </row>
    <row r="657" spans="1:5" x14ac:dyDescent="0.2">
      <c r="A657" s="60">
        <v>45427</v>
      </c>
      <c r="B657" s="41" t="s">
        <v>19</v>
      </c>
      <c r="C657" s="1" t="s">
        <v>1438</v>
      </c>
      <c r="D657" s="4">
        <v>78.580012942590358</v>
      </c>
      <c r="E657" s="4">
        <f t="shared" si="12"/>
        <v>7304.2467623988796</v>
      </c>
    </row>
    <row r="658" spans="1:5" x14ac:dyDescent="0.2">
      <c r="A658" s="60">
        <v>45427</v>
      </c>
      <c r="B658" s="41" t="s">
        <v>19</v>
      </c>
      <c r="C658" s="1" t="s">
        <v>1647</v>
      </c>
      <c r="D658" s="4">
        <v>76.268836091337704</v>
      </c>
      <c r="E658" s="4">
        <f t="shared" si="12"/>
        <v>7380.5155984902176</v>
      </c>
    </row>
    <row r="659" spans="1:5" x14ac:dyDescent="0.2">
      <c r="A659" s="60">
        <v>45427</v>
      </c>
      <c r="B659" s="41" t="s">
        <v>19</v>
      </c>
      <c r="C659" s="1" t="s">
        <v>423</v>
      </c>
      <c r="D659" s="4">
        <v>40.67</v>
      </c>
      <c r="E659" s="4">
        <f t="shared" si="12"/>
        <v>7421.1855984902177</v>
      </c>
    </row>
    <row r="660" spans="1:5" x14ac:dyDescent="0.2">
      <c r="A660" s="60">
        <v>45427</v>
      </c>
      <c r="B660" s="41" t="s">
        <v>19</v>
      </c>
      <c r="C660" s="1" t="s">
        <v>462</v>
      </c>
      <c r="D660" s="4">
        <v>80</v>
      </c>
      <c r="E660" s="4">
        <f t="shared" si="12"/>
        <v>7501.1855984902177</v>
      </c>
    </row>
    <row r="661" spans="1:5" x14ac:dyDescent="0.2">
      <c r="A661" s="60">
        <v>45427</v>
      </c>
      <c r="B661" s="41" t="s">
        <v>19</v>
      </c>
      <c r="C661" s="1" t="s">
        <v>1735</v>
      </c>
      <c r="D661" s="4">
        <v>73.95765924008505</v>
      </c>
      <c r="E661" s="4">
        <f t="shared" si="12"/>
        <v>7575.143257730303</v>
      </c>
    </row>
    <row r="662" spans="1:5" x14ac:dyDescent="0.2">
      <c r="A662" s="60">
        <v>45427</v>
      </c>
      <c r="B662" s="41" t="s">
        <v>19</v>
      </c>
      <c r="C662" s="1" t="s">
        <v>1705</v>
      </c>
      <c r="D662" s="4">
        <v>73.95765924008505</v>
      </c>
      <c r="E662" s="4">
        <f t="shared" si="12"/>
        <v>7649.1009169703884</v>
      </c>
    </row>
    <row r="663" spans="1:5" x14ac:dyDescent="0.2">
      <c r="A663" s="60">
        <v>45427</v>
      </c>
      <c r="B663" s="41" t="s">
        <v>19</v>
      </c>
      <c r="C663" s="1" t="s">
        <v>529</v>
      </c>
      <c r="D663" s="4">
        <v>38.254999999999995</v>
      </c>
      <c r="E663" s="4">
        <f t="shared" si="12"/>
        <v>7687.3559169703885</v>
      </c>
    </row>
    <row r="664" spans="1:5" x14ac:dyDescent="0.2">
      <c r="A664" s="60">
        <v>45427</v>
      </c>
      <c r="B664" s="41" t="s">
        <v>19</v>
      </c>
      <c r="C664" s="1" t="s">
        <v>685</v>
      </c>
      <c r="D664" s="4">
        <v>68.75</v>
      </c>
      <c r="E664" s="4">
        <f t="shared" si="12"/>
        <v>7756.1059169703885</v>
      </c>
    </row>
    <row r="665" spans="1:5" x14ac:dyDescent="0.2">
      <c r="A665" s="60">
        <v>45427</v>
      </c>
      <c r="B665" s="41" t="s">
        <v>19</v>
      </c>
      <c r="C665" s="1" t="s">
        <v>717</v>
      </c>
      <c r="D665" s="4">
        <v>67.5</v>
      </c>
      <c r="E665" s="4">
        <f t="shared" si="12"/>
        <v>7823.6059169703885</v>
      </c>
    </row>
    <row r="666" spans="1:5" x14ac:dyDescent="0.2">
      <c r="A666" s="60">
        <v>45427</v>
      </c>
      <c r="B666" s="41" t="s">
        <v>19</v>
      </c>
      <c r="C666" s="1" t="s">
        <v>731</v>
      </c>
      <c r="D666" s="4">
        <v>66.25</v>
      </c>
      <c r="E666" s="4">
        <f t="shared" si="12"/>
        <v>7889.8559169703885</v>
      </c>
    </row>
    <row r="667" spans="1:5" x14ac:dyDescent="0.2">
      <c r="A667" s="60">
        <v>45427</v>
      </c>
      <c r="B667" s="41" t="s">
        <v>19</v>
      </c>
      <c r="C667" s="1" t="s">
        <v>760</v>
      </c>
      <c r="D667" s="4">
        <v>65</v>
      </c>
      <c r="E667" s="4">
        <f t="shared" si="12"/>
        <v>7954.8559169703885</v>
      </c>
    </row>
    <row r="668" spans="1:5" x14ac:dyDescent="0.2">
      <c r="A668" s="60">
        <v>45427</v>
      </c>
      <c r="B668" s="41" t="s">
        <v>19</v>
      </c>
      <c r="C668" s="1" t="s">
        <v>808</v>
      </c>
      <c r="D668" s="4">
        <v>62.5</v>
      </c>
      <c r="E668" s="4">
        <f t="shared" si="12"/>
        <v>8017.3559169703885</v>
      </c>
    </row>
    <row r="669" spans="1:5" x14ac:dyDescent="0.2">
      <c r="A669" s="60">
        <v>45427</v>
      </c>
      <c r="B669" s="41" t="s">
        <v>19</v>
      </c>
      <c r="C669" s="1" t="s">
        <v>826</v>
      </c>
      <c r="D669" s="4">
        <v>122.5</v>
      </c>
      <c r="E669" s="4">
        <f t="shared" si="12"/>
        <v>8139.8559169703885</v>
      </c>
    </row>
    <row r="670" spans="1:5" x14ac:dyDescent="0.2">
      <c r="A670" s="60">
        <v>45427</v>
      </c>
      <c r="B670" s="41" t="s">
        <v>19</v>
      </c>
      <c r="C670" s="1" t="s">
        <v>823</v>
      </c>
      <c r="D670" s="4">
        <v>61.25</v>
      </c>
      <c r="E670" s="4">
        <f t="shared" si="12"/>
        <v>8201.1059169703876</v>
      </c>
    </row>
    <row r="671" spans="1:5" x14ac:dyDescent="0.2">
      <c r="A671" s="60">
        <v>45427</v>
      </c>
      <c r="B671" s="41" t="s">
        <v>938</v>
      </c>
      <c r="C671" s="1" t="s">
        <v>866</v>
      </c>
      <c r="D671" s="4">
        <v>2009.972602739726</v>
      </c>
      <c r="E671" s="4">
        <f t="shared" si="12"/>
        <v>10211.078519710114</v>
      </c>
    </row>
    <row r="672" spans="1:5" x14ac:dyDescent="0.2">
      <c r="A672" s="60">
        <v>45427</v>
      </c>
      <c r="B672" s="41" t="s">
        <v>938</v>
      </c>
      <c r="C672" s="1" t="s">
        <v>987</v>
      </c>
      <c r="D672" s="4">
        <v>2030.22</v>
      </c>
      <c r="E672" s="4">
        <f t="shared" si="12"/>
        <v>12241.298519710113</v>
      </c>
    </row>
    <row r="673" spans="1:5" x14ac:dyDescent="0.2">
      <c r="A673" s="60">
        <v>45427</v>
      </c>
      <c r="B673" s="41" t="s">
        <v>1806</v>
      </c>
      <c r="C673" s="41" t="s">
        <v>1788</v>
      </c>
      <c r="D673" s="4">
        <v>-1997.36712328767</v>
      </c>
      <c r="E673" s="4">
        <f t="shared" si="12"/>
        <v>10243.931396422444</v>
      </c>
    </row>
    <row r="674" spans="1:5" x14ac:dyDescent="0.2">
      <c r="A674" s="60">
        <v>45427</v>
      </c>
      <c r="B674" s="41" t="s">
        <v>1806</v>
      </c>
      <c r="C674" s="41" t="s">
        <v>1784</v>
      </c>
      <c r="D674" s="4">
        <v>-2107.79452054794</v>
      </c>
      <c r="E674" s="4">
        <f t="shared" si="12"/>
        <v>8136.1368758745039</v>
      </c>
    </row>
    <row r="675" spans="1:5" x14ac:dyDescent="0.2">
      <c r="A675" s="60">
        <v>45427</v>
      </c>
      <c r="B675" s="41" t="s">
        <v>1806</v>
      </c>
      <c r="C675" s="41" t="s">
        <v>1791</v>
      </c>
      <c r="D675" s="4">
        <v>-2021.48043835616</v>
      </c>
      <c r="E675" s="4">
        <f t="shared" si="12"/>
        <v>6114.6564375183443</v>
      </c>
    </row>
    <row r="676" spans="1:5" x14ac:dyDescent="0.2">
      <c r="A676" s="60">
        <v>45427</v>
      </c>
      <c r="B676" s="41" t="s">
        <v>1806</v>
      </c>
      <c r="C676" s="41" t="s">
        <v>1794</v>
      </c>
      <c r="D676" s="4">
        <v>-1996.64109589041</v>
      </c>
      <c r="E676" s="4">
        <f t="shared" si="12"/>
        <v>4118.0153416279345</v>
      </c>
    </row>
    <row r="677" spans="1:5" x14ac:dyDescent="0.2">
      <c r="A677" s="60">
        <v>45427</v>
      </c>
      <c r="B677" s="41" t="s">
        <v>1806</v>
      </c>
      <c r="C677" s="41" t="s">
        <v>1800</v>
      </c>
      <c r="D677" s="4">
        <v>-2050.7232876712301</v>
      </c>
      <c r="E677" s="4">
        <f t="shared" si="12"/>
        <v>2067.2920539567044</v>
      </c>
    </row>
    <row r="678" spans="1:5" x14ac:dyDescent="0.2">
      <c r="A678" s="60">
        <v>45427</v>
      </c>
      <c r="B678" s="41" t="s">
        <v>1806</v>
      </c>
      <c r="C678" s="41" t="s">
        <v>1797</v>
      </c>
      <c r="D678" s="4">
        <v>-1880.0753424657501</v>
      </c>
      <c r="E678" s="4">
        <f t="shared" si="12"/>
        <v>187.21671149095437</v>
      </c>
    </row>
    <row r="679" spans="1:5" x14ac:dyDescent="0.2">
      <c r="A679" s="60">
        <v>45428</v>
      </c>
      <c r="B679" s="41" t="s">
        <v>19</v>
      </c>
      <c r="C679" s="1" t="s">
        <v>1767</v>
      </c>
      <c r="D679" s="4">
        <v>73.624148720780411</v>
      </c>
      <c r="E679" s="4">
        <f t="shared" si="12"/>
        <v>260.84086021173476</v>
      </c>
    </row>
    <row r="680" spans="1:5" x14ac:dyDescent="0.2">
      <c r="A680" s="60">
        <v>45428</v>
      </c>
      <c r="B680" s="41" t="s">
        <v>19</v>
      </c>
      <c r="C680" s="1" t="s">
        <v>957</v>
      </c>
      <c r="D680" s="4">
        <v>40.755000000000003</v>
      </c>
      <c r="E680" s="4">
        <f t="shared" ref="E680:E743" si="13">IF(D680="","",D680+E679)</f>
        <v>301.59586021173476</v>
      </c>
    </row>
    <row r="681" spans="1:5" x14ac:dyDescent="0.2">
      <c r="A681" s="60">
        <v>45428</v>
      </c>
      <c r="B681" s="41" t="s">
        <v>19</v>
      </c>
      <c r="C681" s="1" t="s">
        <v>435</v>
      </c>
      <c r="D681" s="4">
        <v>40.129999999999995</v>
      </c>
      <c r="E681" s="4">
        <f t="shared" si="13"/>
        <v>341.72586021173476</v>
      </c>
    </row>
    <row r="682" spans="1:5" x14ac:dyDescent="0.2">
      <c r="A682" s="60">
        <v>45428</v>
      </c>
      <c r="B682" s="41" t="s">
        <v>19</v>
      </c>
      <c r="C682" s="1" t="s">
        <v>393</v>
      </c>
      <c r="D682" s="4">
        <v>42</v>
      </c>
      <c r="E682" s="4">
        <f t="shared" si="13"/>
        <v>383.72586021173476</v>
      </c>
    </row>
    <row r="683" spans="1:5" x14ac:dyDescent="0.2">
      <c r="A683" s="60">
        <v>45428</v>
      </c>
      <c r="B683" s="41" t="s">
        <v>19</v>
      </c>
      <c r="C683" s="1" t="s">
        <v>251</v>
      </c>
      <c r="D683" s="4">
        <v>48.255000000000003</v>
      </c>
      <c r="E683" s="4">
        <f t="shared" si="13"/>
        <v>431.98086021173475</v>
      </c>
    </row>
    <row r="684" spans="1:5" x14ac:dyDescent="0.2">
      <c r="A684" s="60">
        <v>45429</v>
      </c>
      <c r="B684" s="41" t="s">
        <v>19</v>
      </c>
      <c r="C684" s="1" t="s">
        <v>1249</v>
      </c>
      <c r="D684" s="4">
        <v>85.09659613615456</v>
      </c>
      <c r="E684" s="4">
        <f t="shared" si="13"/>
        <v>517.07745634788932</v>
      </c>
    </row>
    <row r="685" spans="1:5" x14ac:dyDescent="0.2">
      <c r="A685" s="60">
        <v>45429</v>
      </c>
      <c r="B685" s="41" t="s">
        <v>19</v>
      </c>
      <c r="C685" s="1" t="s">
        <v>638</v>
      </c>
      <c r="D685" s="4">
        <v>70</v>
      </c>
      <c r="E685" s="4">
        <f t="shared" si="13"/>
        <v>587.07745634788932</v>
      </c>
    </row>
    <row r="686" spans="1:5" x14ac:dyDescent="0.2">
      <c r="A686" s="60">
        <v>45429</v>
      </c>
      <c r="B686" s="41" t="s">
        <v>19</v>
      </c>
      <c r="C686" s="1" t="s">
        <v>622</v>
      </c>
      <c r="D686" s="4">
        <v>72.5</v>
      </c>
      <c r="E686" s="4">
        <f t="shared" si="13"/>
        <v>659.57745634788932</v>
      </c>
    </row>
    <row r="687" spans="1:5" x14ac:dyDescent="0.2">
      <c r="A687" s="60">
        <v>45430</v>
      </c>
      <c r="B687" s="41" t="s">
        <v>19</v>
      </c>
      <c r="C687" s="1" t="s">
        <v>1137</v>
      </c>
      <c r="D687" s="4">
        <v>89.696412143514266</v>
      </c>
      <c r="E687" s="4">
        <f t="shared" si="13"/>
        <v>749.27386849140362</v>
      </c>
    </row>
    <row r="688" spans="1:5" x14ac:dyDescent="0.2">
      <c r="A688" s="60">
        <v>45430</v>
      </c>
      <c r="B688" s="41" t="s">
        <v>19</v>
      </c>
      <c r="C688" s="1" t="s">
        <v>551</v>
      </c>
      <c r="D688" s="4">
        <v>75</v>
      </c>
      <c r="E688" s="4">
        <f t="shared" si="13"/>
        <v>824.27386849140362</v>
      </c>
    </row>
    <row r="689" spans="1:5" x14ac:dyDescent="0.2">
      <c r="A689" s="60">
        <v>45431</v>
      </c>
      <c r="B689" s="41" t="s">
        <v>19</v>
      </c>
      <c r="C689" s="1" t="s">
        <v>1196</v>
      </c>
      <c r="D689" s="4">
        <v>87.396504139834406</v>
      </c>
      <c r="E689" s="4">
        <f t="shared" si="13"/>
        <v>911.67037263123802</v>
      </c>
    </row>
    <row r="690" spans="1:5" x14ac:dyDescent="0.2">
      <c r="A690" s="60">
        <v>45432</v>
      </c>
      <c r="B690" s="41" t="s">
        <v>19</v>
      </c>
      <c r="C690" s="1" t="s">
        <v>682</v>
      </c>
      <c r="D690" s="4">
        <v>34.664999999999999</v>
      </c>
      <c r="E690" s="4">
        <f t="shared" si="13"/>
        <v>946.33537263123799</v>
      </c>
    </row>
    <row r="691" spans="1:5" x14ac:dyDescent="0.2">
      <c r="A691" s="60">
        <v>45432</v>
      </c>
      <c r="B691" s="41" t="s">
        <v>19</v>
      </c>
      <c r="C691" s="1" t="s">
        <v>20</v>
      </c>
      <c r="D691" s="4">
        <f>E690*0.01*7/365</f>
        <v>0.18148897557311416</v>
      </c>
      <c r="E691" s="4">
        <f t="shared" si="13"/>
        <v>946.51686160681106</v>
      </c>
    </row>
    <row r="692" spans="1:5" x14ac:dyDescent="0.2">
      <c r="A692" s="60">
        <v>45433</v>
      </c>
      <c r="B692" s="41" t="s">
        <v>19</v>
      </c>
      <c r="C692" s="1" t="s">
        <v>1372</v>
      </c>
      <c r="D692" s="4">
        <v>80.608014739751269</v>
      </c>
      <c r="E692" s="4">
        <f t="shared" si="13"/>
        <v>1027.1248763465624</v>
      </c>
    </row>
    <row r="693" spans="1:5" x14ac:dyDescent="0.2">
      <c r="A693" s="60">
        <v>45434</v>
      </c>
      <c r="B693" s="41" t="s">
        <v>19</v>
      </c>
      <c r="C693" s="1" t="s">
        <v>1216</v>
      </c>
      <c r="D693" s="4">
        <v>86.365730078304935</v>
      </c>
      <c r="E693" s="4">
        <f t="shared" si="13"/>
        <v>1113.4906064248673</v>
      </c>
    </row>
    <row r="694" spans="1:5" x14ac:dyDescent="0.2">
      <c r="A694" s="60">
        <v>45434</v>
      </c>
      <c r="B694" s="41" t="s">
        <v>19</v>
      </c>
      <c r="C694" s="1" t="s">
        <v>960</v>
      </c>
      <c r="D694" s="4">
        <v>80</v>
      </c>
      <c r="E694" s="4">
        <f t="shared" si="13"/>
        <v>1193.4906064248673</v>
      </c>
    </row>
    <row r="695" spans="1:5" x14ac:dyDescent="0.2">
      <c r="A695" s="60">
        <v>45434</v>
      </c>
      <c r="B695" s="41" t="s">
        <v>938</v>
      </c>
      <c r="C695" s="1" t="s">
        <v>532</v>
      </c>
      <c r="D695" s="4">
        <v>2044.2602739726026</v>
      </c>
      <c r="E695" s="4">
        <f t="shared" si="13"/>
        <v>3237.7508803974697</v>
      </c>
    </row>
    <row r="696" spans="1:5" x14ac:dyDescent="0.2">
      <c r="A696" s="60">
        <v>45434</v>
      </c>
      <c r="B696" s="41" t="s">
        <v>938</v>
      </c>
      <c r="C696" s="1" t="s">
        <v>123</v>
      </c>
      <c r="D696" s="4">
        <v>2029.4476712328767</v>
      </c>
      <c r="E696" s="4">
        <f t="shared" si="13"/>
        <v>5267.1985516303466</v>
      </c>
    </row>
    <row r="697" spans="1:5" x14ac:dyDescent="0.2">
      <c r="A697" s="60">
        <v>45434</v>
      </c>
      <c r="B697" s="41" t="s">
        <v>1806</v>
      </c>
      <c r="C697" s="41" t="s">
        <v>1809</v>
      </c>
      <c r="D697" s="4">
        <v>-1982.7397260273999</v>
      </c>
      <c r="E697" s="4">
        <f t="shared" si="13"/>
        <v>3284.4588256029465</v>
      </c>
    </row>
    <row r="698" spans="1:5" x14ac:dyDescent="0.2">
      <c r="A698" s="60">
        <v>45434</v>
      </c>
      <c r="B698" s="41" t="s">
        <v>1806</v>
      </c>
      <c r="C698" s="41" t="s">
        <v>1812</v>
      </c>
      <c r="D698" s="4">
        <v>-2200</v>
      </c>
      <c r="E698" s="4">
        <f t="shared" si="13"/>
        <v>1084.4588256029465</v>
      </c>
    </row>
    <row r="699" spans="1:5" x14ac:dyDescent="0.2">
      <c r="A699" s="60">
        <v>45434</v>
      </c>
      <c r="B699" s="41" t="s">
        <v>1806</v>
      </c>
      <c r="C699" s="41" t="s">
        <v>1803</v>
      </c>
      <c r="D699" s="4">
        <v>-974.97671232876701</v>
      </c>
      <c r="E699" s="4">
        <f t="shared" si="13"/>
        <v>109.48211327417948</v>
      </c>
    </row>
    <row r="700" spans="1:5" x14ac:dyDescent="0.2">
      <c r="A700" s="60">
        <v>45435</v>
      </c>
      <c r="B700" s="41" t="s">
        <v>19</v>
      </c>
      <c r="C700" s="1" t="s">
        <v>1376</v>
      </c>
      <c r="D700" s="4">
        <v>80.906148867313917</v>
      </c>
      <c r="E700" s="4">
        <f t="shared" si="13"/>
        <v>190.38826214149339</v>
      </c>
    </row>
    <row r="701" spans="1:5" x14ac:dyDescent="0.2">
      <c r="A701" s="60">
        <v>45435</v>
      </c>
      <c r="B701" s="41" t="s">
        <v>19</v>
      </c>
      <c r="C701" s="1" t="s">
        <v>751</v>
      </c>
      <c r="D701" s="4">
        <v>32.5</v>
      </c>
      <c r="E701" s="4">
        <f t="shared" si="13"/>
        <v>222.88826214149339</v>
      </c>
    </row>
    <row r="702" spans="1:5" x14ac:dyDescent="0.2">
      <c r="A702" s="60">
        <v>45435</v>
      </c>
      <c r="B702" s="41" t="s">
        <v>19</v>
      </c>
      <c r="C702" s="1" t="s">
        <v>34</v>
      </c>
      <c r="D702" s="4">
        <v>56.25</v>
      </c>
      <c r="E702" s="4">
        <f t="shared" si="13"/>
        <v>279.13826214149339</v>
      </c>
    </row>
    <row r="703" spans="1:5" x14ac:dyDescent="0.2">
      <c r="A703" s="60">
        <v>45435</v>
      </c>
      <c r="B703" s="41" t="s">
        <v>19</v>
      </c>
      <c r="C703" s="1" t="s">
        <v>1812</v>
      </c>
      <c r="D703" s="4">
        <v>200</v>
      </c>
      <c r="E703" s="4">
        <f t="shared" si="13"/>
        <v>479.13826214149339</v>
      </c>
    </row>
    <row r="704" spans="1:5" x14ac:dyDescent="0.2">
      <c r="A704" s="60">
        <v>45436</v>
      </c>
      <c r="B704" s="41" t="s">
        <v>19</v>
      </c>
      <c r="C704" s="1" t="s">
        <v>647</v>
      </c>
      <c r="D704" s="4">
        <v>70</v>
      </c>
      <c r="E704" s="4">
        <f t="shared" si="13"/>
        <v>549.13826214149344</v>
      </c>
    </row>
    <row r="705" spans="1:5" x14ac:dyDescent="0.2">
      <c r="A705" s="60">
        <v>45436</v>
      </c>
      <c r="B705" s="41" t="s">
        <v>19</v>
      </c>
      <c r="C705" s="1" t="s">
        <v>171</v>
      </c>
      <c r="D705" s="4">
        <v>95</v>
      </c>
      <c r="E705" s="4">
        <f t="shared" si="13"/>
        <v>644.13826214149344</v>
      </c>
    </row>
    <row r="706" spans="1:5" x14ac:dyDescent="0.2">
      <c r="A706" s="60">
        <v>45436</v>
      </c>
      <c r="B706" s="41" t="s">
        <v>19</v>
      </c>
      <c r="C706" s="1" t="s">
        <v>150</v>
      </c>
      <c r="D706" s="4">
        <v>185</v>
      </c>
      <c r="E706" s="4">
        <f t="shared" si="13"/>
        <v>829.13826214149344</v>
      </c>
    </row>
    <row r="707" spans="1:5" x14ac:dyDescent="0.2">
      <c r="A707" s="60">
        <v>45437</v>
      </c>
      <c r="B707" s="41" t="s">
        <v>19</v>
      </c>
      <c r="C707" s="1" t="s">
        <v>1741</v>
      </c>
      <c r="D707" s="4">
        <v>73.7531114593897</v>
      </c>
      <c r="E707" s="4">
        <f t="shared" si="13"/>
        <v>902.89137360088318</v>
      </c>
    </row>
    <row r="708" spans="1:5" x14ac:dyDescent="0.2">
      <c r="A708" s="60">
        <v>45437</v>
      </c>
      <c r="B708" s="41" t="s">
        <v>19</v>
      </c>
      <c r="C708" s="1" t="s">
        <v>1317</v>
      </c>
      <c r="D708" s="4">
        <v>82.972250391813404</v>
      </c>
      <c r="E708" s="4">
        <f t="shared" si="13"/>
        <v>985.8636239926966</v>
      </c>
    </row>
    <row r="709" spans="1:5" x14ac:dyDescent="0.2">
      <c r="A709" s="60">
        <v>45437</v>
      </c>
      <c r="B709" s="41" t="s">
        <v>19</v>
      </c>
      <c r="C709" s="1" t="s">
        <v>612</v>
      </c>
      <c r="D709" s="4">
        <v>145</v>
      </c>
      <c r="E709" s="4">
        <f t="shared" si="13"/>
        <v>1130.8636239926966</v>
      </c>
    </row>
    <row r="710" spans="1:5" x14ac:dyDescent="0.2">
      <c r="A710" s="60">
        <v>45439</v>
      </c>
      <c r="B710" s="41" t="s">
        <v>19</v>
      </c>
      <c r="C710" s="1" t="s">
        <v>1764</v>
      </c>
      <c r="D710" s="4">
        <v>73.691967575534278</v>
      </c>
      <c r="E710" s="4">
        <f t="shared" si="13"/>
        <v>1204.555591568231</v>
      </c>
    </row>
    <row r="711" spans="1:5" x14ac:dyDescent="0.2">
      <c r="A711" s="60">
        <v>45439</v>
      </c>
      <c r="B711" s="41" t="s">
        <v>19</v>
      </c>
      <c r="C711" s="1" t="s">
        <v>595</v>
      </c>
      <c r="D711" s="4">
        <v>72.5</v>
      </c>
      <c r="E711" s="4">
        <f t="shared" si="13"/>
        <v>1277.055591568231</v>
      </c>
    </row>
    <row r="712" spans="1:5" x14ac:dyDescent="0.2">
      <c r="A712" s="60">
        <v>45439</v>
      </c>
      <c r="B712" s="41" t="s">
        <v>19</v>
      </c>
      <c r="C712" s="1" t="s">
        <v>20</v>
      </c>
      <c r="D712" s="4">
        <f>E711*0.01*7/365</f>
        <v>0.24491477098568815</v>
      </c>
      <c r="E712" s="4">
        <f t="shared" si="13"/>
        <v>1277.3005063392166</v>
      </c>
    </row>
    <row r="713" spans="1:5" x14ac:dyDescent="0.2">
      <c r="A713" s="60">
        <v>45440</v>
      </c>
      <c r="B713" s="41" t="s">
        <v>19</v>
      </c>
      <c r="C713" s="1" t="s">
        <v>200</v>
      </c>
      <c r="D713" s="4">
        <v>53.510000000000005</v>
      </c>
      <c r="E713" s="4">
        <f t="shared" si="13"/>
        <v>1330.8105063392165</v>
      </c>
    </row>
    <row r="714" spans="1:5" x14ac:dyDescent="0.2">
      <c r="A714" s="60">
        <v>45441</v>
      </c>
      <c r="B714" s="41" t="s">
        <v>19</v>
      </c>
      <c r="C714" s="1" t="s">
        <v>586</v>
      </c>
      <c r="D714" s="4">
        <v>73.75</v>
      </c>
      <c r="E714" s="4">
        <f t="shared" si="13"/>
        <v>1404.5605063392165</v>
      </c>
    </row>
    <row r="715" spans="1:5" x14ac:dyDescent="0.2">
      <c r="A715" s="60">
        <v>45441</v>
      </c>
      <c r="B715" s="41" t="s">
        <v>21</v>
      </c>
      <c r="C715" s="41" t="s">
        <v>532</v>
      </c>
      <c r="D715" s="4">
        <v>-1041.4188047125299</v>
      </c>
      <c r="E715" s="4">
        <f t="shared" si="13"/>
        <v>363.14170162668665</v>
      </c>
    </row>
    <row r="716" spans="1:5" x14ac:dyDescent="0.2">
      <c r="A716" s="60">
        <v>45442</v>
      </c>
      <c r="B716" s="41" t="s">
        <v>19</v>
      </c>
      <c r="C716" s="1" t="s">
        <v>1729</v>
      </c>
      <c r="D716" s="4">
        <v>73.841609747092491</v>
      </c>
      <c r="E716" s="4">
        <f t="shared" si="13"/>
        <v>436.98331137377915</v>
      </c>
    </row>
    <row r="717" spans="1:5" x14ac:dyDescent="0.2">
      <c r="A717" s="60">
        <v>45442</v>
      </c>
      <c r="B717" s="41" t="s">
        <v>19</v>
      </c>
      <c r="C717" s="1" t="s">
        <v>1351</v>
      </c>
      <c r="D717" s="4">
        <v>81.918035813180737</v>
      </c>
      <c r="E717" s="4">
        <f t="shared" si="13"/>
        <v>518.90134718695992</v>
      </c>
    </row>
    <row r="718" spans="1:5" x14ac:dyDescent="0.2">
      <c r="A718" s="60">
        <v>45442</v>
      </c>
      <c r="B718" s="41" t="s">
        <v>19</v>
      </c>
      <c r="C718" s="1" t="s">
        <v>1234</v>
      </c>
      <c r="D718" s="4">
        <v>86.496215617500482</v>
      </c>
      <c r="E718" s="4">
        <f t="shared" si="13"/>
        <v>605.39756280446045</v>
      </c>
    </row>
    <row r="719" spans="1:5" x14ac:dyDescent="0.2">
      <c r="A719" s="60">
        <v>45442</v>
      </c>
      <c r="B719" s="41" t="s">
        <v>19</v>
      </c>
      <c r="C719" s="1" t="s">
        <v>1173</v>
      </c>
      <c r="D719" s="4">
        <v>87.686911574672337</v>
      </c>
      <c r="E719" s="4">
        <f t="shared" si="13"/>
        <v>693.08447437913276</v>
      </c>
    </row>
    <row r="720" spans="1:5" x14ac:dyDescent="0.2">
      <c r="A720" s="60">
        <v>45442</v>
      </c>
      <c r="B720" s="41" t="s">
        <v>19</v>
      </c>
      <c r="C720" s="1" t="s">
        <v>1034</v>
      </c>
      <c r="D720" s="4">
        <v>101.53221340225218</v>
      </c>
      <c r="E720" s="4">
        <f t="shared" si="13"/>
        <v>794.61668778138494</v>
      </c>
    </row>
    <row r="721" spans="1:6" x14ac:dyDescent="0.2">
      <c r="A721" s="60">
        <v>45442</v>
      </c>
      <c r="B721" s="41" t="s">
        <v>19</v>
      </c>
      <c r="C721" s="1" t="s">
        <v>230</v>
      </c>
      <c r="D721" s="4">
        <v>16.666666666666668</v>
      </c>
      <c r="E721" s="4">
        <f t="shared" si="13"/>
        <v>811.28335444805157</v>
      </c>
    </row>
    <row r="722" spans="1:6" x14ac:dyDescent="0.2">
      <c r="A722" s="60">
        <v>45442</v>
      </c>
      <c r="B722" s="41" t="s">
        <v>19</v>
      </c>
      <c r="C722" s="1" t="s">
        <v>205</v>
      </c>
      <c r="D722" s="4">
        <v>106.25</v>
      </c>
      <c r="E722" s="4">
        <f t="shared" si="13"/>
        <v>917.53335444805157</v>
      </c>
    </row>
    <row r="723" spans="1:6" x14ac:dyDescent="0.2">
      <c r="A723" s="60">
        <v>45442</v>
      </c>
      <c r="B723" s="41" t="s">
        <v>19</v>
      </c>
      <c r="C723" s="1" t="s">
        <v>194</v>
      </c>
      <c r="D723" s="4">
        <v>110</v>
      </c>
      <c r="E723" s="4">
        <f t="shared" si="13"/>
        <v>1027.5333544480516</v>
      </c>
    </row>
    <row r="724" spans="1:6" x14ac:dyDescent="0.2">
      <c r="A724" s="60">
        <v>45442</v>
      </c>
      <c r="B724" s="41" t="s">
        <v>19</v>
      </c>
      <c r="C724" s="1" t="s">
        <v>60</v>
      </c>
      <c r="D724" s="4">
        <v>115</v>
      </c>
      <c r="E724" s="4">
        <f t="shared" si="13"/>
        <v>1142.5333544480516</v>
      </c>
    </row>
    <row r="725" spans="1:6" x14ac:dyDescent="0.2">
      <c r="A725" s="60">
        <v>45444</v>
      </c>
      <c r="B725" s="41" t="s">
        <v>19</v>
      </c>
      <c r="C725" s="1" t="s">
        <v>1529</v>
      </c>
      <c r="D725" s="4">
        <v>79.485761680951072</v>
      </c>
      <c r="E725" s="4">
        <f t="shared" si="13"/>
        <v>1222.0191161290027</v>
      </c>
    </row>
    <row r="726" spans="1:6" x14ac:dyDescent="0.2">
      <c r="A726" s="60">
        <v>45444</v>
      </c>
      <c r="B726" s="41" t="s">
        <v>19</v>
      </c>
      <c r="C726" s="1" t="s">
        <v>1261</v>
      </c>
      <c r="D726" s="4">
        <v>85.245599483918539</v>
      </c>
      <c r="E726" s="4">
        <f t="shared" si="13"/>
        <v>1307.2647156129212</v>
      </c>
    </row>
    <row r="727" spans="1:6" x14ac:dyDescent="0.2">
      <c r="A727" s="60">
        <v>45444</v>
      </c>
      <c r="B727" s="41" t="s">
        <v>19</v>
      </c>
      <c r="C727" s="1" t="s">
        <v>1219</v>
      </c>
      <c r="D727" s="4">
        <v>86.39756704451203</v>
      </c>
      <c r="E727" s="4">
        <f t="shared" si="13"/>
        <v>1393.6622826574333</v>
      </c>
    </row>
    <row r="728" spans="1:6" x14ac:dyDescent="0.2">
      <c r="A728" s="60">
        <v>45444</v>
      </c>
      <c r="B728" s="41" t="s">
        <v>19</v>
      </c>
      <c r="C728" s="1" t="s">
        <v>471</v>
      </c>
      <c r="D728" s="4">
        <v>39.71</v>
      </c>
      <c r="E728" s="4">
        <f t="shared" si="13"/>
        <v>1433.3722826574333</v>
      </c>
    </row>
    <row r="729" spans="1:6" x14ac:dyDescent="0.2">
      <c r="A729" s="60">
        <v>45444</v>
      </c>
      <c r="B729" s="41" t="s">
        <v>19</v>
      </c>
      <c r="C729" s="1" t="s">
        <v>763</v>
      </c>
      <c r="D729" s="4">
        <v>130</v>
      </c>
      <c r="E729" s="4">
        <f t="shared" si="13"/>
        <v>1563.3722826574333</v>
      </c>
    </row>
    <row r="730" spans="1:6" x14ac:dyDescent="0.2">
      <c r="A730" s="60">
        <v>45444</v>
      </c>
      <c r="B730" s="41" t="s">
        <v>19</v>
      </c>
      <c r="C730" s="1" t="s">
        <v>115</v>
      </c>
      <c r="D730" s="4">
        <v>64.375</v>
      </c>
      <c r="E730" s="4">
        <f t="shared" si="13"/>
        <v>1627.7472826574333</v>
      </c>
    </row>
    <row r="731" spans="1:6" x14ac:dyDescent="0.2">
      <c r="A731" s="60">
        <v>45444</v>
      </c>
      <c r="B731" s="41" t="s">
        <v>19</v>
      </c>
      <c r="C731" s="1" t="s">
        <v>532</v>
      </c>
      <c r="D731" s="4">
        <v>48.382637544926737</v>
      </c>
      <c r="E731" s="4">
        <f t="shared" si="13"/>
        <v>1676.1299202023599</v>
      </c>
    </row>
    <row r="732" spans="1:6" x14ac:dyDescent="0.2">
      <c r="A732" s="60">
        <v>45444</v>
      </c>
      <c r="B732" s="41" t="s">
        <v>1860</v>
      </c>
      <c r="C732" s="1" t="s">
        <v>897</v>
      </c>
      <c r="D732" s="4">
        <f>25*2.69</f>
        <v>67.25</v>
      </c>
      <c r="E732" s="4">
        <f t="shared" si="13"/>
        <v>1743.3799202023599</v>
      </c>
      <c r="F732" s="4" t="s">
        <v>1861</v>
      </c>
    </row>
    <row r="733" spans="1:6" x14ac:dyDescent="0.2">
      <c r="A733" s="60">
        <v>45445</v>
      </c>
      <c r="B733" s="41" t="s">
        <v>19</v>
      </c>
      <c r="C733" s="1" t="s">
        <v>112</v>
      </c>
      <c r="D733" s="4">
        <v>57.160000000000004</v>
      </c>
      <c r="E733" s="4">
        <f t="shared" si="13"/>
        <v>1800.53992020236</v>
      </c>
    </row>
    <row r="734" spans="1:6" x14ac:dyDescent="0.2">
      <c r="A734" s="60">
        <v>45446</v>
      </c>
      <c r="B734" s="41" t="s">
        <v>19</v>
      </c>
      <c r="C734" s="1" t="s">
        <v>998</v>
      </c>
      <c r="D734" s="4">
        <v>110.0715465052284</v>
      </c>
      <c r="E734" s="4">
        <f t="shared" si="13"/>
        <v>1910.6114667075883</v>
      </c>
    </row>
    <row r="735" spans="1:6" x14ac:dyDescent="0.2">
      <c r="A735" s="60">
        <v>45446</v>
      </c>
      <c r="B735" s="41" t="s">
        <v>19</v>
      </c>
      <c r="C735" s="1" t="s">
        <v>563</v>
      </c>
      <c r="D735" s="4">
        <v>75</v>
      </c>
      <c r="E735" s="4">
        <f t="shared" si="13"/>
        <v>1985.6114667075883</v>
      </c>
    </row>
    <row r="736" spans="1:6" x14ac:dyDescent="0.2">
      <c r="A736" s="60">
        <v>45444</v>
      </c>
      <c r="B736" s="41" t="s">
        <v>1860</v>
      </c>
      <c r="C736" s="1" t="s">
        <v>899</v>
      </c>
      <c r="D736" s="4">
        <f>0.515*100/1.0902</f>
        <v>47.239038708493851</v>
      </c>
      <c r="E736" s="4">
        <f t="shared" si="13"/>
        <v>2032.8505054160821</v>
      </c>
      <c r="F736" s="1" t="s">
        <v>1862</v>
      </c>
    </row>
    <row r="737" spans="1:5" x14ac:dyDescent="0.2">
      <c r="A737" s="60">
        <v>45446</v>
      </c>
      <c r="B737" s="41" t="s">
        <v>19</v>
      </c>
      <c r="C737" s="1" t="s">
        <v>20</v>
      </c>
      <c r="D737" s="4">
        <f>E735*0.01*7/365</f>
        <v>0.380802199094606</v>
      </c>
      <c r="E737" s="4">
        <f t="shared" si="13"/>
        <v>2033.2313076151768</v>
      </c>
    </row>
    <row r="738" spans="1:5" x14ac:dyDescent="0.2">
      <c r="A738" s="60">
        <v>45448</v>
      </c>
      <c r="B738" s="41" t="s">
        <v>19</v>
      </c>
      <c r="C738" s="1" t="s">
        <v>1337</v>
      </c>
      <c r="D738" s="4">
        <v>81.57169117647058</v>
      </c>
      <c r="E738" s="4">
        <f t="shared" si="13"/>
        <v>2114.8029987916475</v>
      </c>
    </row>
    <row r="739" spans="1:5" x14ac:dyDescent="0.2">
      <c r="A739" s="60">
        <v>45448</v>
      </c>
      <c r="B739" s="41" t="s">
        <v>19</v>
      </c>
      <c r="C739" s="1" t="s">
        <v>1250</v>
      </c>
      <c r="D739" s="4">
        <v>85.018382352941174</v>
      </c>
      <c r="E739" s="4">
        <f t="shared" si="13"/>
        <v>2199.8213811445885</v>
      </c>
    </row>
    <row r="740" spans="1:5" x14ac:dyDescent="0.2">
      <c r="A740" s="60">
        <v>45448</v>
      </c>
      <c r="B740" s="41" t="s">
        <v>938</v>
      </c>
      <c r="C740" s="1" t="s">
        <v>74</v>
      </c>
      <c r="D740" s="4">
        <v>2073.0410958904108</v>
      </c>
      <c r="E740" s="4">
        <f t="shared" si="13"/>
        <v>4272.8624770349998</v>
      </c>
    </row>
    <row r="741" spans="1:5" x14ac:dyDescent="0.2">
      <c r="A741" s="60">
        <v>45448</v>
      </c>
      <c r="B741" s="41" t="s">
        <v>21</v>
      </c>
      <c r="C741" s="41" t="s">
        <v>1863</v>
      </c>
      <c r="D741" s="4">
        <v>-1995.7418412570501</v>
      </c>
      <c r="E741" s="4">
        <f t="shared" si="13"/>
        <v>2277.1206357779497</v>
      </c>
    </row>
    <row r="742" spans="1:5" x14ac:dyDescent="0.2">
      <c r="A742" s="60">
        <v>45448</v>
      </c>
      <c r="B742" s="41" t="s">
        <v>21</v>
      </c>
      <c r="C742" s="41" t="s">
        <v>1871</v>
      </c>
      <c r="D742" s="4">
        <v>-1834.47320709106</v>
      </c>
      <c r="E742" s="4">
        <f t="shared" si="13"/>
        <v>442.64742868688973</v>
      </c>
    </row>
    <row r="743" spans="1:5" x14ac:dyDescent="0.2">
      <c r="A743" s="60">
        <v>45449</v>
      </c>
      <c r="B743" s="41" t="s">
        <v>19</v>
      </c>
      <c r="C743" s="1" t="s">
        <v>1193</v>
      </c>
      <c r="D743" s="4">
        <v>87.227986410797911</v>
      </c>
      <c r="E743" s="4">
        <f t="shared" si="13"/>
        <v>529.87541509768766</v>
      </c>
    </row>
    <row r="744" spans="1:5" x14ac:dyDescent="0.2">
      <c r="A744" s="60">
        <v>45449</v>
      </c>
      <c r="B744" s="41" t="s">
        <v>1878</v>
      </c>
      <c r="C744" s="1" t="s">
        <v>1540</v>
      </c>
      <c r="D744" s="4">
        <v>23644.34</v>
      </c>
      <c r="E744" s="4">
        <f t="shared" ref="E744:E745" si="14">IF(D744="","",D744+E743)</f>
        <v>24174.215415097689</v>
      </c>
    </row>
    <row r="745" spans="1:5" x14ac:dyDescent="0.2">
      <c r="E745" s="4" t="str">
        <f t="shared" si="14"/>
        <v/>
      </c>
    </row>
  </sheetData>
  <sortState xmlns:xlrd2="http://schemas.microsoft.com/office/spreadsheetml/2017/richdata2" ref="A359:D599">
    <sortCondition ref="C359:C59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23EEF-C35E-4380-88A0-26C00FEC439F}">
  <dimension ref="A1:Z535"/>
  <sheetViews>
    <sheetView workbookViewId="0">
      <selection activeCell="D6" sqref="D6"/>
    </sheetView>
  </sheetViews>
  <sheetFormatPr defaultRowHeight="12.75" x14ac:dyDescent="0.2"/>
  <cols>
    <col min="1" max="1" width="14" style="43" customWidth="1"/>
    <col min="2" max="2" width="60.140625" bestFit="1" customWidth="1"/>
    <col min="3" max="3" width="30.85546875" customWidth="1"/>
    <col min="4" max="4" width="13.28515625" style="13" customWidth="1"/>
    <col min="5" max="5" width="13.85546875" style="13" customWidth="1"/>
    <col min="6" max="6" width="10.140625" customWidth="1"/>
    <col min="7" max="7" width="14.5703125" customWidth="1"/>
    <col min="8" max="8" width="12.28515625" style="14" customWidth="1"/>
    <col min="9" max="9" width="17" style="13" customWidth="1"/>
    <col min="10" max="10" width="11.140625" style="14" customWidth="1"/>
    <col min="11" max="11" width="16" customWidth="1"/>
    <col min="12" max="12" width="12.140625" customWidth="1"/>
    <col min="13" max="13" width="15.85546875" customWidth="1"/>
    <col min="14" max="14" width="14.140625" style="43" customWidth="1"/>
    <col min="15" max="15" width="14.7109375" bestFit="1" customWidth="1"/>
    <col min="16" max="16" width="16.5703125" bestFit="1" customWidth="1"/>
    <col min="17" max="17" width="18.140625" bestFit="1" customWidth="1"/>
    <col min="18" max="18" width="104.85546875" bestFit="1" customWidth="1"/>
    <col min="19" max="19" width="12.42578125" customWidth="1"/>
    <col min="20" max="20" width="15.140625" style="43" bestFit="1" customWidth="1"/>
    <col min="21" max="21" width="17.42578125" style="13" bestFit="1" customWidth="1"/>
    <col min="22" max="22" width="18" style="13" bestFit="1" customWidth="1"/>
    <col min="23" max="23" width="14.140625" style="13" bestFit="1" customWidth="1"/>
    <col min="24" max="24" width="22.140625" style="13" bestFit="1" customWidth="1"/>
    <col min="25" max="25" width="19" style="13" bestFit="1" customWidth="1"/>
    <col min="26" max="26" width="9.140625" style="14"/>
  </cols>
  <sheetData>
    <row r="1" spans="1:26" ht="30.75" customHeight="1" x14ac:dyDescent="0.25">
      <c r="A1" s="32" t="s">
        <v>159</v>
      </c>
      <c r="B1" s="33" t="s">
        <v>22</v>
      </c>
      <c r="C1" s="33" t="s">
        <v>24</v>
      </c>
      <c r="D1" s="44" t="s">
        <v>924</v>
      </c>
      <c r="E1" s="44" t="s">
        <v>923</v>
      </c>
      <c r="F1" s="34" t="s">
        <v>25</v>
      </c>
      <c r="G1" s="35" t="s">
        <v>26</v>
      </c>
      <c r="H1" s="45" t="s">
        <v>27</v>
      </c>
      <c r="I1" s="46" t="s">
        <v>161</v>
      </c>
      <c r="J1" s="45" t="s">
        <v>23</v>
      </c>
      <c r="K1" s="37" t="s">
        <v>926</v>
      </c>
      <c r="L1" s="36" t="s">
        <v>886</v>
      </c>
      <c r="M1" s="38" t="s">
        <v>28</v>
      </c>
      <c r="N1" s="47" t="s">
        <v>29</v>
      </c>
      <c r="O1" s="33" t="s">
        <v>30</v>
      </c>
      <c r="P1" s="33" t="s">
        <v>31</v>
      </c>
      <c r="Q1" s="33" t="s">
        <v>32</v>
      </c>
      <c r="R1" s="33" t="s">
        <v>33</v>
      </c>
      <c r="S1" s="33" t="s">
        <v>168</v>
      </c>
      <c r="T1" s="50" t="s">
        <v>929</v>
      </c>
      <c r="U1" s="12" t="s">
        <v>166</v>
      </c>
      <c r="V1" s="49" t="s">
        <v>882</v>
      </c>
      <c r="W1" s="49" t="s">
        <v>922</v>
      </c>
      <c r="X1" s="49" t="s">
        <v>911</v>
      </c>
      <c r="Y1" s="48" t="s">
        <v>906</v>
      </c>
      <c r="Z1" s="155" t="s">
        <v>167</v>
      </c>
    </row>
    <row r="2" spans="1:26" ht="14.25" x14ac:dyDescent="0.2">
      <c r="A2" s="9">
        <v>45378</v>
      </c>
      <c r="B2" s="1" t="s">
        <v>153</v>
      </c>
      <c r="C2" s="1" t="s">
        <v>3</v>
      </c>
      <c r="D2" s="4">
        <f t="shared" ref="D2:D65" si="0">E2+I2</f>
        <v>1316.6575342465753</v>
      </c>
      <c r="E2" s="4">
        <f t="shared" ref="E2:E65" si="1">G2*H2*F2/K2</f>
        <v>1300</v>
      </c>
      <c r="F2" s="1">
        <v>2</v>
      </c>
      <c r="G2" s="1">
        <v>1000</v>
      </c>
      <c r="H2" s="7">
        <v>0.65</v>
      </c>
      <c r="I2" s="4">
        <f t="shared" ref="I2:I65" si="2">G2*J2*(A2-N2)/365*F2/K2</f>
        <v>16.657534246575342</v>
      </c>
      <c r="J2" s="7">
        <v>0.08</v>
      </c>
      <c r="K2" s="58">
        <v>1</v>
      </c>
      <c r="L2" s="1" t="s">
        <v>925</v>
      </c>
      <c r="M2" s="1">
        <v>2</v>
      </c>
      <c r="N2" s="9">
        <v>45340</v>
      </c>
      <c r="O2" s="1" t="s">
        <v>56</v>
      </c>
      <c r="P2" s="1" t="s">
        <v>39</v>
      </c>
      <c r="Q2" s="1" t="s">
        <v>154</v>
      </c>
      <c r="R2" s="1" t="s">
        <v>155</v>
      </c>
      <c r="S2" s="1" t="b">
        <v>1</v>
      </c>
      <c r="T2" s="9"/>
      <c r="U2" s="4"/>
      <c r="V2" s="4"/>
      <c r="W2" s="4"/>
      <c r="X2" s="4"/>
      <c r="Y2" s="4" t="str">
        <f>IF(anleihenkäufe[[#This Row],[Verkauft am]]="","",anleihenkäufe[[#This Row],[Gewinn aus Kursänderung]]+anleihenkäufe[[#This Row],[Gewinn aus Zinsen]]+anleihenkäufe[[#This Row],[Gewinn aus Währungseffekten]])</f>
        <v/>
      </c>
      <c r="Z2" s="156" t="str">
        <f>IF(anleihenkäufe[[#This Row],[Verkauft am]]="","",anleihenkäufe[[#This Row],[Gewinn gesamt]]/anleihenkäufe[[#This Row],[Dirty Kaufpreis]])</f>
        <v/>
      </c>
    </row>
    <row r="3" spans="1:26" ht="14.25" x14ac:dyDescent="0.2">
      <c r="A3" s="9">
        <v>45378</v>
      </c>
      <c r="B3" s="1" t="s">
        <v>123</v>
      </c>
      <c r="C3" s="1" t="s">
        <v>1</v>
      </c>
      <c r="D3" s="4">
        <f t="shared" si="0"/>
        <v>1994.3495890410959</v>
      </c>
      <c r="E3" s="4">
        <f t="shared" si="1"/>
        <v>1988.8</v>
      </c>
      <c r="F3" s="1">
        <v>2</v>
      </c>
      <c r="G3" s="1">
        <v>1000</v>
      </c>
      <c r="H3" s="7">
        <v>0.99439999999999995</v>
      </c>
      <c r="I3" s="4">
        <f t="shared" si="2"/>
        <v>5.5495890410958841</v>
      </c>
      <c r="J3" s="7">
        <v>8.4399999999999906E-2</v>
      </c>
      <c r="K3" s="58">
        <v>1</v>
      </c>
      <c r="L3" s="1" t="s">
        <v>925</v>
      </c>
      <c r="M3" s="1">
        <v>4</v>
      </c>
      <c r="N3" s="9">
        <v>45366</v>
      </c>
      <c r="O3" s="1" t="s">
        <v>102</v>
      </c>
      <c r="P3" s="1" t="s">
        <v>91</v>
      </c>
      <c r="Q3" s="1" t="s">
        <v>124</v>
      </c>
      <c r="R3" s="1" t="s">
        <v>125</v>
      </c>
      <c r="S3" s="1" t="b">
        <v>0</v>
      </c>
      <c r="T3" s="9">
        <v>45434</v>
      </c>
      <c r="U3" s="4">
        <v>2029.4476712328767</v>
      </c>
      <c r="V3" s="4">
        <v>9.200000000000097</v>
      </c>
      <c r="W3" s="4">
        <v>25.898071232876674</v>
      </c>
      <c r="X3" s="4">
        <v>-7.815970093361102E-14</v>
      </c>
      <c r="Y3" s="4">
        <f>IF(anleihenkäufe[[#This Row],[Verkauft am]]="","",anleihenkäufe[[#This Row],[Gewinn aus Kursänderung]]+anleihenkäufe[[#This Row],[Gewinn aus Zinsen]]+anleihenkäufe[[#This Row],[Gewinn aus Währungseffekten]])</f>
        <v>35.098071232876691</v>
      </c>
      <c r="Z3" s="156">
        <f>IF(anleihenkäufe[[#This Row],[Verkauft am]]="","",anleihenkäufe[[#This Row],[Gewinn gesamt]]/anleihenkäufe[[#This Row],[Dirty Kaufpreis]])</f>
        <v>1.7598755717523031E-2</v>
      </c>
    </row>
    <row r="4" spans="1:26" ht="14.25" x14ac:dyDescent="0.2">
      <c r="A4" s="9">
        <v>45378</v>
      </c>
      <c r="B4" s="1" t="s">
        <v>132</v>
      </c>
      <c r="C4" s="1" t="s">
        <v>2</v>
      </c>
      <c r="D4" s="4">
        <f t="shared" si="0"/>
        <v>1551.8917260273954</v>
      </c>
      <c r="E4" s="4">
        <f t="shared" si="1"/>
        <v>1517.5999999999981</v>
      </c>
      <c r="F4" s="1">
        <v>2</v>
      </c>
      <c r="G4" s="1">
        <v>1000</v>
      </c>
      <c r="H4" s="7">
        <v>0.75879999999999903</v>
      </c>
      <c r="I4" s="4">
        <f t="shared" si="2"/>
        <v>34.29172602739726</v>
      </c>
      <c r="J4" s="7">
        <v>8.6919999999999997E-2</v>
      </c>
      <c r="K4" s="58">
        <v>1</v>
      </c>
      <c r="L4" s="1" t="s">
        <v>925</v>
      </c>
      <c r="M4" s="1">
        <v>4</v>
      </c>
      <c r="N4" s="9">
        <v>45306</v>
      </c>
      <c r="O4" s="1" t="s">
        <v>56</v>
      </c>
      <c r="P4" s="1" t="s">
        <v>52</v>
      </c>
      <c r="Q4" s="1" t="s">
        <v>133</v>
      </c>
      <c r="R4" s="1" t="s">
        <v>134</v>
      </c>
      <c r="S4" s="1" t="b">
        <v>1</v>
      </c>
      <c r="T4" s="9"/>
      <c r="U4" s="4"/>
      <c r="V4" s="4"/>
      <c r="W4" s="4"/>
      <c r="X4" s="4"/>
      <c r="Y4" s="4" t="str">
        <f>IF(anleihenkäufe[[#This Row],[Verkauft am]]="","",anleihenkäufe[[#This Row],[Gewinn aus Kursänderung]]+anleihenkäufe[[#This Row],[Gewinn aus Zinsen]]+anleihenkäufe[[#This Row],[Gewinn aus Währungseffekten]])</f>
        <v/>
      </c>
      <c r="Z4" s="156" t="str">
        <f>IF(anleihenkäufe[[#This Row],[Verkauft am]]="","",anleihenkäufe[[#This Row],[Gewinn gesamt]]/anleihenkäufe[[#This Row],[Dirty Kaufpreis]])</f>
        <v/>
      </c>
    </row>
    <row r="5" spans="1:26" ht="14.25" x14ac:dyDescent="0.2">
      <c r="A5" s="9">
        <v>45378</v>
      </c>
      <c r="B5" s="1" t="s">
        <v>47</v>
      </c>
      <c r="C5" s="1" t="s">
        <v>0</v>
      </c>
      <c r="D5" s="4">
        <f t="shared" si="0"/>
        <v>1147.7878904109589</v>
      </c>
      <c r="E5" s="4">
        <f t="shared" si="1"/>
        <v>1120</v>
      </c>
      <c r="F5" s="1">
        <v>2</v>
      </c>
      <c r="G5" s="1">
        <v>1000</v>
      </c>
      <c r="H5" s="7">
        <v>0.56000000000000005</v>
      </c>
      <c r="I5" s="4">
        <f t="shared" si="2"/>
        <v>27.787890410958905</v>
      </c>
      <c r="J5" s="7">
        <v>8.8969999999999994E-2</v>
      </c>
      <c r="K5" s="58">
        <v>1</v>
      </c>
      <c r="L5" s="1" t="s">
        <v>925</v>
      </c>
      <c r="M5" s="1">
        <v>4</v>
      </c>
      <c r="N5" s="9">
        <v>45321</v>
      </c>
      <c r="O5" s="1" t="s">
        <v>35</v>
      </c>
      <c r="P5" s="1" t="s">
        <v>39</v>
      </c>
      <c r="Q5" s="1" t="s">
        <v>48</v>
      </c>
      <c r="R5" s="1" t="s">
        <v>49</v>
      </c>
      <c r="S5" s="1" t="b">
        <v>1</v>
      </c>
      <c r="T5" s="9"/>
      <c r="U5" s="4"/>
      <c r="V5" s="4"/>
      <c r="W5" s="4"/>
      <c r="X5" s="4"/>
      <c r="Y5" s="4" t="str">
        <f>IF(anleihenkäufe[[#This Row],[Verkauft am]]="","",anleihenkäufe[[#This Row],[Gewinn aus Kursänderung]]+anleihenkäufe[[#This Row],[Gewinn aus Zinsen]]+anleihenkäufe[[#This Row],[Gewinn aus Währungseffekten]])</f>
        <v/>
      </c>
      <c r="Z5" s="156" t="str">
        <f>IF(anleihenkäufe[[#This Row],[Verkauft am]]="","",anleihenkäufe[[#This Row],[Gewinn gesamt]]/anleihenkäufe[[#This Row],[Dirty Kaufpreis]])</f>
        <v/>
      </c>
    </row>
    <row r="6" spans="1:26" ht="14.25" x14ac:dyDescent="0.2">
      <c r="A6" s="9">
        <v>45378</v>
      </c>
      <c r="B6" s="1" t="s">
        <v>55</v>
      </c>
      <c r="C6" s="1" t="s">
        <v>4</v>
      </c>
      <c r="D6" s="4">
        <f t="shared" si="0"/>
        <v>1775.2876712328766</v>
      </c>
      <c r="E6" s="4">
        <f t="shared" si="1"/>
        <v>1760</v>
      </c>
      <c r="F6" s="1">
        <v>2</v>
      </c>
      <c r="G6" s="1">
        <v>1000</v>
      </c>
      <c r="H6" s="7">
        <v>0.88</v>
      </c>
      <c r="I6" s="4">
        <f t="shared" si="2"/>
        <v>15.287671232876713</v>
      </c>
      <c r="J6" s="7">
        <v>0.09</v>
      </c>
      <c r="K6" s="58">
        <v>1</v>
      </c>
      <c r="L6" s="1" t="s">
        <v>925</v>
      </c>
      <c r="M6" s="1">
        <v>2</v>
      </c>
      <c r="N6" s="9">
        <v>45347</v>
      </c>
      <c r="O6" s="1" t="s">
        <v>56</v>
      </c>
      <c r="P6" s="1" t="s">
        <v>57</v>
      </c>
      <c r="Q6" s="1" t="s">
        <v>58</v>
      </c>
      <c r="R6" s="1" t="s">
        <v>59</v>
      </c>
      <c r="S6" s="1" t="b">
        <v>0</v>
      </c>
      <c r="T6" s="9">
        <v>45397</v>
      </c>
      <c r="U6" s="4">
        <v>84.457534246575349</v>
      </c>
      <c r="V6" s="4">
        <v>-1700.2</v>
      </c>
      <c r="W6" s="4">
        <v>9.3735328767122397</v>
      </c>
      <c r="X6" s="4">
        <v>0</v>
      </c>
      <c r="Y6" s="4">
        <f>IF(anleihenkäufe[[#This Row],[Verkauft am]]="","",anleihenkäufe[[#This Row],[Gewinn aus Kursänderung]]+anleihenkäufe[[#This Row],[Gewinn aus Zinsen]]+anleihenkäufe[[#This Row],[Gewinn aus Währungseffekten]])</f>
        <v>-1690.8264671232878</v>
      </c>
      <c r="Z6" s="156">
        <f>IF(anleihenkäufe[[#This Row],[Verkauft am]]="","",anleihenkäufe[[#This Row],[Gewinn gesamt]]/anleihenkäufe[[#This Row],[Dirty Kaufpreis]])</f>
        <v>-0.95242393360906208</v>
      </c>
    </row>
    <row r="7" spans="1:26" ht="14.25" x14ac:dyDescent="0.2">
      <c r="A7" s="9">
        <v>45378</v>
      </c>
      <c r="B7" s="1" t="s">
        <v>97</v>
      </c>
      <c r="C7" s="1" t="s">
        <v>0</v>
      </c>
      <c r="D7" s="4">
        <f t="shared" si="0"/>
        <v>1221.6821917808218</v>
      </c>
      <c r="E7" s="4">
        <f t="shared" si="1"/>
        <v>1215.5999999999999</v>
      </c>
      <c r="F7" s="1">
        <v>2</v>
      </c>
      <c r="G7" s="1">
        <v>1000</v>
      </c>
      <c r="H7" s="7">
        <v>0.60780000000000001</v>
      </c>
      <c r="I7" s="4">
        <f t="shared" si="2"/>
        <v>6.0821917808219181</v>
      </c>
      <c r="J7" s="7">
        <v>9.2499999999999999E-2</v>
      </c>
      <c r="K7" s="58">
        <v>1</v>
      </c>
      <c r="L7" s="1" t="s">
        <v>925</v>
      </c>
      <c r="M7" s="1">
        <v>2</v>
      </c>
      <c r="N7" s="9">
        <v>45366</v>
      </c>
      <c r="O7" s="1" t="s">
        <v>98</v>
      </c>
      <c r="P7" s="1" t="s">
        <v>52</v>
      </c>
      <c r="Q7" s="1" t="s">
        <v>99</v>
      </c>
      <c r="R7" s="1" t="s">
        <v>100</v>
      </c>
      <c r="S7" s="1" t="b">
        <v>1</v>
      </c>
      <c r="T7" s="9"/>
      <c r="U7" s="4"/>
      <c r="V7" s="4"/>
      <c r="W7" s="4"/>
      <c r="X7" s="4"/>
      <c r="Y7" s="4" t="str">
        <f>IF(anleihenkäufe[[#This Row],[Verkauft am]]="","",anleihenkäufe[[#This Row],[Gewinn aus Kursänderung]]+anleihenkäufe[[#This Row],[Gewinn aus Zinsen]]+anleihenkäufe[[#This Row],[Gewinn aus Währungseffekten]])</f>
        <v/>
      </c>
      <c r="Z7" s="156" t="str">
        <f>IF(anleihenkäufe[[#This Row],[Verkauft am]]="","",anleihenkäufe[[#This Row],[Gewinn gesamt]]/anleihenkäufe[[#This Row],[Dirty Kaufpreis]])</f>
        <v/>
      </c>
    </row>
    <row r="8" spans="1:26" ht="14.25" x14ac:dyDescent="0.2">
      <c r="A8" s="9">
        <v>45378</v>
      </c>
      <c r="B8" s="1" t="s">
        <v>150</v>
      </c>
      <c r="C8" s="1" t="s">
        <v>3</v>
      </c>
      <c r="D8" s="4">
        <f t="shared" si="0"/>
        <v>1516.1095890410959</v>
      </c>
      <c r="E8" s="4">
        <f t="shared" si="1"/>
        <v>1360</v>
      </c>
      <c r="F8" s="1">
        <v>2</v>
      </c>
      <c r="G8" s="1">
        <v>1000</v>
      </c>
      <c r="H8" s="7">
        <v>0.68</v>
      </c>
      <c r="I8" s="4">
        <f t="shared" si="2"/>
        <v>156.10958904109589</v>
      </c>
      <c r="J8" s="7">
        <v>9.2499999999999999E-2</v>
      </c>
      <c r="K8" s="58">
        <v>1</v>
      </c>
      <c r="L8" s="1" t="s">
        <v>925</v>
      </c>
      <c r="M8" s="1">
        <v>1</v>
      </c>
      <c r="N8" s="9">
        <v>45070</v>
      </c>
      <c r="O8" s="1" t="s">
        <v>56</v>
      </c>
      <c r="P8" s="1" t="s">
        <v>39</v>
      </c>
      <c r="Q8" s="1" t="s">
        <v>151</v>
      </c>
      <c r="R8" s="1" t="s">
        <v>152</v>
      </c>
      <c r="S8" s="1" t="b">
        <v>1</v>
      </c>
      <c r="T8" s="9"/>
      <c r="U8" s="4"/>
      <c r="V8" s="4"/>
      <c r="W8" s="4"/>
      <c r="X8" s="4"/>
      <c r="Y8" s="4" t="str">
        <f>IF(anleihenkäufe[[#This Row],[Verkauft am]]="","",anleihenkäufe[[#This Row],[Gewinn aus Kursänderung]]+anleihenkäufe[[#This Row],[Gewinn aus Zinsen]]+anleihenkäufe[[#This Row],[Gewinn aus Währungseffekten]])</f>
        <v/>
      </c>
      <c r="Z8" s="156" t="str">
        <f>IF(anleihenkäufe[[#This Row],[Verkauft am]]="","",anleihenkäufe[[#This Row],[Gewinn gesamt]]/anleihenkäufe[[#This Row],[Dirty Kaufpreis]])</f>
        <v/>
      </c>
    </row>
    <row r="9" spans="1:26" ht="14.25" x14ac:dyDescent="0.2">
      <c r="A9" s="9">
        <v>45378</v>
      </c>
      <c r="B9" s="1" t="s">
        <v>90</v>
      </c>
      <c r="C9" s="1" t="s">
        <v>0</v>
      </c>
      <c r="D9" s="4">
        <f t="shared" si="0"/>
        <v>1359.0816986301368</v>
      </c>
      <c r="E9" s="4">
        <f t="shared" si="1"/>
        <v>1337.3999999999999</v>
      </c>
      <c r="F9" s="1">
        <v>2</v>
      </c>
      <c r="G9" s="1">
        <v>1000</v>
      </c>
      <c r="H9" s="7">
        <v>0.66869999999999996</v>
      </c>
      <c r="I9" s="4">
        <f t="shared" si="2"/>
        <v>21.681698630136989</v>
      </c>
      <c r="J9" s="7">
        <v>9.6509999999999999E-2</v>
      </c>
      <c r="K9" s="58">
        <v>1</v>
      </c>
      <c r="L9" s="1" t="s">
        <v>925</v>
      </c>
      <c r="M9" s="1">
        <v>4</v>
      </c>
      <c r="N9" s="9">
        <v>45337</v>
      </c>
      <c r="O9" s="1" t="s">
        <v>35</v>
      </c>
      <c r="P9" s="1" t="s">
        <v>91</v>
      </c>
      <c r="Q9" s="1" t="s">
        <v>92</v>
      </c>
      <c r="R9" s="1" t="s">
        <v>93</v>
      </c>
      <c r="S9" s="1" t="b">
        <v>1</v>
      </c>
      <c r="T9" s="9"/>
      <c r="U9" s="4"/>
      <c r="V9" s="4"/>
      <c r="W9" s="4"/>
      <c r="X9" s="4"/>
      <c r="Y9" s="4" t="str">
        <f>IF(anleihenkäufe[[#This Row],[Verkauft am]]="","",anleihenkäufe[[#This Row],[Gewinn aus Kursänderung]]+anleihenkäufe[[#This Row],[Gewinn aus Zinsen]]+anleihenkäufe[[#This Row],[Gewinn aus Währungseffekten]])</f>
        <v/>
      </c>
      <c r="Z9" s="156" t="str">
        <f>IF(anleihenkäufe[[#This Row],[Verkauft am]]="","",anleihenkäufe[[#This Row],[Gewinn gesamt]]/anleihenkäufe[[#This Row],[Dirty Kaufpreis]])</f>
        <v/>
      </c>
    </row>
    <row r="10" spans="1:26" ht="14.25" x14ac:dyDescent="0.2">
      <c r="A10" s="9">
        <v>45378</v>
      </c>
      <c r="B10" s="1" t="s">
        <v>141</v>
      </c>
      <c r="C10" s="1" t="s">
        <v>10</v>
      </c>
      <c r="D10" s="4">
        <f t="shared" si="0"/>
        <v>2068.8832328767121</v>
      </c>
      <c r="E10" s="4">
        <f t="shared" si="1"/>
        <v>2029.6599999999999</v>
      </c>
      <c r="F10" s="1">
        <v>2</v>
      </c>
      <c r="G10" s="1">
        <v>1000</v>
      </c>
      <c r="H10" s="7">
        <v>1.0148299999999999</v>
      </c>
      <c r="I10" s="4">
        <f t="shared" si="2"/>
        <v>39.223232876712324</v>
      </c>
      <c r="J10" s="7">
        <v>9.9419999999999994E-2</v>
      </c>
      <c r="K10" s="58">
        <v>1</v>
      </c>
      <c r="L10" s="1" t="s">
        <v>925</v>
      </c>
      <c r="M10" s="1">
        <v>4</v>
      </c>
      <c r="N10" s="9">
        <v>45306</v>
      </c>
      <c r="O10" s="1" t="s">
        <v>56</v>
      </c>
      <c r="P10" s="1" t="s">
        <v>91</v>
      </c>
      <c r="Q10" s="1" t="s">
        <v>142</v>
      </c>
      <c r="R10" s="1" t="s">
        <v>143</v>
      </c>
      <c r="S10" s="1" t="b">
        <v>1</v>
      </c>
      <c r="T10" s="9"/>
      <c r="U10" s="4"/>
      <c r="V10" s="4"/>
      <c r="W10" s="4"/>
      <c r="X10" s="4"/>
      <c r="Y10" s="4" t="str">
        <f>IF(anleihenkäufe[[#This Row],[Verkauft am]]="","",anleihenkäufe[[#This Row],[Gewinn aus Kursänderung]]+anleihenkäufe[[#This Row],[Gewinn aus Zinsen]]+anleihenkäufe[[#This Row],[Gewinn aus Währungseffekten]])</f>
        <v/>
      </c>
      <c r="Z10" s="156" t="str">
        <f>IF(anleihenkäufe[[#This Row],[Verkauft am]]="","",anleihenkäufe[[#This Row],[Gewinn gesamt]]/anleihenkäufe[[#This Row],[Dirty Kaufpreis]])</f>
        <v/>
      </c>
    </row>
    <row r="11" spans="1:26" ht="14.25" x14ac:dyDescent="0.2">
      <c r="A11" s="9">
        <v>45378</v>
      </c>
      <c r="B11" s="1" t="s">
        <v>84</v>
      </c>
      <c r="C11" s="1" t="s">
        <v>0</v>
      </c>
      <c r="D11" s="4">
        <f t="shared" si="0"/>
        <v>1401.78</v>
      </c>
      <c r="E11" s="4">
        <f t="shared" si="1"/>
        <v>1371.2</v>
      </c>
      <c r="F11" s="1">
        <v>2</v>
      </c>
      <c r="G11" s="1">
        <v>1000</v>
      </c>
      <c r="H11" s="7">
        <v>0.68559999999999999</v>
      </c>
      <c r="I11" s="4">
        <f t="shared" si="2"/>
        <v>30.580000000000002</v>
      </c>
      <c r="J11" s="7">
        <v>0.10147</v>
      </c>
      <c r="K11" s="58">
        <v>1</v>
      </c>
      <c r="L11" s="1" t="s">
        <v>925</v>
      </c>
      <c r="M11" s="1">
        <v>4</v>
      </c>
      <c r="N11" s="9">
        <v>45323</v>
      </c>
      <c r="O11" s="1" t="s">
        <v>35</v>
      </c>
      <c r="P11" s="1" t="s">
        <v>52</v>
      </c>
      <c r="Q11" s="1" t="s">
        <v>85</v>
      </c>
      <c r="R11" s="1" t="s">
        <v>86</v>
      </c>
      <c r="S11" s="1" t="b">
        <v>1</v>
      </c>
      <c r="T11" s="9"/>
      <c r="U11" s="4"/>
      <c r="V11" s="4"/>
      <c r="W11" s="4"/>
      <c r="X11" s="4"/>
      <c r="Y11" s="4" t="str">
        <f>IF(anleihenkäufe[[#This Row],[Verkauft am]]="","",anleihenkäufe[[#This Row],[Gewinn aus Kursänderung]]+anleihenkäufe[[#This Row],[Gewinn aus Zinsen]]+anleihenkäufe[[#This Row],[Gewinn aus Währungseffekten]])</f>
        <v/>
      </c>
      <c r="Z11" s="156" t="str">
        <f>IF(anleihenkäufe[[#This Row],[Verkauft am]]="","",anleihenkäufe[[#This Row],[Gewinn gesamt]]/anleihenkäufe[[#This Row],[Dirty Kaufpreis]])</f>
        <v/>
      </c>
    </row>
    <row r="12" spans="1:26" ht="14.25" x14ac:dyDescent="0.2">
      <c r="A12" s="9">
        <v>45378</v>
      </c>
      <c r="B12" s="1" t="s">
        <v>42</v>
      </c>
      <c r="C12" s="1" t="s">
        <v>5</v>
      </c>
      <c r="D12" s="4">
        <f t="shared" si="0"/>
        <v>2058.3863013698633</v>
      </c>
      <c r="E12" s="4">
        <f t="shared" si="1"/>
        <v>1955.4</v>
      </c>
      <c r="F12" s="1">
        <v>2</v>
      </c>
      <c r="G12" s="1">
        <v>1000</v>
      </c>
      <c r="H12" s="7">
        <v>0.97770000000000001</v>
      </c>
      <c r="I12" s="4">
        <f t="shared" si="2"/>
        <v>102.98630136986301</v>
      </c>
      <c r="J12" s="7">
        <v>0.105</v>
      </c>
      <c r="K12" s="58">
        <v>1</v>
      </c>
      <c r="L12" s="1" t="s">
        <v>925</v>
      </c>
      <c r="M12" s="1">
        <v>2</v>
      </c>
      <c r="N12" s="9">
        <v>45199</v>
      </c>
      <c r="O12" s="1" t="s">
        <v>43</v>
      </c>
      <c r="P12" s="1" t="s">
        <v>44</v>
      </c>
      <c r="Q12" s="1" t="s">
        <v>45</v>
      </c>
      <c r="R12" s="1" t="s">
        <v>46</v>
      </c>
      <c r="S12" s="1" t="b">
        <v>0</v>
      </c>
      <c r="T12" s="9">
        <v>45412</v>
      </c>
      <c r="U12" s="4">
        <v>1990.6109589041096</v>
      </c>
      <c r="V12" s="4">
        <v>16.799999999999926</v>
      </c>
      <c r="W12" s="4">
        <v>20.424658904109592</v>
      </c>
      <c r="X12" s="4">
        <v>-7.1054273576010019E-14</v>
      </c>
      <c r="Y12" s="4">
        <f>IF(anleihenkäufe[[#This Row],[Verkauft am]]="","",anleihenkäufe[[#This Row],[Gewinn aus Kursänderung]]+anleihenkäufe[[#This Row],[Gewinn aus Zinsen]]+anleihenkäufe[[#This Row],[Gewinn aus Währungseffekten]])</f>
        <v>37.224658904109447</v>
      </c>
      <c r="Z12" s="156">
        <f>IF(anleihenkäufe[[#This Row],[Verkauft am]]="","",anleihenkäufe[[#This Row],[Gewinn gesamt]]/anleihenkäufe[[#This Row],[Dirty Kaufpreis]])</f>
        <v>1.808438915442466E-2</v>
      </c>
    </row>
    <row r="13" spans="1:26" ht="14.25" x14ac:dyDescent="0.2">
      <c r="A13" s="9">
        <v>45378</v>
      </c>
      <c r="B13" s="1" t="s">
        <v>87</v>
      </c>
      <c r="C13" s="1" t="s">
        <v>8</v>
      </c>
      <c r="D13" s="4">
        <f t="shared" si="0"/>
        <v>1872.6164383561643</v>
      </c>
      <c r="E13" s="4">
        <f t="shared" si="1"/>
        <v>1845</v>
      </c>
      <c r="F13" s="1">
        <v>2</v>
      </c>
      <c r="G13" s="1">
        <v>1000</v>
      </c>
      <c r="H13" s="7">
        <v>0.92249999999999999</v>
      </c>
      <c r="I13" s="4">
        <f t="shared" si="2"/>
        <v>27.616438356164384</v>
      </c>
      <c r="J13" s="7">
        <v>0.105</v>
      </c>
      <c r="K13" s="58">
        <v>1</v>
      </c>
      <c r="L13" s="1" t="s">
        <v>925</v>
      </c>
      <c r="M13" s="1">
        <v>4</v>
      </c>
      <c r="N13" s="9">
        <v>45330</v>
      </c>
      <c r="O13" s="1" t="s">
        <v>56</v>
      </c>
      <c r="P13" s="1" t="s">
        <v>52</v>
      </c>
      <c r="Q13" s="1" t="s">
        <v>88</v>
      </c>
      <c r="R13" s="1" t="s">
        <v>89</v>
      </c>
      <c r="S13" s="1" t="b">
        <v>1</v>
      </c>
      <c r="T13" s="9"/>
      <c r="U13" s="4"/>
      <c r="V13" s="4"/>
      <c r="W13" s="4"/>
      <c r="X13" s="4"/>
      <c r="Y13" s="4" t="str">
        <f>IF(anleihenkäufe[[#This Row],[Verkauft am]]="","",anleihenkäufe[[#This Row],[Gewinn aus Kursänderung]]+anleihenkäufe[[#This Row],[Gewinn aus Zinsen]]+anleihenkäufe[[#This Row],[Gewinn aus Währungseffekten]])</f>
        <v/>
      </c>
      <c r="Z13" s="156" t="str">
        <f>IF(anleihenkäufe[[#This Row],[Verkauft am]]="","",anleihenkäufe[[#This Row],[Gewinn gesamt]]/anleihenkäufe[[#This Row],[Dirty Kaufpreis]])</f>
        <v/>
      </c>
    </row>
    <row r="14" spans="1:26" ht="14.25" x14ac:dyDescent="0.2">
      <c r="A14" s="9">
        <v>45378</v>
      </c>
      <c r="B14" s="1" t="s">
        <v>101</v>
      </c>
      <c r="C14" s="1" t="s">
        <v>0</v>
      </c>
      <c r="D14" s="4">
        <f t="shared" si="0"/>
        <v>1719.1935342465752</v>
      </c>
      <c r="E14" s="4">
        <f t="shared" si="1"/>
        <v>1695.6</v>
      </c>
      <c r="F14" s="1">
        <v>2</v>
      </c>
      <c r="G14" s="1">
        <v>1000</v>
      </c>
      <c r="H14" s="7">
        <v>0.8478</v>
      </c>
      <c r="I14" s="4">
        <f t="shared" si="2"/>
        <v>23.593534246575341</v>
      </c>
      <c r="J14" s="7">
        <v>0.10502</v>
      </c>
      <c r="K14" s="58">
        <v>1</v>
      </c>
      <c r="L14" s="1" t="s">
        <v>925</v>
      </c>
      <c r="M14" s="1">
        <v>4</v>
      </c>
      <c r="N14" s="9">
        <v>45337</v>
      </c>
      <c r="O14" s="1" t="s">
        <v>102</v>
      </c>
      <c r="P14" s="1" t="s">
        <v>57</v>
      </c>
      <c r="Q14" s="1" t="s">
        <v>103</v>
      </c>
      <c r="R14" s="1" t="s">
        <v>104</v>
      </c>
      <c r="S14" s="1" t="b">
        <v>1</v>
      </c>
      <c r="T14" s="9"/>
      <c r="U14" s="4"/>
      <c r="V14" s="4"/>
      <c r="W14" s="4"/>
      <c r="X14" s="4"/>
      <c r="Y14" s="4" t="str">
        <f>IF(anleihenkäufe[[#This Row],[Verkauft am]]="","",anleihenkäufe[[#This Row],[Gewinn aus Kursänderung]]+anleihenkäufe[[#This Row],[Gewinn aus Zinsen]]+anleihenkäufe[[#This Row],[Gewinn aus Währungseffekten]])</f>
        <v/>
      </c>
      <c r="Z14" s="156" t="str">
        <f>IF(anleihenkäufe[[#This Row],[Verkauft am]]="","",anleihenkäufe[[#This Row],[Gewinn gesamt]]/anleihenkäufe[[#This Row],[Dirty Kaufpreis]])</f>
        <v/>
      </c>
    </row>
    <row r="15" spans="1:26" ht="14.25" x14ac:dyDescent="0.2">
      <c r="A15" s="9">
        <v>45378</v>
      </c>
      <c r="B15" s="1" t="s">
        <v>50</v>
      </c>
      <c r="C15" s="1" t="s">
        <v>8</v>
      </c>
      <c r="D15" s="4">
        <f t="shared" si="0"/>
        <v>2003.9701369863012</v>
      </c>
      <c r="E15" s="4">
        <f t="shared" si="1"/>
        <v>1954.3999999999999</v>
      </c>
      <c r="F15" s="1">
        <v>2</v>
      </c>
      <c r="G15" s="1">
        <v>1000</v>
      </c>
      <c r="H15" s="7">
        <v>0.97719999999999996</v>
      </c>
      <c r="I15" s="4">
        <f t="shared" si="2"/>
        <v>49.570136986301364</v>
      </c>
      <c r="J15" s="7">
        <v>0.10643</v>
      </c>
      <c r="K15" s="58">
        <v>1</v>
      </c>
      <c r="L15" s="1" t="s">
        <v>925</v>
      </c>
      <c r="M15" s="1">
        <v>4</v>
      </c>
      <c r="N15" s="9">
        <v>45293</v>
      </c>
      <c r="O15" s="1" t="s">
        <v>51</v>
      </c>
      <c r="P15" s="1" t="s">
        <v>52</v>
      </c>
      <c r="Q15" s="1" t="s">
        <v>53</v>
      </c>
      <c r="R15" s="1" t="s">
        <v>54</v>
      </c>
      <c r="S15" s="1" t="b">
        <v>1</v>
      </c>
      <c r="T15" s="9"/>
      <c r="U15" s="4"/>
      <c r="V15" s="4"/>
      <c r="W15" s="4"/>
      <c r="X15" s="4"/>
      <c r="Y15" s="4" t="str">
        <f>IF(anleihenkäufe[[#This Row],[Verkauft am]]="","",anleihenkäufe[[#This Row],[Gewinn aus Kursänderung]]+anleihenkäufe[[#This Row],[Gewinn aus Zinsen]]+anleihenkäufe[[#This Row],[Gewinn aus Währungseffekten]])</f>
        <v/>
      </c>
      <c r="Z15" s="156" t="str">
        <f>IF(anleihenkäufe[[#This Row],[Verkauft am]]="","",anleihenkäufe[[#This Row],[Gewinn gesamt]]/anleihenkäufe[[#This Row],[Dirty Kaufpreis]])</f>
        <v/>
      </c>
    </row>
    <row r="16" spans="1:26" ht="14.25" x14ac:dyDescent="0.2">
      <c r="A16" s="9">
        <v>45378</v>
      </c>
      <c r="B16" s="1" t="s">
        <v>74</v>
      </c>
      <c r="C16" s="1" t="s">
        <v>4</v>
      </c>
      <c r="D16" s="4">
        <f t="shared" si="0"/>
        <v>2113.7315068493149</v>
      </c>
      <c r="E16" s="4">
        <f t="shared" si="1"/>
        <v>2077.7999999999997</v>
      </c>
      <c r="F16" s="1">
        <v>2</v>
      </c>
      <c r="G16" s="1">
        <v>1000</v>
      </c>
      <c r="H16" s="7">
        <v>1.0388999999999999</v>
      </c>
      <c r="I16" s="4">
        <f t="shared" si="2"/>
        <v>35.93150684931507</v>
      </c>
      <c r="J16" s="7">
        <v>0.1075</v>
      </c>
      <c r="K16" s="58">
        <v>1</v>
      </c>
      <c r="L16" s="1" t="s">
        <v>925</v>
      </c>
      <c r="M16" s="1">
        <v>1</v>
      </c>
      <c r="N16" s="9">
        <v>45317</v>
      </c>
      <c r="O16" s="1" t="s">
        <v>75</v>
      </c>
      <c r="P16" s="1" t="s">
        <v>39</v>
      </c>
      <c r="Q16" s="1" t="s">
        <v>76</v>
      </c>
      <c r="R16" s="1" t="s">
        <v>77</v>
      </c>
      <c r="S16" s="1" t="b">
        <v>0</v>
      </c>
      <c r="T16" s="9">
        <v>45448</v>
      </c>
      <c r="U16" s="4">
        <v>2073.0410958904108</v>
      </c>
      <c r="V16" s="4">
        <v>-77.799999999999869</v>
      </c>
      <c r="W16" s="4">
        <v>37.109595890410958</v>
      </c>
      <c r="X16" s="4">
        <v>-1.4210854715202004E-13</v>
      </c>
      <c r="Y16" s="4">
        <f>IF(anleihenkäufe[[#This Row],[Verkauft am]]="","",anleihenkäufe[[#This Row],[Gewinn aus Kursänderung]]+anleihenkäufe[[#This Row],[Gewinn aus Zinsen]]+anleihenkäufe[[#This Row],[Gewinn aus Währungseffekten]])</f>
        <v>-40.690404109589053</v>
      </c>
      <c r="Z16" s="156">
        <f>IF(anleihenkäufe[[#This Row],[Verkauft am]]="","",anleihenkäufe[[#This Row],[Gewinn gesamt]]/anleihenkäufe[[#This Row],[Dirty Kaufpreis]])</f>
        <v>-1.9250507445120756E-2</v>
      </c>
    </row>
    <row r="17" spans="1:26" ht="14.25" x14ac:dyDescent="0.2">
      <c r="A17" s="9">
        <v>45378</v>
      </c>
      <c r="B17" s="1" t="s">
        <v>105</v>
      </c>
      <c r="C17" s="1" t="s">
        <v>0</v>
      </c>
      <c r="D17" s="4">
        <f t="shared" si="0"/>
        <v>1924.4739726027397</v>
      </c>
      <c r="E17" s="4">
        <f t="shared" si="1"/>
        <v>1820.2</v>
      </c>
      <c r="F17" s="1">
        <v>20</v>
      </c>
      <c r="G17" s="1">
        <v>100</v>
      </c>
      <c r="H17" s="7">
        <v>0.91010000000000002</v>
      </c>
      <c r="I17" s="4">
        <f t="shared" si="2"/>
        <v>104.27397260273972</v>
      </c>
      <c r="J17" s="7">
        <v>0.11</v>
      </c>
      <c r="K17" s="58">
        <v>1</v>
      </c>
      <c r="L17" s="1" t="s">
        <v>925</v>
      </c>
      <c r="M17" s="1">
        <v>2</v>
      </c>
      <c r="N17" s="9">
        <v>45205</v>
      </c>
      <c r="O17" s="1" t="s">
        <v>35</v>
      </c>
      <c r="P17" s="1" t="s">
        <v>52</v>
      </c>
      <c r="Q17" s="1" t="s">
        <v>106</v>
      </c>
      <c r="R17" s="1" t="s">
        <v>107</v>
      </c>
      <c r="S17" s="1" t="b">
        <v>1</v>
      </c>
      <c r="T17" s="9"/>
      <c r="U17" s="4"/>
      <c r="V17" s="4"/>
      <c r="W17" s="4"/>
      <c r="X17" s="4"/>
      <c r="Y17" s="4" t="str">
        <f>IF(anleihenkäufe[[#This Row],[Verkauft am]]="","",anleihenkäufe[[#This Row],[Gewinn aus Kursänderung]]+anleihenkäufe[[#This Row],[Gewinn aus Zinsen]]+anleihenkäufe[[#This Row],[Gewinn aus Währungseffekten]])</f>
        <v/>
      </c>
      <c r="Z17" s="156" t="str">
        <f>IF(anleihenkäufe[[#This Row],[Verkauft am]]="","",anleihenkäufe[[#This Row],[Gewinn gesamt]]/anleihenkäufe[[#This Row],[Dirty Kaufpreis]])</f>
        <v/>
      </c>
    </row>
    <row r="18" spans="1:26" ht="14.25" x14ac:dyDescent="0.2">
      <c r="A18" s="9">
        <v>45378</v>
      </c>
      <c r="B18" s="1" t="s">
        <v>94</v>
      </c>
      <c r="C18" s="1" t="s">
        <v>9</v>
      </c>
      <c r="D18" s="4">
        <f t="shared" si="0"/>
        <v>1427.4882191780819</v>
      </c>
      <c r="E18" s="4">
        <f t="shared" si="1"/>
        <v>1399.9999999999998</v>
      </c>
      <c r="F18" s="1">
        <v>200000</v>
      </c>
      <c r="G18" s="1">
        <v>0.01</v>
      </c>
      <c r="H18" s="7">
        <v>0.7</v>
      </c>
      <c r="I18" s="4">
        <f t="shared" si="2"/>
        <v>27.48821917808219</v>
      </c>
      <c r="J18" s="7">
        <v>0.11148</v>
      </c>
      <c r="K18" s="58">
        <v>1</v>
      </c>
      <c r="L18" s="1" t="s">
        <v>925</v>
      </c>
      <c r="M18" s="1">
        <v>4</v>
      </c>
      <c r="N18" s="9">
        <v>45333</v>
      </c>
      <c r="O18" s="1" t="s">
        <v>75</v>
      </c>
      <c r="P18" s="1" t="s">
        <v>39</v>
      </c>
      <c r="Q18" s="1" t="s">
        <v>95</v>
      </c>
      <c r="R18" s="1" t="s">
        <v>96</v>
      </c>
      <c r="S18" s="1" t="b">
        <v>1</v>
      </c>
      <c r="T18" s="9"/>
      <c r="U18" s="4"/>
      <c r="V18" s="4"/>
      <c r="W18" s="4"/>
      <c r="X18" s="4"/>
      <c r="Y18" s="4" t="str">
        <f>IF(anleihenkäufe[[#This Row],[Verkauft am]]="","",anleihenkäufe[[#This Row],[Gewinn aus Kursänderung]]+anleihenkäufe[[#This Row],[Gewinn aus Zinsen]]+anleihenkäufe[[#This Row],[Gewinn aus Währungseffekten]])</f>
        <v/>
      </c>
      <c r="Z18" s="156" t="str">
        <f>IF(anleihenkäufe[[#This Row],[Verkauft am]]="","",anleihenkäufe[[#This Row],[Gewinn gesamt]]/anleihenkäufe[[#This Row],[Dirty Kaufpreis]])</f>
        <v/>
      </c>
    </row>
    <row r="19" spans="1:26" ht="14.25" x14ac:dyDescent="0.2">
      <c r="A19" s="9">
        <v>45378</v>
      </c>
      <c r="B19" s="1" t="s">
        <v>79</v>
      </c>
      <c r="C19" s="1" t="s">
        <v>8</v>
      </c>
      <c r="D19" s="4">
        <f t="shared" si="0"/>
        <v>2525.6405479452055</v>
      </c>
      <c r="E19" s="4">
        <f t="shared" si="1"/>
        <v>2518.75</v>
      </c>
      <c r="F19" s="1">
        <v>1</v>
      </c>
      <c r="G19" s="1">
        <v>2500</v>
      </c>
      <c r="H19" s="7">
        <v>1.0075000000000001</v>
      </c>
      <c r="I19" s="4">
        <f t="shared" si="2"/>
        <v>6.890547945205479</v>
      </c>
      <c r="J19" s="7">
        <v>0.11178</v>
      </c>
      <c r="K19" s="58">
        <v>1</v>
      </c>
      <c r="L19" s="1" t="s">
        <v>925</v>
      </c>
      <c r="M19" s="1">
        <v>4</v>
      </c>
      <c r="N19" s="9">
        <v>45369</v>
      </c>
      <c r="O19" s="1" t="s">
        <v>80</v>
      </c>
      <c r="P19" s="1" t="s">
        <v>81</v>
      </c>
      <c r="Q19" s="1" t="s">
        <v>82</v>
      </c>
      <c r="R19" s="1" t="s">
        <v>83</v>
      </c>
      <c r="S19" s="1" t="b">
        <v>1</v>
      </c>
      <c r="T19" s="9"/>
      <c r="U19" s="4"/>
      <c r="V19" s="4"/>
      <c r="W19" s="4"/>
      <c r="X19" s="4"/>
      <c r="Y19" s="4" t="str">
        <f>IF(anleihenkäufe[[#This Row],[Verkauft am]]="","",anleihenkäufe[[#This Row],[Gewinn aus Kursänderung]]+anleihenkäufe[[#This Row],[Gewinn aus Zinsen]]+anleihenkäufe[[#This Row],[Gewinn aus Währungseffekten]])</f>
        <v/>
      </c>
      <c r="Z19" s="156" t="str">
        <f>IF(anleihenkäufe[[#This Row],[Verkauft am]]="","",anleihenkäufe[[#This Row],[Gewinn gesamt]]/anleihenkäufe[[#This Row],[Dirty Kaufpreis]])</f>
        <v/>
      </c>
    </row>
    <row r="20" spans="1:26" ht="14.25" x14ac:dyDescent="0.2">
      <c r="A20" s="9">
        <v>45378</v>
      </c>
      <c r="B20" s="1" t="s">
        <v>34</v>
      </c>
      <c r="C20" s="1" t="s">
        <v>0</v>
      </c>
      <c r="D20" s="4">
        <f t="shared" si="0"/>
        <v>2040.3424657534247</v>
      </c>
      <c r="E20" s="4">
        <f t="shared" si="1"/>
        <v>2020</v>
      </c>
      <c r="F20" s="1">
        <v>2</v>
      </c>
      <c r="G20" s="1">
        <v>1000</v>
      </c>
      <c r="H20" s="7">
        <v>1.01</v>
      </c>
      <c r="I20" s="4">
        <f t="shared" si="2"/>
        <v>20.342465753424658</v>
      </c>
      <c r="J20" s="7">
        <v>0.1125</v>
      </c>
      <c r="K20" s="58">
        <v>1</v>
      </c>
      <c r="L20" s="1" t="s">
        <v>925</v>
      </c>
      <c r="M20" s="1">
        <v>4</v>
      </c>
      <c r="N20" s="9">
        <v>45345</v>
      </c>
      <c r="O20" s="1" t="s">
        <v>35</v>
      </c>
      <c r="P20" s="1" t="s">
        <v>39</v>
      </c>
      <c r="Q20" s="1" t="s">
        <v>36</v>
      </c>
      <c r="R20" s="1" t="s">
        <v>37</v>
      </c>
      <c r="S20" s="1" t="b">
        <v>1</v>
      </c>
      <c r="T20" s="9"/>
      <c r="U20" s="4"/>
      <c r="V20" s="4"/>
      <c r="W20" s="4"/>
      <c r="X20" s="4"/>
      <c r="Y20" s="4" t="str">
        <f>IF(anleihenkäufe[[#This Row],[Verkauft am]]="","",anleihenkäufe[[#This Row],[Gewinn aus Kursänderung]]+anleihenkäufe[[#This Row],[Gewinn aus Zinsen]]+anleihenkäufe[[#This Row],[Gewinn aus Währungseffekten]])</f>
        <v/>
      </c>
      <c r="Z20" s="156" t="str">
        <f>IF(anleihenkäufe[[#This Row],[Verkauft am]]="","",anleihenkäufe[[#This Row],[Gewinn gesamt]]/anleihenkäufe[[#This Row],[Dirty Kaufpreis]])</f>
        <v/>
      </c>
    </row>
    <row r="21" spans="1:26" ht="14.25" x14ac:dyDescent="0.2">
      <c r="A21" s="9">
        <v>45378</v>
      </c>
      <c r="B21" s="1" t="s">
        <v>135</v>
      </c>
      <c r="C21" s="1" t="s">
        <v>3</v>
      </c>
      <c r="D21" s="4">
        <f t="shared" si="0"/>
        <v>2069.6095342465751</v>
      </c>
      <c r="E21" s="4">
        <f t="shared" si="1"/>
        <v>2064.6</v>
      </c>
      <c r="F21" s="1">
        <v>2</v>
      </c>
      <c r="G21" s="1">
        <v>1000</v>
      </c>
      <c r="H21" s="7">
        <v>1.0323</v>
      </c>
      <c r="I21" s="4">
        <f t="shared" si="2"/>
        <v>5.0095342465753427</v>
      </c>
      <c r="J21" s="7">
        <v>0.11428000000000001</v>
      </c>
      <c r="K21" s="58">
        <v>1</v>
      </c>
      <c r="L21" s="1" t="s">
        <v>925</v>
      </c>
      <c r="M21" s="1">
        <v>4</v>
      </c>
      <c r="N21" s="9">
        <v>45370</v>
      </c>
      <c r="O21" s="1" t="s">
        <v>116</v>
      </c>
      <c r="P21" s="1" t="s">
        <v>52</v>
      </c>
      <c r="Q21" s="1" t="s">
        <v>136</v>
      </c>
      <c r="R21" s="1" t="s">
        <v>137</v>
      </c>
      <c r="S21" s="1" t="b">
        <v>1</v>
      </c>
      <c r="T21" s="9"/>
      <c r="U21" s="4"/>
      <c r="V21" s="4"/>
      <c r="W21" s="4"/>
      <c r="X21" s="4"/>
      <c r="Y21" s="4" t="str">
        <f>IF(anleihenkäufe[[#This Row],[Verkauft am]]="","",anleihenkäufe[[#This Row],[Gewinn aus Kursänderung]]+anleihenkäufe[[#This Row],[Gewinn aus Zinsen]]+anleihenkäufe[[#This Row],[Gewinn aus Währungseffekten]])</f>
        <v/>
      </c>
      <c r="Z21" s="156" t="str">
        <f>IF(anleihenkäufe[[#This Row],[Verkauft am]]="","",anleihenkäufe[[#This Row],[Gewinn gesamt]]/anleihenkäufe[[#This Row],[Dirty Kaufpreis]])</f>
        <v/>
      </c>
    </row>
    <row r="22" spans="1:26" ht="14.25" x14ac:dyDescent="0.2">
      <c r="A22" s="9">
        <v>45378</v>
      </c>
      <c r="B22" s="1" t="s">
        <v>38</v>
      </c>
      <c r="C22" s="1" t="s">
        <v>9</v>
      </c>
      <c r="D22" s="4">
        <f t="shared" si="0"/>
        <v>2075.1193424657536</v>
      </c>
      <c r="E22" s="4">
        <f t="shared" si="1"/>
        <v>2020</v>
      </c>
      <c r="F22" s="1">
        <v>2</v>
      </c>
      <c r="G22" s="1">
        <v>1000</v>
      </c>
      <c r="H22" s="7">
        <v>1.01</v>
      </c>
      <c r="I22" s="4">
        <f t="shared" si="2"/>
        <v>55.119342465753419</v>
      </c>
      <c r="J22" s="7">
        <v>0.11430999999999999</v>
      </c>
      <c r="K22" s="58">
        <v>1</v>
      </c>
      <c r="L22" s="1" t="s">
        <v>925</v>
      </c>
      <c r="M22" s="1">
        <v>4</v>
      </c>
      <c r="N22" s="9">
        <v>45290</v>
      </c>
      <c r="O22" s="1" t="s">
        <v>35</v>
      </c>
      <c r="P22" s="1" t="s">
        <v>39</v>
      </c>
      <c r="Q22" s="1" t="s">
        <v>40</v>
      </c>
      <c r="R22" s="1" t="s">
        <v>41</v>
      </c>
      <c r="S22" s="1" t="b">
        <v>1</v>
      </c>
      <c r="T22" s="9"/>
      <c r="U22" s="4"/>
      <c r="V22" s="4"/>
      <c r="W22" s="4"/>
      <c r="X22" s="4"/>
      <c r="Y22" s="4" t="str">
        <f>IF(anleihenkäufe[[#This Row],[Verkauft am]]="","",anleihenkäufe[[#This Row],[Gewinn aus Kursänderung]]+anleihenkäufe[[#This Row],[Gewinn aus Zinsen]]+anleihenkäufe[[#This Row],[Gewinn aus Währungseffekten]])</f>
        <v/>
      </c>
      <c r="Z22" s="156" t="str">
        <f>IF(anleihenkäufe[[#This Row],[Verkauft am]]="","",anleihenkäufe[[#This Row],[Gewinn gesamt]]/anleihenkäufe[[#This Row],[Dirty Kaufpreis]])</f>
        <v/>
      </c>
    </row>
    <row r="23" spans="1:26" ht="14.25" x14ac:dyDescent="0.2">
      <c r="A23" s="9">
        <v>45378</v>
      </c>
      <c r="B23" s="1" t="s">
        <v>112</v>
      </c>
      <c r="C23" s="1" t="s">
        <v>9</v>
      </c>
      <c r="D23" s="4">
        <f t="shared" si="0"/>
        <v>1887.6602739726009</v>
      </c>
      <c r="E23" s="4">
        <f t="shared" si="1"/>
        <v>1871.9999999999982</v>
      </c>
      <c r="F23" s="1">
        <v>2</v>
      </c>
      <c r="G23" s="1">
        <v>1000</v>
      </c>
      <c r="H23" s="7">
        <v>0.93599999999999905</v>
      </c>
      <c r="I23" s="4">
        <f t="shared" si="2"/>
        <v>15.66027397260274</v>
      </c>
      <c r="J23" s="7">
        <v>0.11432</v>
      </c>
      <c r="K23" s="58">
        <v>1</v>
      </c>
      <c r="L23" s="1" t="s">
        <v>925</v>
      </c>
      <c r="M23" s="1">
        <v>4</v>
      </c>
      <c r="N23" s="9">
        <v>45353</v>
      </c>
      <c r="O23" s="1" t="s">
        <v>56</v>
      </c>
      <c r="P23" s="1" t="s">
        <v>52</v>
      </c>
      <c r="Q23" s="1" t="s">
        <v>113</v>
      </c>
      <c r="R23" s="1" t="s">
        <v>114</v>
      </c>
      <c r="S23" s="1" t="b">
        <v>1</v>
      </c>
      <c r="T23" s="9"/>
      <c r="U23" s="4"/>
      <c r="V23" s="4"/>
      <c r="W23" s="4"/>
      <c r="X23" s="4"/>
      <c r="Y23" s="4" t="str">
        <f>IF(anleihenkäufe[[#This Row],[Verkauft am]]="","",anleihenkäufe[[#This Row],[Gewinn aus Kursänderung]]+anleihenkäufe[[#This Row],[Gewinn aus Zinsen]]+anleihenkäufe[[#This Row],[Gewinn aus Währungseffekten]])</f>
        <v/>
      </c>
      <c r="Z23" s="156" t="str">
        <f>IF(anleihenkäufe[[#This Row],[Verkauft am]]="","",anleihenkäufe[[#This Row],[Gewinn gesamt]]/anleihenkäufe[[#This Row],[Dirty Kaufpreis]])</f>
        <v/>
      </c>
    </row>
    <row r="24" spans="1:26" ht="14.25" x14ac:dyDescent="0.2">
      <c r="A24" s="9">
        <v>45378</v>
      </c>
      <c r="B24" s="1" t="s">
        <v>60</v>
      </c>
      <c r="C24" s="1" t="s">
        <v>8</v>
      </c>
      <c r="D24" s="4">
        <f t="shared" si="0"/>
        <v>2065.3561643835596</v>
      </c>
      <c r="E24" s="4">
        <f t="shared" si="1"/>
        <v>1990.9999999999982</v>
      </c>
      <c r="F24" s="1">
        <v>2</v>
      </c>
      <c r="G24" s="1">
        <v>1000</v>
      </c>
      <c r="H24" s="7">
        <v>0.99549999999999905</v>
      </c>
      <c r="I24" s="4">
        <f t="shared" si="2"/>
        <v>74.356164383561648</v>
      </c>
      <c r="J24" s="7">
        <v>0.115</v>
      </c>
      <c r="K24" s="58">
        <v>1</v>
      </c>
      <c r="L24" s="1" t="s">
        <v>925</v>
      </c>
      <c r="M24" s="1">
        <v>2</v>
      </c>
      <c r="N24" s="9">
        <v>45260</v>
      </c>
      <c r="O24" s="1" t="s">
        <v>56</v>
      </c>
      <c r="P24" s="1" t="s">
        <v>61</v>
      </c>
      <c r="Q24" s="1" t="s">
        <v>62</v>
      </c>
      <c r="R24" s="1" t="s">
        <v>63</v>
      </c>
      <c r="S24" s="1" t="b">
        <v>1</v>
      </c>
      <c r="T24" s="9"/>
      <c r="U24" s="4"/>
      <c r="V24" s="4"/>
      <c r="W24" s="4"/>
      <c r="X24" s="4"/>
      <c r="Y24" s="4" t="str">
        <f>IF(anleihenkäufe[[#This Row],[Verkauft am]]="","",anleihenkäufe[[#This Row],[Gewinn aus Kursänderung]]+anleihenkäufe[[#This Row],[Gewinn aus Zinsen]]+anleihenkäufe[[#This Row],[Gewinn aus Währungseffekten]])</f>
        <v/>
      </c>
      <c r="Z24" s="156" t="str">
        <f>IF(anleihenkäufe[[#This Row],[Verkauft am]]="","",anleihenkäufe[[#This Row],[Gewinn gesamt]]/anleihenkäufe[[#This Row],[Dirty Kaufpreis]])</f>
        <v/>
      </c>
    </row>
    <row r="25" spans="1:26" ht="14.25" x14ac:dyDescent="0.2">
      <c r="A25" s="9">
        <v>45378</v>
      </c>
      <c r="B25" s="1" t="s">
        <v>144</v>
      </c>
      <c r="C25" s="1" t="s">
        <v>1</v>
      </c>
      <c r="D25" s="4">
        <f t="shared" si="0"/>
        <v>2289.8630136986303</v>
      </c>
      <c r="E25" s="4">
        <f t="shared" si="1"/>
        <v>2280</v>
      </c>
      <c r="F25" s="1">
        <v>2000</v>
      </c>
      <c r="G25" s="1">
        <v>1</v>
      </c>
      <c r="H25" s="7">
        <v>1.1399999999999999</v>
      </c>
      <c r="I25" s="4">
        <f t="shared" si="2"/>
        <v>9.8630136986301373</v>
      </c>
      <c r="J25" s="7">
        <v>0.12</v>
      </c>
      <c r="K25" s="58">
        <v>1</v>
      </c>
      <c r="L25" s="1" t="s">
        <v>925</v>
      </c>
      <c r="M25" s="1">
        <v>4</v>
      </c>
      <c r="N25" s="9">
        <v>45363</v>
      </c>
      <c r="O25" s="1" t="s">
        <v>51</v>
      </c>
      <c r="P25" s="1" t="s">
        <v>39</v>
      </c>
      <c r="Q25" s="1" t="s">
        <v>145</v>
      </c>
      <c r="R25" s="1" t="s">
        <v>146</v>
      </c>
      <c r="S25" s="1" t="b">
        <v>1</v>
      </c>
      <c r="T25" s="9"/>
      <c r="U25" s="4"/>
      <c r="V25" s="4"/>
      <c r="W25" s="4"/>
      <c r="X25" s="4"/>
      <c r="Y25" s="4" t="str">
        <f>IF(anleihenkäufe[[#This Row],[Verkauft am]]="","",anleihenkäufe[[#This Row],[Gewinn aus Kursänderung]]+anleihenkäufe[[#This Row],[Gewinn aus Zinsen]]+anleihenkäufe[[#This Row],[Gewinn aus Währungseffekten]])</f>
        <v/>
      </c>
      <c r="Z25" s="156" t="str">
        <f>IF(anleihenkäufe[[#This Row],[Verkauft am]]="","",anleihenkäufe[[#This Row],[Gewinn gesamt]]/anleihenkäufe[[#This Row],[Dirty Kaufpreis]])</f>
        <v/>
      </c>
    </row>
    <row r="26" spans="1:26" ht="14.25" x14ac:dyDescent="0.2">
      <c r="A26" s="9">
        <v>45378</v>
      </c>
      <c r="B26" s="1" t="s">
        <v>126</v>
      </c>
      <c r="C26" s="1" t="s">
        <v>0</v>
      </c>
      <c r="D26" s="4">
        <f t="shared" si="0"/>
        <v>2037.8630136986301</v>
      </c>
      <c r="E26" s="4">
        <f t="shared" si="1"/>
        <v>1980</v>
      </c>
      <c r="F26" s="1">
        <v>2000</v>
      </c>
      <c r="G26" s="1">
        <v>1</v>
      </c>
      <c r="H26" s="7">
        <v>0.99</v>
      </c>
      <c r="I26" s="4">
        <f t="shared" si="2"/>
        <v>57.863013698630134</v>
      </c>
      <c r="J26" s="7">
        <v>0.12</v>
      </c>
      <c r="K26" s="58">
        <v>1</v>
      </c>
      <c r="L26" s="1" t="s">
        <v>925</v>
      </c>
      <c r="M26" s="1">
        <v>4</v>
      </c>
      <c r="N26" s="9">
        <v>45290</v>
      </c>
      <c r="O26" s="1" t="s">
        <v>65</v>
      </c>
      <c r="P26" s="1" t="s">
        <v>39</v>
      </c>
      <c r="Q26" s="1" t="s">
        <v>127</v>
      </c>
      <c r="R26" s="1" t="s">
        <v>128</v>
      </c>
      <c r="S26" s="1" t="b">
        <v>1</v>
      </c>
      <c r="T26" s="9"/>
      <c r="U26" s="4"/>
      <c r="V26" s="4"/>
      <c r="W26" s="4"/>
      <c r="X26" s="4"/>
      <c r="Y26" s="4" t="str">
        <f>IF(anleihenkäufe[[#This Row],[Verkauft am]]="","",anleihenkäufe[[#This Row],[Gewinn aus Kursänderung]]+anleihenkäufe[[#This Row],[Gewinn aus Zinsen]]+anleihenkäufe[[#This Row],[Gewinn aus Währungseffekten]])</f>
        <v/>
      </c>
      <c r="Z26" s="156" t="str">
        <f>IF(anleihenkäufe[[#This Row],[Verkauft am]]="","",anleihenkäufe[[#This Row],[Gewinn gesamt]]/anleihenkäufe[[#This Row],[Dirty Kaufpreis]])</f>
        <v/>
      </c>
    </row>
    <row r="27" spans="1:26" ht="14.25" x14ac:dyDescent="0.2">
      <c r="A27" s="9">
        <v>45378</v>
      </c>
      <c r="B27" s="1" t="s">
        <v>138</v>
      </c>
      <c r="C27" s="1" t="s">
        <v>4</v>
      </c>
      <c r="D27" s="4">
        <f t="shared" si="0"/>
        <v>2170.2630136986304</v>
      </c>
      <c r="E27" s="4">
        <f t="shared" si="1"/>
        <v>2112.4</v>
      </c>
      <c r="F27" s="1">
        <v>2</v>
      </c>
      <c r="G27" s="1">
        <v>1000</v>
      </c>
      <c r="H27" s="7">
        <v>1.0562</v>
      </c>
      <c r="I27" s="4">
        <f t="shared" si="2"/>
        <v>57.863013698630134</v>
      </c>
      <c r="J27" s="7">
        <v>0.12</v>
      </c>
      <c r="K27" s="58">
        <v>1</v>
      </c>
      <c r="L27" s="1" t="s">
        <v>925</v>
      </c>
      <c r="M27" s="1">
        <v>2</v>
      </c>
      <c r="N27" s="9">
        <v>45290</v>
      </c>
      <c r="O27" s="1" t="s">
        <v>98</v>
      </c>
      <c r="P27" s="1" t="s">
        <v>39</v>
      </c>
      <c r="Q27" s="1" t="s">
        <v>139</v>
      </c>
      <c r="R27" s="1" t="s">
        <v>140</v>
      </c>
      <c r="S27" s="1" t="b">
        <v>1</v>
      </c>
      <c r="T27" s="9"/>
      <c r="U27" s="4"/>
      <c r="V27" s="4"/>
      <c r="W27" s="4"/>
      <c r="X27" s="4"/>
      <c r="Y27" s="4" t="str">
        <f>IF(anleihenkäufe[[#This Row],[Verkauft am]]="","",anleihenkäufe[[#This Row],[Gewinn aus Kursänderung]]+anleihenkäufe[[#This Row],[Gewinn aus Zinsen]]+anleihenkäufe[[#This Row],[Gewinn aus Währungseffekten]])</f>
        <v/>
      </c>
      <c r="Z27" s="156" t="str">
        <f>IF(anleihenkäufe[[#This Row],[Verkauft am]]="","",anleihenkäufe[[#This Row],[Gewinn gesamt]]/anleihenkäufe[[#This Row],[Dirty Kaufpreis]])</f>
        <v/>
      </c>
    </row>
    <row r="28" spans="1:26" ht="14.25" x14ac:dyDescent="0.2">
      <c r="A28" s="9">
        <v>45378</v>
      </c>
      <c r="B28" s="1" t="s">
        <v>129</v>
      </c>
      <c r="C28" s="1" t="s">
        <v>4</v>
      </c>
      <c r="D28" s="4">
        <f t="shared" si="0"/>
        <v>2115.0410958904108</v>
      </c>
      <c r="E28" s="4">
        <f t="shared" si="1"/>
        <v>1998</v>
      </c>
      <c r="F28" s="1">
        <v>2</v>
      </c>
      <c r="G28" s="1">
        <v>1000</v>
      </c>
      <c r="H28" s="7">
        <v>0.999</v>
      </c>
      <c r="I28" s="4">
        <f t="shared" si="2"/>
        <v>117.04109589041096</v>
      </c>
      <c r="J28" s="7">
        <v>0.12</v>
      </c>
      <c r="K28" s="58">
        <v>1</v>
      </c>
      <c r="L28" s="1" t="s">
        <v>925</v>
      </c>
      <c r="M28" s="1">
        <v>2</v>
      </c>
      <c r="N28" s="9">
        <v>45200</v>
      </c>
      <c r="O28" s="1" t="s">
        <v>56</v>
      </c>
      <c r="P28" s="1" t="s">
        <v>39</v>
      </c>
      <c r="Q28" s="1" t="s">
        <v>130</v>
      </c>
      <c r="R28" s="1" t="s">
        <v>131</v>
      </c>
      <c r="S28" s="1" t="b">
        <v>1</v>
      </c>
      <c r="T28" s="9"/>
      <c r="U28" s="4"/>
      <c r="V28" s="4"/>
      <c r="W28" s="4"/>
      <c r="X28" s="4"/>
      <c r="Y28" s="4" t="str">
        <f>IF(anleihenkäufe[[#This Row],[Verkauft am]]="","",anleihenkäufe[[#This Row],[Gewinn aus Kursänderung]]+anleihenkäufe[[#This Row],[Gewinn aus Zinsen]]+anleihenkäufe[[#This Row],[Gewinn aus Währungseffekten]])</f>
        <v/>
      </c>
      <c r="Z28" s="156" t="str">
        <f>IF(anleihenkäufe[[#This Row],[Verkauft am]]="","",anleihenkäufe[[#This Row],[Gewinn gesamt]]/anleihenkäufe[[#This Row],[Dirty Kaufpreis]])</f>
        <v/>
      </c>
    </row>
    <row r="29" spans="1:26" ht="14.25" x14ac:dyDescent="0.2">
      <c r="A29" s="9">
        <v>45378</v>
      </c>
      <c r="B29" s="1" t="s">
        <v>147</v>
      </c>
      <c r="C29" s="1" t="s">
        <v>1</v>
      </c>
      <c r="D29" s="4">
        <f t="shared" si="0"/>
        <v>2100.1054794520546</v>
      </c>
      <c r="E29" s="4">
        <f t="shared" si="1"/>
        <v>2040</v>
      </c>
      <c r="F29" s="1">
        <v>2</v>
      </c>
      <c r="G29" s="1">
        <v>1000</v>
      </c>
      <c r="H29" s="7">
        <v>1.02</v>
      </c>
      <c r="I29" s="4">
        <f t="shared" si="2"/>
        <v>60.105479452054794</v>
      </c>
      <c r="J29" s="7">
        <v>0.12325</v>
      </c>
      <c r="K29" s="58">
        <v>1</v>
      </c>
      <c r="L29" s="1" t="s">
        <v>925</v>
      </c>
      <c r="M29" s="1">
        <v>4</v>
      </c>
      <c r="N29" s="9">
        <v>45289</v>
      </c>
      <c r="O29" s="1" t="s">
        <v>56</v>
      </c>
      <c r="P29" s="1" t="s">
        <v>57</v>
      </c>
      <c r="Q29" s="1" t="s">
        <v>148</v>
      </c>
      <c r="R29" s="1" t="s">
        <v>149</v>
      </c>
      <c r="S29" s="1" t="b">
        <v>1</v>
      </c>
      <c r="T29" s="9"/>
      <c r="U29" s="4"/>
      <c r="V29" s="4"/>
      <c r="W29" s="4"/>
      <c r="X29" s="4"/>
      <c r="Y29" s="4" t="str">
        <f>IF(anleihenkäufe[[#This Row],[Verkauft am]]="","",anleihenkäufe[[#This Row],[Gewinn aus Kursänderung]]+anleihenkäufe[[#This Row],[Gewinn aus Zinsen]]+anleihenkäufe[[#This Row],[Gewinn aus Währungseffekten]])</f>
        <v/>
      </c>
      <c r="Z29" s="156" t="str">
        <f>IF(anleihenkäufe[[#This Row],[Verkauft am]]="","",anleihenkäufe[[#This Row],[Gewinn gesamt]]/anleihenkäufe[[#This Row],[Dirty Kaufpreis]])</f>
        <v/>
      </c>
    </row>
    <row r="30" spans="1:26" ht="14.25" x14ac:dyDescent="0.2">
      <c r="A30" s="9">
        <v>45378</v>
      </c>
      <c r="B30" s="1" t="s">
        <v>119</v>
      </c>
      <c r="C30" s="1" t="s">
        <v>0</v>
      </c>
      <c r="D30" s="4">
        <f t="shared" si="0"/>
        <v>2154.5242739725823</v>
      </c>
      <c r="E30" s="4">
        <f t="shared" si="1"/>
        <v>2094.7999999999797</v>
      </c>
      <c r="F30" s="1">
        <v>2</v>
      </c>
      <c r="G30" s="1">
        <v>1000</v>
      </c>
      <c r="H30" s="7">
        <v>1.0473999999999899</v>
      </c>
      <c r="I30" s="4">
        <f t="shared" si="2"/>
        <v>59.724273972602738</v>
      </c>
      <c r="J30" s="7">
        <v>0.12386</v>
      </c>
      <c r="K30" s="58">
        <v>1</v>
      </c>
      <c r="L30" s="1" t="s">
        <v>925</v>
      </c>
      <c r="M30" s="1">
        <v>4</v>
      </c>
      <c r="N30" s="9">
        <v>45290</v>
      </c>
      <c r="O30" s="1" t="s">
        <v>56</v>
      </c>
      <c r="P30" s="1" t="s">
        <v>44</v>
      </c>
      <c r="Q30" s="1" t="s">
        <v>120</v>
      </c>
      <c r="R30" s="1" t="s">
        <v>121</v>
      </c>
      <c r="S30" s="1" t="b">
        <v>1</v>
      </c>
      <c r="T30" s="9"/>
      <c r="U30" s="4"/>
      <c r="V30" s="4"/>
      <c r="W30" s="4"/>
      <c r="X30" s="4"/>
      <c r="Y30" s="4" t="str">
        <f>IF(anleihenkäufe[[#This Row],[Verkauft am]]="","",anleihenkäufe[[#This Row],[Gewinn aus Kursänderung]]+anleihenkäufe[[#This Row],[Gewinn aus Zinsen]]+anleihenkäufe[[#This Row],[Gewinn aus Währungseffekten]])</f>
        <v/>
      </c>
      <c r="Z30" s="156" t="str">
        <f>IF(anleihenkäufe[[#This Row],[Verkauft am]]="","",anleihenkäufe[[#This Row],[Gewinn gesamt]]/anleihenkäufe[[#This Row],[Dirty Kaufpreis]])</f>
        <v/>
      </c>
    </row>
    <row r="31" spans="1:26" ht="14.25" x14ac:dyDescent="0.2">
      <c r="A31" s="9">
        <v>45378</v>
      </c>
      <c r="B31" s="1" t="s">
        <v>64</v>
      </c>
      <c r="C31" s="1" t="s">
        <v>5</v>
      </c>
      <c r="D31" s="4">
        <f t="shared" si="0"/>
        <v>1260.5931506849315</v>
      </c>
      <c r="E31" s="4">
        <f t="shared" si="1"/>
        <v>1200</v>
      </c>
      <c r="F31" s="1">
        <v>2000</v>
      </c>
      <c r="G31" s="1">
        <v>1</v>
      </c>
      <c r="H31" s="7">
        <v>0.6</v>
      </c>
      <c r="I31" s="4">
        <f t="shared" si="2"/>
        <v>60.593150684931508</v>
      </c>
      <c r="J31" s="7">
        <v>0.12425</v>
      </c>
      <c r="K31" s="58">
        <v>1</v>
      </c>
      <c r="L31" s="1" t="s">
        <v>925</v>
      </c>
      <c r="M31" s="1">
        <v>4</v>
      </c>
      <c r="N31" s="9">
        <v>45289</v>
      </c>
      <c r="O31" s="1" t="s">
        <v>65</v>
      </c>
      <c r="P31" s="1" t="s">
        <v>39</v>
      </c>
      <c r="Q31" s="1" t="s">
        <v>66</v>
      </c>
      <c r="R31" s="1" t="s">
        <v>67</v>
      </c>
      <c r="S31" s="1" t="b">
        <v>1</v>
      </c>
      <c r="T31" s="9"/>
      <c r="U31" s="4"/>
      <c r="V31" s="4"/>
      <c r="W31" s="4"/>
      <c r="X31" s="4"/>
      <c r="Y31" s="4" t="str">
        <f>IF(anleihenkäufe[[#This Row],[Verkauft am]]="","",anleihenkäufe[[#This Row],[Gewinn aus Kursänderung]]+anleihenkäufe[[#This Row],[Gewinn aus Zinsen]]+anleihenkäufe[[#This Row],[Gewinn aus Währungseffekten]])</f>
        <v/>
      </c>
      <c r="Z31" s="156" t="str">
        <f>IF(anleihenkäufe[[#This Row],[Verkauft am]]="","",anleihenkäufe[[#This Row],[Gewinn gesamt]]/anleihenkäufe[[#This Row],[Dirty Kaufpreis]])</f>
        <v/>
      </c>
    </row>
    <row r="32" spans="1:26" ht="14.25" x14ac:dyDescent="0.2">
      <c r="A32" s="9">
        <v>45378</v>
      </c>
      <c r="B32" s="1" t="s">
        <v>68</v>
      </c>
      <c r="C32" s="1" t="s">
        <v>0</v>
      </c>
      <c r="D32" s="4">
        <f t="shared" si="0"/>
        <v>2004.6575342465753</v>
      </c>
      <c r="E32" s="4">
        <f t="shared" si="1"/>
        <v>1980</v>
      </c>
      <c r="F32" s="1">
        <v>2</v>
      </c>
      <c r="G32" s="1">
        <v>1000</v>
      </c>
      <c r="H32" s="7">
        <v>0.99</v>
      </c>
      <c r="I32" s="4">
        <f t="shared" si="2"/>
        <v>24.657534246575342</v>
      </c>
      <c r="J32" s="7">
        <v>0.125</v>
      </c>
      <c r="K32" s="58">
        <v>1</v>
      </c>
      <c r="L32" s="1" t="s">
        <v>925</v>
      </c>
      <c r="M32" s="1">
        <v>2</v>
      </c>
      <c r="N32" s="9">
        <v>45342</v>
      </c>
      <c r="O32" s="1" t="s">
        <v>35</v>
      </c>
      <c r="P32" s="1" t="s">
        <v>39</v>
      </c>
      <c r="Q32" s="1" t="s">
        <v>69</v>
      </c>
      <c r="R32" s="1" t="s">
        <v>70</v>
      </c>
      <c r="S32" s="1" t="b">
        <v>1</v>
      </c>
      <c r="T32" s="9"/>
      <c r="U32" s="4"/>
      <c r="V32" s="4"/>
      <c r="W32" s="4"/>
      <c r="X32" s="4"/>
      <c r="Y32" s="4" t="str">
        <f>IF(anleihenkäufe[[#This Row],[Verkauft am]]="","",anleihenkäufe[[#This Row],[Gewinn aus Kursänderung]]+anleihenkäufe[[#This Row],[Gewinn aus Zinsen]]+anleihenkäufe[[#This Row],[Gewinn aus Währungseffekten]])</f>
        <v/>
      </c>
      <c r="Z32" s="156" t="str">
        <f>IF(anleihenkäufe[[#This Row],[Verkauft am]]="","",anleihenkäufe[[#This Row],[Gewinn gesamt]]/anleihenkäufe[[#This Row],[Dirty Kaufpreis]])</f>
        <v/>
      </c>
    </row>
    <row r="33" spans="1:26" ht="14.25" x14ac:dyDescent="0.2">
      <c r="A33" s="9">
        <v>45378</v>
      </c>
      <c r="B33" s="1" t="s">
        <v>115</v>
      </c>
      <c r="C33" s="1" t="s">
        <v>0</v>
      </c>
      <c r="D33" s="4">
        <f t="shared" si="0"/>
        <v>1896.9424657534248</v>
      </c>
      <c r="E33" s="4">
        <f t="shared" si="1"/>
        <v>1878.6000000000001</v>
      </c>
      <c r="F33" s="1">
        <v>2</v>
      </c>
      <c r="G33" s="1">
        <v>1000</v>
      </c>
      <c r="H33" s="7">
        <v>0.93930000000000002</v>
      </c>
      <c r="I33" s="4">
        <f t="shared" si="2"/>
        <v>18.342465753424658</v>
      </c>
      <c r="J33" s="7">
        <v>0.12875</v>
      </c>
      <c r="K33" s="58">
        <v>1</v>
      </c>
      <c r="L33" s="1" t="s">
        <v>925</v>
      </c>
      <c r="M33" s="1">
        <v>4</v>
      </c>
      <c r="N33" s="9">
        <v>45352</v>
      </c>
      <c r="O33" s="1" t="s">
        <v>116</v>
      </c>
      <c r="P33" s="1" t="s">
        <v>61</v>
      </c>
      <c r="Q33" s="1" t="s">
        <v>117</v>
      </c>
      <c r="R33" s="1" t="s">
        <v>118</v>
      </c>
      <c r="S33" s="1" t="b">
        <v>1</v>
      </c>
      <c r="T33" s="9"/>
      <c r="U33" s="4"/>
      <c r="V33" s="4"/>
      <c r="W33" s="4"/>
      <c r="X33" s="4"/>
      <c r="Y33" s="4" t="str">
        <f>IF(anleihenkäufe[[#This Row],[Verkauft am]]="","",anleihenkäufe[[#This Row],[Gewinn aus Kursänderung]]+anleihenkäufe[[#This Row],[Gewinn aus Zinsen]]+anleihenkäufe[[#This Row],[Gewinn aus Währungseffekten]])</f>
        <v/>
      </c>
      <c r="Z33" s="156" t="str">
        <f>IF(anleihenkäufe[[#This Row],[Verkauft am]]="","",anleihenkäufe[[#This Row],[Gewinn gesamt]]/anleihenkäufe[[#This Row],[Dirty Kaufpreis]])</f>
        <v/>
      </c>
    </row>
    <row r="34" spans="1:26" ht="14.25" x14ac:dyDescent="0.2">
      <c r="A34" s="9">
        <v>45378</v>
      </c>
      <c r="B34" s="1" t="s">
        <v>71</v>
      </c>
      <c r="C34" s="1" t="s">
        <v>0</v>
      </c>
      <c r="D34" s="4">
        <f t="shared" si="0"/>
        <v>2090.6027397260268</v>
      </c>
      <c r="E34" s="4">
        <f t="shared" si="1"/>
        <v>2049.9999999999995</v>
      </c>
      <c r="F34" s="1">
        <v>20</v>
      </c>
      <c r="G34" s="1">
        <v>100</v>
      </c>
      <c r="H34" s="7">
        <v>1.0249999999999999</v>
      </c>
      <c r="I34" s="4">
        <f t="shared" si="2"/>
        <v>40.602739726027401</v>
      </c>
      <c r="J34" s="7">
        <v>0.13</v>
      </c>
      <c r="K34" s="58">
        <v>1</v>
      </c>
      <c r="L34" s="1" t="s">
        <v>925</v>
      </c>
      <c r="M34" s="1">
        <v>4</v>
      </c>
      <c r="N34" s="9">
        <v>45321</v>
      </c>
      <c r="O34" s="1" t="s">
        <v>35</v>
      </c>
      <c r="P34" s="1" t="s">
        <v>52</v>
      </c>
      <c r="Q34" s="1" t="s">
        <v>72</v>
      </c>
      <c r="R34" s="1" t="s">
        <v>73</v>
      </c>
      <c r="S34" s="1" t="b">
        <v>0</v>
      </c>
      <c r="T34" s="9">
        <v>45412</v>
      </c>
      <c r="U34" s="4">
        <v>2060.7123287671234</v>
      </c>
      <c r="V34" s="4">
        <v>10.000000000000231</v>
      </c>
      <c r="W34" s="4">
        <v>25.10962876712329</v>
      </c>
      <c r="X34" s="4">
        <v>-5.3290705182007514E-14</v>
      </c>
      <c r="Y34" s="4">
        <f>IF(anleihenkäufe[[#This Row],[Verkauft am]]="","",anleihenkäufe[[#This Row],[Gewinn aus Kursänderung]]+anleihenkäufe[[#This Row],[Gewinn aus Zinsen]]+anleihenkäufe[[#This Row],[Gewinn aus Währungseffekten]])</f>
        <v>35.109628767123468</v>
      </c>
      <c r="Z34" s="156">
        <f>IF(anleihenkäufe[[#This Row],[Verkauft am]]="","",anleihenkäufe[[#This Row],[Gewinn gesamt]]/anleihenkäufe[[#This Row],[Dirty Kaufpreis]])</f>
        <v>1.6794022173588358E-2</v>
      </c>
    </row>
    <row r="35" spans="1:26" ht="14.25" x14ac:dyDescent="0.2">
      <c r="A35" s="9">
        <v>45378</v>
      </c>
      <c r="B35" s="1" t="s">
        <v>108</v>
      </c>
      <c r="C35" s="1" t="s">
        <v>6</v>
      </c>
      <c r="D35" s="4">
        <f t="shared" si="0"/>
        <v>2050.1007123287673</v>
      </c>
      <c r="E35" s="4">
        <f t="shared" si="1"/>
        <v>1992</v>
      </c>
      <c r="F35" s="1">
        <v>2</v>
      </c>
      <c r="G35" s="1">
        <v>1000</v>
      </c>
      <c r="H35" s="7">
        <v>0.996</v>
      </c>
      <c r="I35" s="4">
        <f t="shared" si="2"/>
        <v>58.100712328767116</v>
      </c>
      <c r="J35" s="7">
        <v>0.13422000000000001</v>
      </c>
      <c r="K35" s="58">
        <v>1</v>
      </c>
      <c r="L35" s="1" t="s">
        <v>925</v>
      </c>
      <c r="M35" s="1">
        <v>4</v>
      </c>
      <c r="N35" s="9">
        <v>45299</v>
      </c>
      <c r="O35" s="1" t="s">
        <v>56</v>
      </c>
      <c r="P35" s="1" t="s">
        <v>109</v>
      </c>
      <c r="Q35" s="1" t="s">
        <v>110</v>
      </c>
      <c r="R35" s="1" t="s">
        <v>111</v>
      </c>
      <c r="S35" s="1" t="b">
        <v>1</v>
      </c>
      <c r="T35" s="9"/>
      <c r="U35" s="4"/>
      <c r="V35" s="4"/>
      <c r="W35" s="4"/>
      <c r="X35" s="4"/>
      <c r="Y35" s="4" t="str">
        <f>IF(anleihenkäufe[[#This Row],[Verkauft am]]="","",anleihenkäufe[[#This Row],[Gewinn aus Kursänderung]]+anleihenkäufe[[#This Row],[Gewinn aus Zinsen]]+anleihenkäufe[[#This Row],[Gewinn aus Währungseffekten]])</f>
        <v/>
      </c>
      <c r="Z35" s="156" t="str">
        <f>IF(anleihenkäufe[[#This Row],[Verkauft am]]="","",anleihenkäufe[[#This Row],[Gewinn gesamt]]/anleihenkäufe[[#This Row],[Dirty Kaufpreis]])</f>
        <v/>
      </c>
    </row>
    <row r="36" spans="1:26" ht="14.25" x14ac:dyDescent="0.2">
      <c r="A36" s="9">
        <v>45378</v>
      </c>
      <c r="B36" s="1" t="s">
        <v>156</v>
      </c>
      <c r="C36" s="1" t="s">
        <v>1</v>
      </c>
      <c r="D36" s="4">
        <f t="shared" si="0"/>
        <v>2066.9733698630139</v>
      </c>
      <c r="E36" s="4">
        <f t="shared" si="1"/>
        <v>2055.2000000000003</v>
      </c>
      <c r="F36" s="1">
        <v>2000</v>
      </c>
      <c r="G36" s="1">
        <v>1</v>
      </c>
      <c r="H36" s="7">
        <v>1.0276000000000001</v>
      </c>
      <c r="I36" s="4">
        <f t="shared" si="2"/>
        <v>11.773369863013697</v>
      </c>
      <c r="J36" s="7">
        <v>0.13428999999999999</v>
      </c>
      <c r="K36" s="58">
        <v>1</v>
      </c>
      <c r="L36" s="1" t="s">
        <v>925</v>
      </c>
      <c r="M36" s="1">
        <v>4</v>
      </c>
      <c r="N36" s="9">
        <v>45362</v>
      </c>
      <c r="O36" s="1" t="s">
        <v>75</v>
      </c>
      <c r="P36" s="1" t="s">
        <v>52</v>
      </c>
      <c r="Q36" s="1" t="s">
        <v>157</v>
      </c>
      <c r="R36" s="1" t="s">
        <v>158</v>
      </c>
      <c r="S36" s="1" t="b">
        <v>1</v>
      </c>
      <c r="T36" s="9"/>
      <c r="U36" s="4"/>
      <c r="V36" s="4"/>
      <c r="W36" s="4"/>
      <c r="X36" s="4"/>
      <c r="Y36" s="4" t="str">
        <f>IF(anleihenkäufe[[#This Row],[Verkauft am]]="","",anleihenkäufe[[#This Row],[Gewinn aus Kursänderung]]+anleihenkäufe[[#This Row],[Gewinn aus Zinsen]]+anleihenkäufe[[#This Row],[Gewinn aus Währungseffekten]])</f>
        <v/>
      </c>
      <c r="Z36" s="156" t="str">
        <f>IF(anleihenkäufe[[#This Row],[Verkauft am]]="","",anleihenkäufe[[#This Row],[Gewinn gesamt]]/anleihenkäufe[[#This Row],[Dirty Kaufpreis]])</f>
        <v/>
      </c>
    </row>
    <row r="37" spans="1:26" ht="14.25" x14ac:dyDescent="0.2">
      <c r="A37" s="9">
        <v>45385</v>
      </c>
      <c r="B37" s="1" t="s">
        <v>838</v>
      </c>
      <c r="C37" s="1" t="s">
        <v>10</v>
      </c>
      <c r="D37" s="4">
        <f t="shared" si="0"/>
        <v>792.05479452054783</v>
      </c>
      <c r="E37" s="4">
        <f t="shared" si="1"/>
        <v>675.99999999999989</v>
      </c>
      <c r="F37" s="1">
        <v>2</v>
      </c>
      <c r="G37" s="1">
        <v>1000</v>
      </c>
      <c r="H37" s="7">
        <v>0.33799999999999997</v>
      </c>
      <c r="I37" s="4">
        <f t="shared" si="2"/>
        <v>116.05479452054794</v>
      </c>
      <c r="J37" s="7">
        <v>0.06</v>
      </c>
      <c r="K37" s="58">
        <v>1</v>
      </c>
      <c r="L37" s="1" t="s">
        <v>925</v>
      </c>
      <c r="M37" s="1">
        <v>1</v>
      </c>
      <c r="N37" s="9">
        <v>45032</v>
      </c>
      <c r="O37" s="1" t="s">
        <v>56</v>
      </c>
      <c r="P37" s="1" t="s">
        <v>268</v>
      </c>
      <c r="Q37" s="1" t="s">
        <v>839</v>
      </c>
      <c r="R37" s="1" t="s">
        <v>840</v>
      </c>
      <c r="S37" s="1" t="b">
        <v>0</v>
      </c>
      <c r="T37" s="9">
        <v>45398</v>
      </c>
      <c r="U37" s="4">
        <v>960.32876712328766</v>
      </c>
      <c r="V37" s="4">
        <v>284.00000000000006</v>
      </c>
      <c r="W37" s="4">
        <v>4.2739726027397325</v>
      </c>
      <c r="X37" s="4">
        <v>0</v>
      </c>
      <c r="Y37" s="4">
        <f>IF(anleihenkäufe[[#This Row],[Verkauft am]]="","",anleihenkäufe[[#This Row],[Gewinn aus Kursänderung]]+anleihenkäufe[[#This Row],[Gewinn aus Zinsen]]+anleihenkäufe[[#This Row],[Gewinn aus Währungseffekten]])</f>
        <v>288.27397260273978</v>
      </c>
      <c r="Z37" s="156">
        <f>IF(anleihenkäufe[[#This Row],[Verkauft am]]="","",anleihenkäufe[[#This Row],[Gewinn gesamt]]/anleihenkäufe[[#This Row],[Dirty Kaufpreis]])</f>
        <v>0.36395710826703576</v>
      </c>
    </row>
    <row r="38" spans="1:26" ht="14.25" x14ac:dyDescent="0.2">
      <c r="A38" s="9">
        <v>45385</v>
      </c>
      <c r="B38" s="1" t="s">
        <v>847</v>
      </c>
      <c r="C38" s="1" t="s">
        <v>2</v>
      </c>
      <c r="D38" s="4">
        <f t="shared" si="0"/>
        <v>1940.6575342465753</v>
      </c>
      <c r="E38" s="4">
        <f t="shared" si="1"/>
        <v>1940</v>
      </c>
      <c r="F38" s="1">
        <v>2</v>
      </c>
      <c r="G38" s="1">
        <v>1000</v>
      </c>
      <c r="H38" s="7">
        <v>0.97</v>
      </c>
      <c r="I38" s="4">
        <f t="shared" si="2"/>
        <v>0.65753424657534243</v>
      </c>
      <c r="J38" s="7">
        <v>0.06</v>
      </c>
      <c r="K38" s="58">
        <v>1</v>
      </c>
      <c r="L38" s="1" t="s">
        <v>925</v>
      </c>
      <c r="M38" s="1">
        <v>4</v>
      </c>
      <c r="N38" s="9">
        <v>45383</v>
      </c>
      <c r="O38" s="1" t="s">
        <v>56</v>
      </c>
      <c r="P38" s="1" t="s">
        <v>57</v>
      </c>
      <c r="Q38" s="1" t="s">
        <v>851</v>
      </c>
      <c r="R38" s="1" t="s">
        <v>852</v>
      </c>
      <c r="S38" s="1" t="b">
        <v>0</v>
      </c>
      <c r="T38" s="9">
        <v>45412</v>
      </c>
      <c r="U38" s="4">
        <v>1999.8630136986301</v>
      </c>
      <c r="V38" s="4">
        <v>50.000000000000043</v>
      </c>
      <c r="W38" s="4">
        <v>9.2055136986301367</v>
      </c>
      <c r="X38" s="4">
        <v>-1.2256862191861728E-13</v>
      </c>
      <c r="Y38" s="4">
        <f>IF(anleihenkäufe[[#This Row],[Verkauft am]]="","",anleihenkäufe[[#This Row],[Gewinn aus Kursänderung]]+anleihenkäufe[[#This Row],[Gewinn aus Zinsen]]+anleihenkäufe[[#This Row],[Gewinn aus Währungseffekten]])</f>
        <v>59.205513698630057</v>
      </c>
      <c r="Z38" s="156">
        <f>IF(anleihenkäufe[[#This Row],[Verkauft am]]="","",anleihenkäufe[[#This Row],[Gewinn gesamt]]/anleihenkäufe[[#This Row],[Dirty Kaufpreis]])</f>
        <v>3.0507965807380594E-2</v>
      </c>
    </row>
    <row r="39" spans="1:26" ht="14.25" x14ac:dyDescent="0.2">
      <c r="A39" s="9">
        <v>45385</v>
      </c>
      <c r="B39" s="1" t="s">
        <v>863</v>
      </c>
      <c r="C39" s="1" t="s">
        <v>4</v>
      </c>
      <c r="D39" s="4">
        <f t="shared" si="0"/>
        <v>1991.2410958904113</v>
      </c>
      <c r="E39" s="4">
        <f t="shared" si="1"/>
        <v>1970.2000000000003</v>
      </c>
      <c r="F39" s="1">
        <v>2</v>
      </c>
      <c r="G39" s="1">
        <v>1000</v>
      </c>
      <c r="H39" s="7">
        <v>0.98510000000000009</v>
      </c>
      <c r="I39" s="4">
        <f t="shared" si="2"/>
        <v>21.041095890410958</v>
      </c>
      <c r="J39" s="7">
        <v>0.06</v>
      </c>
      <c r="K39" s="58">
        <v>1</v>
      </c>
      <c r="L39" s="1" t="s">
        <v>925</v>
      </c>
      <c r="M39" s="1">
        <v>2</v>
      </c>
      <c r="N39" s="9">
        <v>45321</v>
      </c>
      <c r="O39" s="1" t="s">
        <v>56</v>
      </c>
      <c r="P39" s="1" t="s">
        <v>52</v>
      </c>
      <c r="Q39" s="1" t="s">
        <v>864</v>
      </c>
      <c r="R39" s="1" t="s">
        <v>865</v>
      </c>
      <c r="S39" s="1" t="b">
        <v>0</v>
      </c>
      <c r="T39" s="9">
        <v>45412</v>
      </c>
      <c r="U39" s="4">
        <v>2010.8465753424657</v>
      </c>
      <c r="V39" s="4">
        <v>10.399999999999965</v>
      </c>
      <c r="W39" s="4">
        <v>9.2054753424657534</v>
      </c>
      <c r="X39" s="4">
        <v>3.3750779948604759E-14</v>
      </c>
      <c r="Y39" s="4">
        <f>IF(anleihenkäufe[[#This Row],[Verkauft am]]="","",anleihenkäufe[[#This Row],[Gewinn aus Kursänderung]]+anleihenkäufe[[#This Row],[Gewinn aus Zinsen]]+anleihenkäufe[[#This Row],[Gewinn aus Währungseffekten]])</f>
        <v>19.605475342465752</v>
      </c>
      <c r="Z39" s="156">
        <f>IF(anleihenkäufe[[#This Row],[Verkauft am]]="","",anleihenkäufe[[#This Row],[Gewinn gesamt]]/anleihenkäufe[[#This Row],[Dirty Kaufpreis]])</f>
        <v>9.8458571304741432E-3</v>
      </c>
    </row>
    <row r="40" spans="1:26" ht="14.25" x14ac:dyDescent="0.2">
      <c r="A40" s="9">
        <v>45385</v>
      </c>
      <c r="B40" s="1" t="s">
        <v>844</v>
      </c>
      <c r="C40" s="1" t="s">
        <v>3</v>
      </c>
      <c r="D40" s="4">
        <f t="shared" si="0"/>
        <v>1023.6712328767123</v>
      </c>
      <c r="E40" s="4">
        <f t="shared" si="1"/>
        <v>1000</v>
      </c>
      <c r="F40" s="1">
        <v>2</v>
      </c>
      <c r="G40" s="1">
        <v>1000</v>
      </c>
      <c r="H40" s="7">
        <v>0.5</v>
      </c>
      <c r="I40" s="4">
        <f t="shared" si="2"/>
        <v>23.671232876712327</v>
      </c>
      <c r="J40" s="7">
        <v>0.06</v>
      </c>
      <c r="K40" s="58">
        <v>1</v>
      </c>
      <c r="L40" s="1" t="s">
        <v>925</v>
      </c>
      <c r="M40" s="1">
        <v>2</v>
      </c>
      <c r="N40" s="9">
        <v>45313</v>
      </c>
      <c r="O40" s="1" t="s">
        <v>56</v>
      </c>
      <c r="P40" s="1" t="s">
        <v>39</v>
      </c>
      <c r="Q40" s="1" t="s">
        <v>845</v>
      </c>
      <c r="R40" s="1" t="s">
        <v>846</v>
      </c>
      <c r="S40" s="1" t="b">
        <v>0</v>
      </c>
      <c r="T40" s="9">
        <v>45412</v>
      </c>
      <c r="U40" s="4">
        <v>1332.8767123287671</v>
      </c>
      <c r="V40" s="4">
        <v>300.00000000000006</v>
      </c>
      <c r="W40" s="4">
        <v>9.2055123287671279</v>
      </c>
      <c r="X40" s="4">
        <v>-8.5265128291212022E-14</v>
      </c>
      <c r="Y40" s="4">
        <f>IF(anleihenkäufe[[#This Row],[Verkauft am]]="","",anleihenkäufe[[#This Row],[Gewinn aus Kursänderung]]+anleihenkäufe[[#This Row],[Gewinn aus Zinsen]]+anleihenkäufe[[#This Row],[Gewinn aus Währungseffekten]])</f>
        <v>309.2055123287671</v>
      </c>
      <c r="Z40" s="156">
        <f>IF(anleihenkäufe[[#This Row],[Verkauft am]]="","",anleihenkäufe[[#This Row],[Gewinn gesamt]]/anleihenkäufe[[#This Row],[Dirty Kaufpreis]])</f>
        <v>0.30205548656460762</v>
      </c>
    </row>
    <row r="41" spans="1:26" ht="14.25" x14ac:dyDescent="0.2">
      <c r="A41" s="9">
        <v>45385</v>
      </c>
      <c r="B41" s="1" t="s">
        <v>860</v>
      </c>
      <c r="C41" s="1" t="s">
        <v>10</v>
      </c>
      <c r="D41" s="4">
        <f t="shared" si="0"/>
        <v>1849.564383561644</v>
      </c>
      <c r="E41" s="4">
        <f t="shared" si="1"/>
        <v>1813.4</v>
      </c>
      <c r="F41" s="1">
        <v>2</v>
      </c>
      <c r="G41" s="1">
        <v>1000</v>
      </c>
      <c r="H41" s="7">
        <v>0.90670000000000006</v>
      </c>
      <c r="I41" s="4">
        <f t="shared" si="2"/>
        <v>36.164383561643838</v>
      </c>
      <c r="J41" s="7">
        <v>0.06</v>
      </c>
      <c r="K41" s="58">
        <v>1</v>
      </c>
      <c r="L41" s="1" t="s">
        <v>925</v>
      </c>
      <c r="M41" s="1">
        <v>2</v>
      </c>
      <c r="N41" s="9">
        <v>45275</v>
      </c>
      <c r="O41" s="1" t="s">
        <v>276</v>
      </c>
      <c r="P41" s="1" t="s">
        <v>52</v>
      </c>
      <c r="Q41" s="1" t="s">
        <v>861</v>
      </c>
      <c r="R41" s="1" t="s">
        <v>862</v>
      </c>
      <c r="S41" s="1" t="b">
        <v>0</v>
      </c>
      <c r="T41" s="9">
        <v>45412</v>
      </c>
      <c r="U41" s="4">
        <v>1936.3298630136987</v>
      </c>
      <c r="V41" s="4">
        <v>77.560000000000073</v>
      </c>
      <c r="W41" s="4">
        <v>9.2054630136986262</v>
      </c>
      <c r="X41" s="4">
        <v>6.3948846218409017E-14</v>
      </c>
      <c r="Y41" s="4">
        <f>IF(anleihenkäufe[[#This Row],[Verkauft am]]="","",anleihenkäufe[[#This Row],[Gewinn aus Kursänderung]]+anleihenkäufe[[#This Row],[Gewinn aus Zinsen]]+anleihenkäufe[[#This Row],[Gewinn aus Währungseffekten]])</f>
        <v>86.765463013698763</v>
      </c>
      <c r="Z41" s="156">
        <f>IF(anleihenkäufe[[#This Row],[Verkauft am]]="","",anleihenkäufe[[#This Row],[Gewinn gesamt]]/anleihenkäufe[[#This Row],[Dirty Kaufpreis]])</f>
        <v>4.6911296403003511E-2</v>
      </c>
    </row>
    <row r="42" spans="1:26" ht="14.25" x14ac:dyDescent="0.2">
      <c r="A42" s="9">
        <v>45385</v>
      </c>
      <c r="B42" s="1" t="s">
        <v>829</v>
      </c>
      <c r="C42" s="1" t="s">
        <v>1</v>
      </c>
      <c r="D42" s="4">
        <f t="shared" si="0"/>
        <v>1539.7808219178082</v>
      </c>
      <c r="E42" s="4">
        <f t="shared" si="1"/>
        <v>1500</v>
      </c>
      <c r="F42" s="1">
        <v>2</v>
      </c>
      <c r="G42" s="1">
        <v>1000</v>
      </c>
      <c r="H42" s="7">
        <v>0.75</v>
      </c>
      <c r="I42" s="4">
        <f t="shared" si="2"/>
        <v>39.780821917808218</v>
      </c>
      <c r="J42" s="7">
        <v>0.06</v>
      </c>
      <c r="K42" s="58">
        <v>1</v>
      </c>
      <c r="L42" s="1" t="s">
        <v>925</v>
      </c>
      <c r="M42" s="1">
        <v>2</v>
      </c>
      <c r="N42" s="9">
        <v>45264</v>
      </c>
      <c r="O42" s="1" t="s">
        <v>56</v>
      </c>
      <c r="P42" s="1" t="s">
        <v>268</v>
      </c>
      <c r="Q42" s="1" t="s">
        <v>830</v>
      </c>
      <c r="R42" s="1" t="s">
        <v>831</v>
      </c>
      <c r="S42" s="1" t="b">
        <v>0</v>
      </c>
      <c r="T42" s="9">
        <v>45412</v>
      </c>
      <c r="U42" s="4">
        <v>1609.186301369863</v>
      </c>
      <c r="V42" s="4">
        <v>60.200000000000031</v>
      </c>
      <c r="W42" s="4">
        <v>9.2055013698630148</v>
      </c>
      <c r="X42" s="4">
        <v>-1.4210854715202004E-14</v>
      </c>
      <c r="Y42" s="4">
        <f>IF(anleihenkäufe[[#This Row],[Verkauft am]]="","",anleihenkäufe[[#This Row],[Gewinn aus Kursänderung]]+anleihenkäufe[[#This Row],[Gewinn aus Zinsen]]+anleihenkäufe[[#This Row],[Gewinn aus Währungseffekten]])</f>
        <v>69.405501369863032</v>
      </c>
      <c r="Z42" s="156">
        <f>IF(anleihenkäufe[[#This Row],[Verkauft am]]="","",anleihenkäufe[[#This Row],[Gewinn gesamt]]/anleihenkäufe[[#This Row],[Dirty Kaufpreis]])</f>
        <v>4.5074922600619204E-2</v>
      </c>
    </row>
    <row r="43" spans="1:26" ht="14.25" x14ac:dyDescent="0.2">
      <c r="A43" s="9">
        <v>45385</v>
      </c>
      <c r="B43" s="1" t="s">
        <v>866</v>
      </c>
      <c r="C43" s="1" t="s">
        <v>10</v>
      </c>
      <c r="D43" s="4">
        <f t="shared" si="0"/>
        <v>2078.8191780821917</v>
      </c>
      <c r="E43" s="4">
        <f t="shared" si="1"/>
        <v>2022.5999999999997</v>
      </c>
      <c r="F43" s="1">
        <v>2</v>
      </c>
      <c r="G43" s="1">
        <v>1000</v>
      </c>
      <c r="H43" s="7">
        <v>1.0112999999999999</v>
      </c>
      <c r="I43" s="4">
        <f t="shared" si="2"/>
        <v>56.219178082191782</v>
      </c>
      <c r="J43" s="7">
        <v>0.06</v>
      </c>
      <c r="K43" s="58">
        <v>1</v>
      </c>
      <c r="L43" s="1" t="s">
        <v>925</v>
      </c>
      <c r="M43" s="1">
        <v>2</v>
      </c>
      <c r="N43" s="9">
        <v>45214</v>
      </c>
      <c r="O43" s="1" t="s">
        <v>56</v>
      </c>
      <c r="P43" s="1" t="s">
        <v>57</v>
      </c>
      <c r="Q43" s="1" t="s">
        <v>867</v>
      </c>
      <c r="R43" s="1" t="s">
        <v>868</v>
      </c>
      <c r="S43" s="1" t="b">
        <v>0</v>
      </c>
      <c r="T43" s="9">
        <v>45427</v>
      </c>
      <c r="U43" s="121">
        <v>2030.22</v>
      </c>
      <c r="V43" s="12">
        <v>-0.6</v>
      </c>
      <c r="W43" s="121">
        <v>12</v>
      </c>
      <c r="X43" s="121">
        <v>0</v>
      </c>
      <c r="Y43" s="4">
        <f>IF(anleihenkäufe[[#This Row],[Verkauft am]]="","",anleihenkäufe[[#This Row],[Gewinn aus Kursänderung]]+anleihenkäufe[[#This Row],[Gewinn aus Zinsen]]+anleihenkäufe[[#This Row],[Gewinn aus Währungseffekten]])</f>
        <v>11.4</v>
      </c>
      <c r="Z43" s="156">
        <f>IF(anleihenkäufe[[#This Row],[Verkauft am]]="","",anleihenkäufe[[#This Row],[Gewinn gesamt]]/anleihenkäufe[[#This Row],[Dirty Kaufpreis]])</f>
        <v>5.483882446436268E-3</v>
      </c>
    </row>
    <row r="44" spans="1:26" ht="14.25" x14ac:dyDescent="0.2">
      <c r="A44" s="9">
        <v>45385</v>
      </c>
      <c r="B44" s="1" t="s">
        <v>872</v>
      </c>
      <c r="C44" s="1" t="s">
        <v>10</v>
      </c>
      <c r="D44" s="4">
        <f t="shared" si="0"/>
        <v>2068.0575342465754</v>
      </c>
      <c r="E44" s="4">
        <f t="shared" si="1"/>
        <v>2067.4</v>
      </c>
      <c r="F44" s="1">
        <v>2</v>
      </c>
      <c r="G44" s="1">
        <v>1000</v>
      </c>
      <c r="H44" s="7">
        <v>1.0337000000000001</v>
      </c>
      <c r="I44" s="4">
        <f t="shared" si="2"/>
        <v>0.65753424657534243</v>
      </c>
      <c r="J44" s="7">
        <v>0.06</v>
      </c>
      <c r="K44" s="58">
        <v>1</v>
      </c>
      <c r="L44" s="1" t="s">
        <v>925</v>
      </c>
      <c r="M44" s="1">
        <v>2</v>
      </c>
      <c r="N44" s="9">
        <v>45383</v>
      </c>
      <c r="O44" s="1" t="s">
        <v>102</v>
      </c>
      <c r="P44" s="1" t="s">
        <v>81</v>
      </c>
      <c r="Q44" s="1" t="s">
        <v>873</v>
      </c>
      <c r="R44" s="1" t="s">
        <v>874</v>
      </c>
      <c r="S44" s="1" t="b">
        <v>1</v>
      </c>
      <c r="T44" s="9"/>
      <c r="U44" s="4"/>
      <c r="V44" s="4"/>
      <c r="W44" s="4"/>
      <c r="X44" s="4"/>
      <c r="Y44" s="4" t="str">
        <f>IF(anleihenkäufe[[#This Row],[Verkauft am]]="","",anleihenkäufe[[#This Row],[Gewinn aus Kursänderung]]+anleihenkäufe[[#This Row],[Gewinn aus Zinsen]]+anleihenkäufe[[#This Row],[Gewinn aus Währungseffekten]])</f>
        <v/>
      </c>
      <c r="Z44" s="156" t="str">
        <f>IF(anleihenkäufe[[#This Row],[Verkauft am]]="","",anleihenkäufe[[#This Row],[Gewinn gesamt]]/anleihenkäufe[[#This Row],[Dirty Kaufpreis]])</f>
        <v/>
      </c>
    </row>
    <row r="45" spans="1:26" ht="14.25" x14ac:dyDescent="0.2">
      <c r="A45" s="9">
        <v>45385</v>
      </c>
      <c r="B45" s="1" t="s">
        <v>853</v>
      </c>
      <c r="C45" s="1" t="s">
        <v>4</v>
      </c>
      <c r="D45" s="4">
        <f t="shared" si="0"/>
        <v>2000.6575342465753</v>
      </c>
      <c r="E45" s="4">
        <f t="shared" si="1"/>
        <v>2000</v>
      </c>
      <c r="F45" s="1">
        <v>2</v>
      </c>
      <c r="G45" s="1">
        <v>1000</v>
      </c>
      <c r="H45" s="7">
        <v>1</v>
      </c>
      <c r="I45" s="4">
        <f t="shared" si="2"/>
        <v>0.65753424657534243</v>
      </c>
      <c r="J45" s="7">
        <v>0.06</v>
      </c>
      <c r="K45" s="58">
        <v>1</v>
      </c>
      <c r="L45" s="1" t="s">
        <v>925</v>
      </c>
      <c r="M45" s="1">
        <v>4</v>
      </c>
      <c r="N45" s="9">
        <v>45383</v>
      </c>
      <c r="O45" s="1" t="s">
        <v>854</v>
      </c>
      <c r="P45" s="1" t="s">
        <v>61</v>
      </c>
      <c r="Q45" s="1" t="s">
        <v>855</v>
      </c>
      <c r="R45" s="1" t="s">
        <v>856</v>
      </c>
      <c r="S45" s="1" t="b">
        <v>1</v>
      </c>
      <c r="T45" s="9"/>
      <c r="U45" s="4"/>
      <c r="V45" s="4"/>
      <c r="W45" s="4"/>
      <c r="X45" s="4"/>
      <c r="Y45" s="4" t="str">
        <f>IF(anleihenkäufe[[#This Row],[Verkauft am]]="","",anleihenkäufe[[#This Row],[Gewinn aus Kursänderung]]+anleihenkäufe[[#This Row],[Gewinn aus Zinsen]]+anleihenkäufe[[#This Row],[Gewinn aus Währungseffekten]])</f>
        <v/>
      </c>
      <c r="Z45" s="156" t="str">
        <f>IF(anleihenkäufe[[#This Row],[Verkauft am]]="","",anleihenkäufe[[#This Row],[Gewinn gesamt]]/anleihenkäufe[[#This Row],[Dirty Kaufpreis]])</f>
        <v/>
      </c>
    </row>
    <row r="46" spans="1:26" ht="14.25" x14ac:dyDescent="0.2">
      <c r="A46" s="9">
        <v>45385</v>
      </c>
      <c r="B46" s="1" t="s">
        <v>832</v>
      </c>
      <c r="C46" s="1" t="s">
        <v>3</v>
      </c>
      <c r="D46" s="4">
        <f t="shared" si="0"/>
        <v>1409.5342465753424</v>
      </c>
      <c r="E46" s="4">
        <f t="shared" si="1"/>
        <v>1400</v>
      </c>
      <c r="F46" s="1">
        <v>2</v>
      </c>
      <c r="G46" s="1">
        <v>1000</v>
      </c>
      <c r="H46" s="7">
        <v>0.7</v>
      </c>
      <c r="I46" s="4">
        <f t="shared" si="2"/>
        <v>9.5342465753424666</v>
      </c>
      <c r="J46" s="7">
        <v>0.06</v>
      </c>
      <c r="K46" s="58">
        <v>1</v>
      </c>
      <c r="L46" s="1" t="s">
        <v>925</v>
      </c>
      <c r="M46" s="1">
        <v>1</v>
      </c>
      <c r="N46" s="9">
        <v>45356</v>
      </c>
      <c r="O46" s="1" t="s">
        <v>56</v>
      </c>
      <c r="P46" s="1" t="s">
        <v>81</v>
      </c>
      <c r="Q46" s="1" t="s">
        <v>833</v>
      </c>
      <c r="R46" s="1" t="s">
        <v>834</v>
      </c>
      <c r="S46" s="1" t="b">
        <v>1</v>
      </c>
      <c r="T46" s="9"/>
      <c r="U46" s="4"/>
      <c r="V46" s="4"/>
      <c r="W46" s="4"/>
      <c r="X46" s="4"/>
      <c r="Y46" s="4" t="str">
        <f>IF(anleihenkäufe[[#This Row],[Verkauft am]]="","",anleihenkäufe[[#This Row],[Gewinn aus Kursänderung]]+anleihenkäufe[[#This Row],[Gewinn aus Zinsen]]+anleihenkäufe[[#This Row],[Gewinn aus Währungseffekten]])</f>
        <v/>
      </c>
      <c r="Z46" s="156" t="str">
        <f>IF(anleihenkäufe[[#This Row],[Verkauft am]]="","",anleihenkäufe[[#This Row],[Gewinn gesamt]]/anleihenkäufe[[#This Row],[Dirty Kaufpreis]])</f>
        <v/>
      </c>
    </row>
    <row r="47" spans="1:26" ht="14.25" x14ac:dyDescent="0.2">
      <c r="A47" s="9">
        <v>45385</v>
      </c>
      <c r="B47" s="1" t="s">
        <v>835</v>
      </c>
      <c r="C47" s="1" t="s">
        <v>10</v>
      </c>
      <c r="D47" s="4">
        <f t="shared" si="0"/>
        <v>2010.8493150684931</v>
      </c>
      <c r="E47" s="4">
        <f t="shared" si="1"/>
        <v>2000</v>
      </c>
      <c r="F47" s="1">
        <v>20</v>
      </c>
      <c r="G47" s="1">
        <v>100</v>
      </c>
      <c r="H47" s="7">
        <v>1</v>
      </c>
      <c r="I47" s="4">
        <f t="shared" si="2"/>
        <v>10.849315068493151</v>
      </c>
      <c r="J47" s="7">
        <v>0.06</v>
      </c>
      <c r="K47" s="58">
        <v>1</v>
      </c>
      <c r="L47" s="1" t="s">
        <v>925</v>
      </c>
      <c r="M47" s="1">
        <v>1</v>
      </c>
      <c r="N47" s="9">
        <v>45352</v>
      </c>
      <c r="O47" s="1" t="s">
        <v>56</v>
      </c>
      <c r="P47" s="1" t="s">
        <v>39</v>
      </c>
      <c r="Q47" s="1" t="s">
        <v>836</v>
      </c>
      <c r="R47" s="1" t="s">
        <v>837</v>
      </c>
      <c r="S47" s="1" t="b">
        <v>1</v>
      </c>
      <c r="T47" s="9"/>
      <c r="U47" s="4"/>
      <c r="V47" s="4"/>
      <c r="W47" s="4"/>
      <c r="X47" s="4"/>
      <c r="Y47" s="4" t="str">
        <f>IF(anleihenkäufe[[#This Row],[Verkauft am]]="","",anleihenkäufe[[#This Row],[Gewinn aus Kursänderung]]+anleihenkäufe[[#This Row],[Gewinn aus Zinsen]]+anleihenkäufe[[#This Row],[Gewinn aus Währungseffekten]])</f>
        <v/>
      </c>
      <c r="Z47" s="156" t="str">
        <f>IF(anleihenkäufe[[#This Row],[Verkauft am]]="","",anleihenkäufe[[#This Row],[Gewinn gesamt]]/anleihenkäufe[[#This Row],[Dirty Kaufpreis]])</f>
        <v/>
      </c>
    </row>
    <row r="48" spans="1:26" ht="14.25" x14ac:dyDescent="0.2">
      <c r="A48" s="9">
        <v>45385</v>
      </c>
      <c r="B48" s="1" t="s">
        <v>869</v>
      </c>
      <c r="C48" s="1" t="s">
        <v>8</v>
      </c>
      <c r="D48" s="4">
        <f t="shared" si="0"/>
        <v>2134.391780821918</v>
      </c>
      <c r="E48" s="4">
        <f t="shared" si="1"/>
        <v>2100.2000000000003</v>
      </c>
      <c r="F48" s="1">
        <v>2</v>
      </c>
      <c r="G48" s="1">
        <v>1000</v>
      </c>
      <c r="H48" s="7">
        <v>1.0501</v>
      </c>
      <c r="I48" s="4">
        <f t="shared" si="2"/>
        <v>34.19178082191781</v>
      </c>
      <c r="J48" s="7">
        <v>0.06</v>
      </c>
      <c r="K48" s="58">
        <v>1</v>
      </c>
      <c r="L48" s="1" t="s">
        <v>925</v>
      </c>
      <c r="M48" s="1">
        <v>1</v>
      </c>
      <c r="N48" s="9">
        <v>45281</v>
      </c>
      <c r="O48" s="1" t="s">
        <v>51</v>
      </c>
      <c r="P48" s="1" t="s">
        <v>39</v>
      </c>
      <c r="Q48" s="1" t="s">
        <v>870</v>
      </c>
      <c r="R48" s="1" t="s">
        <v>871</v>
      </c>
      <c r="S48" s="1" t="b">
        <v>1</v>
      </c>
      <c r="T48" s="9"/>
      <c r="U48" s="4"/>
      <c r="V48" s="4"/>
      <c r="W48" s="4"/>
      <c r="X48" s="4"/>
      <c r="Y48" s="4" t="str">
        <f>IF(anleihenkäufe[[#This Row],[Verkauft am]]="","",anleihenkäufe[[#This Row],[Gewinn aus Kursänderung]]+anleihenkäufe[[#This Row],[Gewinn aus Zinsen]]+anleihenkäufe[[#This Row],[Gewinn aus Währungseffekten]])</f>
        <v/>
      </c>
      <c r="Z48" s="156" t="str">
        <f>IF(anleihenkäufe[[#This Row],[Verkauft am]]="","",anleihenkäufe[[#This Row],[Gewinn gesamt]]/anleihenkäufe[[#This Row],[Dirty Kaufpreis]])</f>
        <v/>
      </c>
    </row>
    <row r="49" spans="1:26" ht="14.25" x14ac:dyDescent="0.2">
      <c r="A49" s="9">
        <v>45385</v>
      </c>
      <c r="B49" s="1" t="s">
        <v>841</v>
      </c>
      <c r="C49" s="1" t="s">
        <v>0</v>
      </c>
      <c r="D49" s="4">
        <f t="shared" si="0"/>
        <v>1597.8082191780823</v>
      </c>
      <c r="E49" s="4">
        <f t="shared" si="1"/>
        <v>1560</v>
      </c>
      <c r="F49" s="1">
        <v>2</v>
      </c>
      <c r="G49" s="1">
        <v>1000</v>
      </c>
      <c r="H49" s="7">
        <v>0.78</v>
      </c>
      <c r="I49" s="4">
        <f t="shared" si="2"/>
        <v>37.80821917808219</v>
      </c>
      <c r="J49" s="7">
        <v>0.06</v>
      </c>
      <c r="K49" s="58">
        <v>1</v>
      </c>
      <c r="L49" s="1" t="s">
        <v>925</v>
      </c>
      <c r="M49" s="1">
        <v>2</v>
      </c>
      <c r="N49" s="9">
        <v>45270</v>
      </c>
      <c r="O49" s="1" t="s">
        <v>56</v>
      </c>
      <c r="P49" s="1" t="s">
        <v>39</v>
      </c>
      <c r="Q49" s="1" t="s">
        <v>842</v>
      </c>
      <c r="R49" s="1" t="s">
        <v>843</v>
      </c>
      <c r="S49" s="1" t="b">
        <v>1</v>
      </c>
      <c r="T49" s="9"/>
      <c r="U49" s="4"/>
      <c r="V49" s="4"/>
      <c r="W49" s="4"/>
      <c r="X49" s="4"/>
      <c r="Y49" s="4" t="str">
        <f>IF(anleihenkäufe[[#This Row],[Verkauft am]]="","",anleihenkäufe[[#This Row],[Gewinn aus Kursänderung]]+anleihenkäufe[[#This Row],[Gewinn aus Zinsen]]+anleihenkäufe[[#This Row],[Gewinn aus Währungseffekten]])</f>
        <v/>
      </c>
      <c r="Z49" s="156" t="str">
        <f>IF(anleihenkäufe[[#This Row],[Verkauft am]]="","",anleihenkäufe[[#This Row],[Gewinn gesamt]]/anleihenkäufe[[#This Row],[Dirty Kaufpreis]])</f>
        <v/>
      </c>
    </row>
    <row r="50" spans="1:26" ht="14.25" x14ac:dyDescent="0.2">
      <c r="A50" s="9">
        <v>45385</v>
      </c>
      <c r="B50" s="1" t="s">
        <v>857</v>
      </c>
      <c r="C50" s="1" t="s">
        <v>11</v>
      </c>
      <c r="D50" s="4">
        <f t="shared" si="0"/>
        <v>2361.6301369863013</v>
      </c>
      <c r="E50" s="4">
        <f t="shared" si="1"/>
        <v>2311</v>
      </c>
      <c r="F50" s="1">
        <v>2</v>
      </c>
      <c r="G50" s="1">
        <v>1000</v>
      </c>
      <c r="H50" s="7">
        <v>1.1555</v>
      </c>
      <c r="I50" s="4">
        <f t="shared" si="2"/>
        <v>50.630136986301373</v>
      </c>
      <c r="J50" s="7">
        <v>0.06</v>
      </c>
      <c r="K50" s="58">
        <v>1</v>
      </c>
      <c r="L50" s="1" t="s">
        <v>925</v>
      </c>
      <c r="M50" s="1">
        <v>2</v>
      </c>
      <c r="N50" s="9">
        <v>45231</v>
      </c>
      <c r="O50" s="1" t="s">
        <v>170</v>
      </c>
      <c r="P50" s="1" t="s">
        <v>39</v>
      </c>
      <c r="Q50" s="1" t="s">
        <v>858</v>
      </c>
      <c r="R50" s="1" t="s">
        <v>859</v>
      </c>
      <c r="S50" s="1" t="b">
        <v>1</v>
      </c>
      <c r="T50" s="9"/>
      <c r="U50" s="4"/>
      <c r="V50" s="4"/>
      <c r="W50" s="4"/>
      <c r="X50" s="4"/>
      <c r="Y50" s="4" t="str">
        <f>IF(anleihenkäufe[[#This Row],[Verkauft am]]="","",anleihenkäufe[[#This Row],[Gewinn aus Kursänderung]]+anleihenkäufe[[#This Row],[Gewinn aus Zinsen]]+anleihenkäufe[[#This Row],[Gewinn aus Währungseffekten]])</f>
        <v/>
      </c>
      <c r="Z50" s="156" t="str">
        <f>IF(anleihenkäufe[[#This Row],[Verkauft am]]="","",anleihenkäufe[[#This Row],[Gewinn gesamt]]/anleihenkäufe[[#This Row],[Dirty Kaufpreis]])</f>
        <v/>
      </c>
    </row>
    <row r="51" spans="1:26" ht="14.25" x14ac:dyDescent="0.2">
      <c r="A51" s="9">
        <v>45385</v>
      </c>
      <c r="B51" s="1" t="s">
        <v>848</v>
      </c>
      <c r="C51" s="1" t="s">
        <v>2</v>
      </c>
      <c r="D51" s="4">
        <f t="shared" si="0"/>
        <v>1819.4145753424657</v>
      </c>
      <c r="E51" s="4">
        <f t="shared" si="1"/>
        <v>1760.2287999999999</v>
      </c>
      <c r="F51" s="1">
        <v>1942</v>
      </c>
      <c r="G51" s="1">
        <v>1.03</v>
      </c>
      <c r="H51" s="7">
        <v>0.88</v>
      </c>
      <c r="I51" s="4">
        <f t="shared" si="2"/>
        <v>59.185775342465753</v>
      </c>
      <c r="J51" s="7">
        <v>0.06</v>
      </c>
      <c r="K51" s="58">
        <v>1</v>
      </c>
      <c r="L51" s="1" t="s">
        <v>925</v>
      </c>
      <c r="M51" s="1">
        <v>1</v>
      </c>
      <c r="N51" s="9">
        <v>45205</v>
      </c>
      <c r="O51" s="1" t="s">
        <v>56</v>
      </c>
      <c r="P51" s="1" t="s">
        <v>39</v>
      </c>
      <c r="Q51" s="1" t="s">
        <v>849</v>
      </c>
      <c r="R51" s="1" t="s">
        <v>850</v>
      </c>
      <c r="S51" s="1" t="b">
        <v>1</v>
      </c>
      <c r="T51" s="9"/>
      <c r="U51" s="4"/>
      <c r="V51" s="4"/>
      <c r="W51" s="4"/>
      <c r="X51" s="4"/>
      <c r="Y51" s="4" t="str">
        <f>IF(anleihenkäufe[[#This Row],[Verkauft am]]="","",anleihenkäufe[[#This Row],[Gewinn aus Kursänderung]]+anleihenkäufe[[#This Row],[Gewinn aus Zinsen]]+anleihenkäufe[[#This Row],[Gewinn aus Währungseffekten]])</f>
        <v/>
      </c>
      <c r="Z51" s="156" t="str">
        <f>IF(anleihenkäufe[[#This Row],[Verkauft am]]="","",anleihenkäufe[[#This Row],[Gewinn gesamt]]/anleihenkäufe[[#This Row],[Dirty Kaufpreis]])</f>
        <v/>
      </c>
    </row>
    <row r="52" spans="1:26" ht="14.25" x14ac:dyDescent="0.2">
      <c r="A52" s="9">
        <v>45385</v>
      </c>
      <c r="B52" s="1" t="s">
        <v>814</v>
      </c>
      <c r="C52" s="1" t="s">
        <v>3</v>
      </c>
      <c r="D52" s="4">
        <f t="shared" si="0"/>
        <v>2010.0753424657535</v>
      </c>
      <c r="E52" s="4">
        <f t="shared" si="1"/>
        <v>1999</v>
      </c>
      <c r="F52" s="1">
        <v>2</v>
      </c>
      <c r="G52" s="1">
        <v>1000</v>
      </c>
      <c r="H52" s="7">
        <v>0.99950000000000006</v>
      </c>
      <c r="I52" s="4">
        <f t="shared" si="2"/>
        <v>11.075342465753424</v>
      </c>
      <c r="J52" s="7">
        <v>6.1249999999999999E-2</v>
      </c>
      <c r="K52" s="58">
        <v>1</v>
      </c>
      <c r="L52" s="1" t="s">
        <v>925</v>
      </c>
      <c r="M52" s="1">
        <v>1</v>
      </c>
      <c r="N52" s="9">
        <v>45352</v>
      </c>
      <c r="O52" s="1" t="s">
        <v>56</v>
      </c>
      <c r="P52" s="1" t="s">
        <v>39</v>
      </c>
      <c r="Q52" s="1" t="s">
        <v>815</v>
      </c>
      <c r="R52" s="1" t="s">
        <v>816</v>
      </c>
      <c r="S52" s="1" t="b">
        <v>1</v>
      </c>
      <c r="T52" s="9"/>
      <c r="U52" s="4"/>
      <c r="V52" s="4"/>
      <c r="W52" s="4"/>
      <c r="X52" s="4"/>
      <c r="Y52" s="4" t="str">
        <f>IF(anleihenkäufe[[#This Row],[Verkauft am]]="","",anleihenkäufe[[#This Row],[Gewinn aus Kursänderung]]+anleihenkäufe[[#This Row],[Gewinn aus Zinsen]]+anleihenkäufe[[#This Row],[Gewinn aus Währungseffekten]])</f>
        <v/>
      </c>
      <c r="Z52" s="156" t="str">
        <f>IF(anleihenkäufe[[#This Row],[Verkauft am]]="","",anleihenkäufe[[#This Row],[Gewinn gesamt]]/anleihenkäufe[[#This Row],[Dirty Kaufpreis]])</f>
        <v/>
      </c>
    </row>
    <row r="53" spans="1:26" ht="14.25" x14ac:dyDescent="0.2">
      <c r="A53" s="9">
        <v>45385</v>
      </c>
      <c r="B53" s="1" t="s">
        <v>817</v>
      </c>
      <c r="C53" s="1" t="s">
        <v>4</v>
      </c>
      <c r="D53" s="4">
        <f t="shared" si="0"/>
        <v>2465.0301369863009</v>
      </c>
      <c r="E53" s="4">
        <f t="shared" si="1"/>
        <v>2421.3999999999996</v>
      </c>
      <c r="F53" s="1">
        <v>2</v>
      </c>
      <c r="G53" s="1">
        <v>1000</v>
      </c>
      <c r="H53" s="7">
        <v>1.2106999999999999</v>
      </c>
      <c r="I53" s="4">
        <f t="shared" si="2"/>
        <v>43.630136986301373</v>
      </c>
      <c r="J53" s="7">
        <v>6.1249999999999999E-2</v>
      </c>
      <c r="K53" s="58">
        <v>1</v>
      </c>
      <c r="L53" s="1" t="s">
        <v>925</v>
      </c>
      <c r="M53" s="1">
        <v>1</v>
      </c>
      <c r="N53" s="9">
        <v>45255</v>
      </c>
      <c r="O53" s="1" t="s">
        <v>102</v>
      </c>
      <c r="P53" s="1" t="s">
        <v>61</v>
      </c>
      <c r="Q53" s="1" t="s">
        <v>818</v>
      </c>
      <c r="R53" s="1" t="s">
        <v>819</v>
      </c>
      <c r="S53" s="1" t="b">
        <v>1</v>
      </c>
      <c r="T53" s="9"/>
      <c r="U53" s="4"/>
      <c r="V53" s="4"/>
      <c r="W53" s="4"/>
      <c r="X53" s="4"/>
      <c r="Y53" s="4" t="str">
        <f>IF(anleihenkäufe[[#This Row],[Verkauft am]]="","",anleihenkäufe[[#This Row],[Gewinn aus Kursänderung]]+anleihenkäufe[[#This Row],[Gewinn aus Zinsen]]+anleihenkäufe[[#This Row],[Gewinn aus Währungseffekten]])</f>
        <v/>
      </c>
      <c r="Z53" s="156" t="str">
        <f>IF(anleihenkäufe[[#This Row],[Verkauft am]]="","",anleihenkäufe[[#This Row],[Gewinn gesamt]]/anleihenkäufe[[#This Row],[Dirty Kaufpreis]])</f>
        <v/>
      </c>
    </row>
    <row r="54" spans="1:26" ht="14.25" x14ac:dyDescent="0.2">
      <c r="A54" s="9">
        <v>45385</v>
      </c>
      <c r="B54" s="1" t="s">
        <v>823</v>
      </c>
      <c r="C54" s="1" t="s">
        <v>10</v>
      </c>
      <c r="D54" s="4">
        <f t="shared" si="0"/>
        <v>2015.986301369863</v>
      </c>
      <c r="E54" s="4">
        <f t="shared" si="1"/>
        <v>1969</v>
      </c>
      <c r="F54" s="1">
        <v>2</v>
      </c>
      <c r="G54" s="1">
        <v>1000</v>
      </c>
      <c r="H54" s="7">
        <v>0.98450000000000004</v>
      </c>
      <c r="I54" s="4">
        <f t="shared" si="2"/>
        <v>46.986301369863014</v>
      </c>
      <c r="J54" s="7">
        <v>6.1249999999999999E-2</v>
      </c>
      <c r="K54" s="58">
        <v>1</v>
      </c>
      <c r="L54" s="1" t="s">
        <v>925</v>
      </c>
      <c r="M54" s="1">
        <v>2</v>
      </c>
      <c r="N54" s="9">
        <v>45245</v>
      </c>
      <c r="O54" s="1" t="s">
        <v>170</v>
      </c>
      <c r="P54" s="1" t="s">
        <v>44</v>
      </c>
      <c r="Q54" s="1" t="s">
        <v>824</v>
      </c>
      <c r="R54" s="1" t="s">
        <v>825</v>
      </c>
      <c r="S54" s="1" t="b">
        <v>1</v>
      </c>
      <c r="T54" s="9"/>
      <c r="U54" s="4"/>
      <c r="V54" s="4"/>
      <c r="W54" s="4"/>
      <c r="X54" s="4"/>
      <c r="Y54" s="4" t="str">
        <f>IF(anleihenkäufe[[#This Row],[Verkauft am]]="","",anleihenkäufe[[#This Row],[Gewinn aus Kursänderung]]+anleihenkäufe[[#This Row],[Gewinn aus Zinsen]]+anleihenkäufe[[#This Row],[Gewinn aus Währungseffekten]])</f>
        <v/>
      </c>
      <c r="Z54" s="156" t="str">
        <f>IF(anleihenkäufe[[#This Row],[Verkauft am]]="","",anleihenkäufe[[#This Row],[Gewinn gesamt]]/anleihenkäufe[[#This Row],[Dirty Kaufpreis]])</f>
        <v/>
      </c>
    </row>
    <row r="55" spans="1:26" ht="14.25" x14ac:dyDescent="0.2">
      <c r="A55" s="9">
        <v>45385</v>
      </c>
      <c r="B55" s="1" t="s">
        <v>820</v>
      </c>
      <c r="C55" s="1" t="s">
        <v>7</v>
      </c>
      <c r="D55" s="4">
        <f t="shared" si="0"/>
        <v>2553.9520547945203</v>
      </c>
      <c r="E55" s="4">
        <f t="shared" si="1"/>
        <v>2463</v>
      </c>
      <c r="F55" s="1">
        <v>2</v>
      </c>
      <c r="G55" s="1">
        <v>1000</v>
      </c>
      <c r="H55" s="7">
        <v>1.2315</v>
      </c>
      <c r="I55" s="4">
        <f t="shared" si="2"/>
        <v>90.952054794520549</v>
      </c>
      <c r="J55" s="7">
        <v>6.1249999999999999E-2</v>
      </c>
      <c r="K55" s="58">
        <v>1</v>
      </c>
      <c r="L55" s="1" t="s">
        <v>925</v>
      </c>
      <c r="M55" s="1">
        <v>1</v>
      </c>
      <c r="N55" s="9">
        <v>45114</v>
      </c>
      <c r="O55" s="1" t="s">
        <v>51</v>
      </c>
      <c r="P55" s="1" t="s">
        <v>39</v>
      </c>
      <c r="Q55" s="1" t="s">
        <v>821</v>
      </c>
      <c r="R55" s="1" t="s">
        <v>822</v>
      </c>
      <c r="S55" s="1" t="b">
        <v>1</v>
      </c>
      <c r="T55" s="9"/>
      <c r="U55" s="4"/>
      <c r="V55" s="4"/>
      <c r="W55" s="4"/>
      <c r="X55" s="4"/>
      <c r="Y55" s="4" t="str">
        <f>IF(anleihenkäufe[[#This Row],[Verkauft am]]="","",anleihenkäufe[[#This Row],[Gewinn aus Kursänderung]]+anleihenkäufe[[#This Row],[Gewinn aus Zinsen]]+anleihenkäufe[[#This Row],[Gewinn aus Währungseffekten]])</f>
        <v/>
      </c>
      <c r="Z55" s="156" t="str">
        <f>IF(anleihenkäufe[[#This Row],[Verkauft am]]="","",anleihenkäufe[[#This Row],[Gewinn gesamt]]/anleihenkäufe[[#This Row],[Dirty Kaufpreis]])</f>
        <v/>
      </c>
    </row>
    <row r="56" spans="1:26" ht="14.25" x14ac:dyDescent="0.2">
      <c r="A56" s="9">
        <v>45385</v>
      </c>
      <c r="B56" s="1" t="s">
        <v>826</v>
      </c>
      <c r="C56" s="1" t="s">
        <v>10</v>
      </c>
      <c r="D56" s="4">
        <f t="shared" si="0"/>
        <v>2260.3397260273978</v>
      </c>
      <c r="E56" s="4">
        <f t="shared" si="1"/>
        <v>2151.6000000000004</v>
      </c>
      <c r="F56" s="1">
        <v>2</v>
      </c>
      <c r="G56" s="1">
        <v>1000</v>
      </c>
      <c r="H56" s="7">
        <v>1.0758000000000001</v>
      </c>
      <c r="I56" s="4">
        <f t="shared" si="2"/>
        <v>108.73972602739725</v>
      </c>
      <c r="J56" s="7">
        <v>6.1249999999999999E-2</v>
      </c>
      <c r="K56" s="58">
        <v>1</v>
      </c>
      <c r="L56" s="1" t="s">
        <v>925</v>
      </c>
      <c r="M56" s="1">
        <v>1</v>
      </c>
      <c r="N56" s="9">
        <v>45061</v>
      </c>
      <c r="O56" s="1" t="s">
        <v>276</v>
      </c>
      <c r="P56" s="1" t="s">
        <v>61</v>
      </c>
      <c r="Q56" s="1" t="s">
        <v>827</v>
      </c>
      <c r="R56" s="1" t="s">
        <v>828</v>
      </c>
      <c r="S56" s="1" t="b">
        <v>1</v>
      </c>
      <c r="T56" s="9"/>
      <c r="U56" s="4"/>
      <c r="V56" s="4"/>
      <c r="W56" s="4"/>
      <c r="X56" s="4"/>
      <c r="Y56" s="4" t="str">
        <f>IF(anleihenkäufe[[#This Row],[Verkauft am]]="","",anleihenkäufe[[#This Row],[Gewinn aus Kursänderung]]+anleihenkäufe[[#This Row],[Gewinn aus Zinsen]]+anleihenkäufe[[#This Row],[Gewinn aus Währungseffekten]])</f>
        <v/>
      </c>
      <c r="Z56" s="156" t="str">
        <f>IF(anleihenkäufe[[#This Row],[Verkauft am]]="","",anleihenkäufe[[#This Row],[Gewinn gesamt]]/anleihenkäufe[[#This Row],[Dirty Kaufpreis]])</f>
        <v/>
      </c>
    </row>
    <row r="57" spans="1:26" ht="14.25" x14ac:dyDescent="0.2">
      <c r="A57" s="9">
        <v>45385</v>
      </c>
      <c r="B57" s="1" t="s">
        <v>802</v>
      </c>
      <c r="C57" s="1" t="s">
        <v>4</v>
      </c>
      <c r="D57" s="4">
        <f t="shared" si="0"/>
        <v>701.71232876712327</v>
      </c>
      <c r="E57" s="4">
        <f t="shared" si="1"/>
        <v>700</v>
      </c>
      <c r="F57" s="1">
        <v>2</v>
      </c>
      <c r="G57" s="1">
        <v>1000</v>
      </c>
      <c r="H57" s="7">
        <v>0.35</v>
      </c>
      <c r="I57" s="4">
        <f t="shared" si="2"/>
        <v>1.7123287671232876</v>
      </c>
      <c r="J57" s="7">
        <v>6.25E-2</v>
      </c>
      <c r="K57" s="58">
        <v>1</v>
      </c>
      <c r="L57" s="1" t="s">
        <v>925</v>
      </c>
      <c r="M57" s="1">
        <v>1</v>
      </c>
      <c r="N57" s="9">
        <v>45380</v>
      </c>
      <c r="O57" s="1" t="s">
        <v>56</v>
      </c>
      <c r="P57" s="1" t="s">
        <v>216</v>
      </c>
      <c r="Q57" s="1" t="s">
        <v>803</v>
      </c>
      <c r="R57" s="1" t="s">
        <v>804</v>
      </c>
      <c r="S57" s="1" t="b">
        <v>1</v>
      </c>
      <c r="T57" s="9"/>
      <c r="U57" s="4"/>
      <c r="V57" s="4"/>
      <c r="W57" s="4"/>
      <c r="X57" s="4"/>
      <c r="Y57" s="4" t="str">
        <f>IF(anleihenkäufe[[#This Row],[Verkauft am]]="","",anleihenkäufe[[#This Row],[Gewinn aus Kursänderung]]+anleihenkäufe[[#This Row],[Gewinn aus Zinsen]]+anleihenkäufe[[#This Row],[Gewinn aus Währungseffekten]])</f>
        <v/>
      </c>
      <c r="Z57" s="156" t="str">
        <f>IF(anleihenkäufe[[#This Row],[Verkauft am]]="","",anleihenkäufe[[#This Row],[Gewinn gesamt]]/anleihenkäufe[[#This Row],[Dirty Kaufpreis]])</f>
        <v/>
      </c>
    </row>
    <row r="58" spans="1:26" ht="14.25" x14ac:dyDescent="0.2">
      <c r="A58" s="9">
        <v>45385</v>
      </c>
      <c r="B58" s="1" t="s">
        <v>811</v>
      </c>
      <c r="C58" s="1" t="s">
        <v>1</v>
      </c>
      <c r="D58" s="4">
        <f t="shared" si="0"/>
        <v>2069.8383561643836</v>
      </c>
      <c r="E58" s="4">
        <f t="shared" si="1"/>
        <v>2053.4</v>
      </c>
      <c r="F58" s="1">
        <v>2</v>
      </c>
      <c r="G58" s="1">
        <v>1000</v>
      </c>
      <c r="H58" s="7">
        <v>1.0266999999999999</v>
      </c>
      <c r="I58" s="4">
        <f t="shared" si="2"/>
        <v>16.438356164383563</v>
      </c>
      <c r="J58" s="7">
        <v>6.25E-2</v>
      </c>
      <c r="K58" s="58">
        <v>1</v>
      </c>
      <c r="L58" s="1" t="s">
        <v>925</v>
      </c>
      <c r="M58" s="1">
        <v>2</v>
      </c>
      <c r="N58" s="9">
        <v>45337</v>
      </c>
      <c r="O58" s="1" t="s">
        <v>51</v>
      </c>
      <c r="P58" s="1" t="s">
        <v>39</v>
      </c>
      <c r="Q58" s="1" t="s">
        <v>812</v>
      </c>
      <c r="R58" s="1" t="s">
        <v>813</v>
      </c>
      <c r="S58" s="1" t="b">
        <v>1</v>
      </c>
      <c r="T58" s="9"/>
      <c r="U58" s="4"/>
      <c r="V58" s="4"/>
      <c r="W58" s="4"/>
      <c r="X58" s="4"/>
      <c r="Y58" s="4" t="str">
        <f>IF(anleihenkäufe[[#This Row],[Verkauft am]]="","",anleihenkäufe[[#This Row],[Gewinn aus Kursänderung]]+anleihenkäufe[[#This Row],[Gewinn aus Zinsen]]+anleihenkäufe[[#This Row],[Gewinn aus Währungseffekten]])</f>
        <v/>
      </c>
      <c r="Z58" s="156" t="str">
        <f>IF(anleihenkäufe[[#This Row],[Verkauft am]]="","",anleihenkäufe[[#This Row],[Gewinn gesamt]]/anleihenkäufe[[#This Row],[Dirty Kaufpreis]])</f>
        <v/>
      </c>
    </row>
    <row r="59" spans="1:26" ht="14.25" x14ac:dyDescent="0.2">
      <c r="A59" s="9">
        <v>45385</v>
      </c>
      <c r="B59" s="1" t="s">
        <v>796</v>
      </c>
      <c r="C59" s="1" t="s">
        <v>11</v>
      </c>
      <c r="D59" s="4">
        <f t="shared" si="0"/>
        <v>2441.4219178082194</v>
      </c>
      <c r="E59" s="4">
        <f t="shared" si="1"/>
        <v>2410.6000000000004</v>
      </c>
      <c r="F59" s="1">
        <v>200000</v>
      </c>
      <c r="G59" s="1">
        <v>0.01</v>
      </c>
      <c r="H59" s="7">
        <v>1.2053</v>
      </c>
      <c r="I59" s="4">
        <f t="shared" si="2"/>
        <v>30.821917808219176</v>
      </c>
      <c r="J59" s="7">
        <v>6.25E-2</v>
      </c>
      <c r="K59" s="58">
        <v>1</v>
      </c>
      <c r="L59" s="1" t="s">
        <v>925</v>
      </c>
      <c r="M59" s="1">
        <v>1</v>
      </c>
      <c r="N59" s="9">
        <v>45295</v>
      </c>
      <c r="O59" s="1" t="s">
        <v>56</v>
      </c>
      <c r="P59" s="1" t="s">
        <v>61</v>
      </c>
      <c r="Q59" s="1" t="s">
        <v>797</v>
      </c>
      <c r="R59" s="1" t="s">
        <v>798</v>
      </c>
      <c r="S59" s="1" t="b">
        <v>1</v>
      </c>
      <c r="T59" s="9"/>
      <c r="U59" s="4"/>
      <c r="V59" s="4"/>
      <c r="W59" s="4"/>
      <c r="X59" s="4"/>
      <c r="Y59" s="4" t="str">
        <f>IF(anleihenkäufe[[#This Row],[Verkauft am]]="","",anleihenkäufe[[#This Row],[Gewinn aus Kursänderung]]+anleihenkäufe[[#This Row],[Gewinn aus Zinsen]]+anleihenkäufe[[#This Row],[Gewinn aus Währungseffekten]])</f>
        <v/>
      </c>
      <c r="Z59" s="156" t="str">
        <f>IF(anleihenkäufe[[#This Row],[Verkauft am]]="","",anleihenkäufe[[#This Row],[Gewinn gesamt]]/anleihenkäufe[[#This Row],[Dirty Kaufpreis]])</f>
        <v/>
      </c>
    </row>
    <row r="60" spans="1:26" ht="14.25" x14ac:dyDescent="0.2">
      <c r="A60" s="9">
        <v>45385</v>
      </c>
      <c r="B60" s="1" t="s">
        <v>805</v>
      </c>
      <c r="C60" s="1" t="s">
        <v>2</v>
      </c>
      <c r="D60" s="4">
        <f t="shared" si="0"/>
        <v>2095.3260273972601</v>
      </c>
      <c r="E60" s="4">
        <f t="shared" si="1"/>
        <v>2055.6</v>
      </c>
      <c r="F60" s="1">
        <v>2</v>
      </c>
      <c r="G60" s="1">
        <v>1000</v>
      </c>
      <c r="H60" s="7">
        <v>1.0278</v>
      </c>
      <c r="I60" s="4">
        <f t="shared" si="2"/>
        <v>39.726027397260275</v>
      </c>
      <c r="J60" s="7">
        <v>6.25E-2</v>
      </c>
      <c r="K60" s="58">
        <v>1</v>
      </c>
      <c r="L60" s="1" t="s">
        <v>925</v>
      </c>
      <c r="M60" s="1">
        <v>1</v>
      </c>
      <c r="N60" s="9">
        <v>45269</v>
      </c>
      <c r="O60" s="1" t="s">
        <v>43</v>
      </c>
      <c r="P60" s="1" t="s">
        <v>57</v>
      </c>
      <c r="Q60" s="1" t="s">
        <v>806</v>
      </c>
      <c r="R60" s="1" t="s">
        <v>807</v>
      </c>
      <c r="S60" s="1" t="b">
        <v>1</v>
      </c>
      <c r="T60" s="9"/>
      <c r="U60" s="4"/>
      <c r="V60" s="4"/>
      <c r="W60" s="4"/>
      <c r="X60" s="4"/>
      <c r="Y60" s="4" t="str">
        <f>IF(anleihenkäufe[[#This Row],[Verkauft am]]="","",anleihenkäufe[[#This Row],[Gewinn aus Kursänderung]]+anleihenkäufe[[#This Row],[Gewinn aus Zinsen]]+anleihenkäufe[[#This Row],[Gewinn aus Währungseffekten]])</f>
        <v/>
      </c>
      <c r="Z60" s="156" t="str">
        <f>IF(anleihenkäufe[[#This Row],[Verkauft am]]="","",anleihenkäufe[[#This Row],[Gewinn gesamt]]/anleihenkäufe[[#This Row],[Dirty Kaufpreis]])</f>
        <v/>
      </c>
    </row>
    <row r="61" spans="1:26" ht="14.25" x14ac:dyDescent="0.2">
      <c r="A61" s="9">
        <v>45385</v>
      </c>
      <c r="B61" s="1" t="s">
        <v>808</v>
      </c>
      <c r="C61" s="1" t="s">
        <v>2</v>
      </c>
      <c r="D61" s="4">
        <f t="shared" si="0"/>
        <v>2131.345205479452</v>
      </c>
      <c r="E61" s="4">
        <f t="shared" si="1"/>
        <v>2083.4</v>
      </c>
      <c r="F61" s="1">
        <v>2</v>
      </c>
      <c r="G61" s="1">
        <v>1000</v>
      </c>
      <c r="H61" s="7">
        <v>1.0417000000000001</v>
      </c>
      <c r="I61" s="4">
        <f t="shared" si="2"/>
        <v>47.945205479452056</v>
      </c>
      <c r="J61" s="7">
        <v>6.25E-2</v>
      </c>
      <c r="K61" s="58">
        <v>1</v>
      </c>
      <c r="L61" s="1" t="s">
        <v>925</v>
      </c>
      <c r="M61" s="1">
        <v>2</v>
      </c>
      <c r="N61" s="9">
        <v>45245</v>
      </c>
      <c r="O61" s="1" t="s">
        <v>51</v>
      </c>
      <c r="P61" s="1" t="s">
        <v>52</v>
      </c>
      <c r="Q61" s="1" t="s">
        <v>809</v>
      </c>
      <c r="R61" s="1" t="s">
        <v>810</v>
      </c>
      <c r="S61" s="1" t="b">
        <v>1</v>
      </c>
      <c r="T61" s="9"/>
      <c r="U61" s="4"/>
      <c r="V61" s="4"/>
      <c r="W61" s="4"/>
      <c r="X61" s="4"/>
      <c r="Y61" s="4" t="str">
        <f>IF(anleihenkäufe[[#This Row],[Verkauft am]]="","",anleihenkäufe[[#This Row],[Gewinn aus Kursänderung]]+anleihenkäufe[[#This Row],[Gewinn aus Zinsen]]+anleihenkäufe[[#This Row],[Gewinn aus Währungseffekten]])</f>
        <v/>
      </c>
      <c r="Z61" s="156" t="str">
        <f>IF(anleihenkäufe[[#This Row],[Verkauft am]]="","",anleihenkäufe[[#This Row],[Gewinn gesamt]]/anleihenkäufe[[#This Row],[Dirty Kaufpreis]])</f>
        <v/>
      </c>
    </row>
    <row r="62" spans="1:26" ht="14.25" x14ac:dyDescent="0.2">
      <c r="A62" s="9">
        <v>45385</v>
      </c>
      <c r="B62" s="1" t="s">
        <v>799</v>
      </c>
      <c r="C62" s="1" t="s">
        <v>1</v>
      </c>
      <c r="D62" s="4">
        <f t="shared" si="0"/>
        <v>2037.5342465753424</v>
      </c>
      <c r="E62" s="4">
        <f t="shared" si="1"/>
        <v>1980</v>
      </c>
      <c r="F62" s="1">
        <v>2</v>
      </c>
      <c r="G62" s="1">
        <v>1000</v>
      </c>
      <c r="H62" s="7">
        <v>0.99</v>
      </c>
      <c r="I62" s="4">
        <f t="shared" si="2"/>
        <v>57.534246575342465</v>
      </c>
      <c r="J62" s="7">
        <v>6.25E-2</v>
      </c>
      <c r="K62" s="58">
        <v>1</v>
      </c>
      <c r="L62" s="1" t="s">
        <v>925</v>
      </c>
      <c r="M62" s="1">
        <v>2</v>
      </c>
      <c r="N62" s="9">
        <v>45217</v>
      </c>
      <c r="O62" s="1" t="s">
        <v>56</v>
      </c>
      <c r="P62" s="1" t="s">
        <v>91</v>
      </c>
      <c r="Q62" s="1" t="s">
        <v>800</v>
      </c>
      <c r="R62" s="1" t="s">
        <v>801</v>
      </c>
      <c r="S62" s="1" t="b">
        <v>1</v>
      </c>
      <c r="T62" s="9"/>
      <c r="U62" s="4"/>
      <c r="V62" s="4"/>
      <c r="W62" s="4"/>
      <c r="X62" s="4"/>
      <c r="Y62" s="4" t="str">
        <f>IF(anleihenkäufe[[#This Row],[Verkauft am]]="","",anleihenkäufe[[#This Row],[Gewinn aus Kursänderung]]+anleihenkäufe[[#This Row],[Gewinn aus Zinsen]]+anleihenkäufe[[#This Row],[Gewinn aus Währungseffekten]])</f>
        <v/>
      </c>
      <c r="Z62" s="156" t="str">
        <f>IF(anleihenkäufe[[#This Row],[Verkauft am]]="","",anleihenkäufe[[#This Row],[Gewinn gesamt]]/anleihenkäufe[[#This Row],[Dirty Kaufpreis]])</f>
        <v/>
      </c>
    </row>
    <row r="63" spans="1:26" ht="14.25" x14ac:dyDescent="0.2">
      <c r="A63" s="9">
        <v>45385</v>
      </c>
      <c r="B63" s="1" t="s">
        <v>787</v>
      </c>
      <c r="C63" s="1" t="s">
        <v>0</v>
      </c>
      <c r="D63" s="4">
        <f t="shared" si="0"/>
        <v>2010.0849315068494</v>
      </c>
      <c r="E63" s="4">
        <f t="shared" si="1"/>
        <v>2002.4</v>
      </c>
      <c r="F63" s="1">
        <v>2</v>
      </c>
      <c r="G63" s="1">
        <v>1000</v>
      </c>
      <c r="H63" s="7">
        <v>1.0012000000000001</v>
      </c>
      <c r="I63" s="4">
        <f t="shared" si="2"/>
        <v>7.6849315068493151</v>
      </c>
      <c r="J63" s="7">
        <v>6.3750000000000001E-2</v>
      </c>
      <c r="K63" s="58">
        <v>1</v>
      </c>
      <c r="L63" s="1" t="s">
        <v>925</v>
      </c>
      <c r="M63" s="1">
        <v>2</v>
      </c>
      <c r="N63" s="9">
        <v>45363</v>
      </c>
      <c r="O63" s="1" t="s">
        <v>51</v>
      </c>
      <c r="P63" s="1" t="s">
        <v>57</v>
      </c>
      <c r="Q63" s="1" t="s">
        <v>788</v>
      </c>
      <c r="R63" s="1" t="s">
        <v>789</v>
      </c>
      <c r="S63" s="1" t="b">
        <v>1</v>
      </c>
      <c r="T63" s="9"/>
      <c r="U63" s="4"/>
      <c r="V63" s="4"/>
      <c r="W63" s="4"/>
      <c r="X63" s="4"/>
      <c r="Y63" s="4" t="str">
        <f>IF(anleihenkäufe[[#This Row],[Verkauft am]]="","",anleihenkäufe[[#This Row],[Gewinn aus Kursänderung]]+anleihenkäufe[[#This Row],[Gewinn aus Zinsen]]+anleihenkäufe[[#This Row],[Gewinn aus Währungseffekten]])</f>
        <v/>
      </c>
      <c r="Z63" s="156" t="str">
        <f>IF(anleihenkäufe[[#This Row],[Verkauft am]]="","",anleihenkäufe[[#This Row],[Gewinn gesamt]]/anleihenkäufe[[#This Row],[Dirty Kaufpreis]])</f>
        <v/>
      </c>
    </row>
    <row r="64" spans="1:26" ht="14.25" x14ac:dyDescent="0.2">
      <c r="A64" s="9">
        <v>45385</v>
      </c>
      <c r="B64" s="1" t="s">
        <v>790</v>
      </c>
      <c r="C64" s="1" t="s">
        <v>2</v>
      </c>
      <c r="D64" s="4">
        <f t="shared" si="0"/>
        <v>2111.0246575342467</v>
      </c>
      <c r="E64" s="4">
        <f t="shared" si="1"/>
        <v>2072.6</v>
      </c>
      <c r="F64" s="1">
        <v>2</v>
      </c>
      <c r="G64" s="1">
        <v>1000</v>
      </c>
      <c r="H64" s="7">
        <v>1.0363</v>
      </c>
      <c r="I64" s="4">
        <f t="shared" si="2"/>
        <v>38.424657534246577</v>
      </c>
      <c r="J64" s="7">
        <v>6.3750000000000001E-2</v>
      </c>
      <c r="K64" s="58">
        <v>1</v>
      </c>
      <c r="L64" s="1" t="s">
        <v>925</v>
      </c>
      <c r="M64" s="1">
        <v>2</v>
      </c>
      <c r="N64" s="9">
        <v>45275</v>
      </c>
      <c r="O64" s="1" t="s">
        <v>102</v>
      </c>
      <c r="P64" s="1" t="s">
        <v>57</v>
      </c>
      <c r="Q64" s="1" t="s">
        <v>794</v>
      </c>
      <c r="R64" s="1" t="s">
        <v>795</v>
      </c>
      <c r="S64" s="1" t="b">
        <v>1</v>
      </c>
      <c r="T64" s="9"/>
      <c r="U64" s="4"/>
      <c r="V64" s="4"/>
      <c r="W64" s="4"/>
      <c r="X64" s="4"/>
      <c r="Y64" s="4" t="str">
        <f>IF(anleihenkäufe[[#This Row],[Verkauft am]]="","",anleihenkäufe[[#This Row],[Gewinn aus Kursänderung]]+anleihenkäufe[[#This Row],[Gewinn aus Zinsen]]+anleihenkäufe[[#This Row],[Gewinn aus Währungseffekten]])</f>
        <v/>
      </c>
      <c r="Z64" s="156" t="str">
        <f>IF(anleihenkäufe[[#This Row],[Verkauft am]]="","",anleihenkäufe[[#This Row],[Gewinn gesamt]]/anleihenkäufe[[#This Row],[Dirty Kaufpreis]])</f>
        <v/>
      </c>
    </row>
    <row r="65" spans="1:26" ht="14.25" x14ac:dyDescent="0.2">
      <c r="A65" s="9">
        <v>45385</v>
      </c>
      <c r="B65" s="1" t="s">
        <v>791</v>
      </c>
      <c r="C65" s="1" t="s">
        <v>11</v>
      </c>
      <c r="D65" s="4">
        <f t="shared" si="0"/>
        <v>2195.9643835616439</v>
      </c>
      <c r="E65" s="4">
        <f t="shared" si="1"/>
        <v>2126.8000000000002</v>
      </c>
      <c r="F65" s="1">
        <v>2</v>
      </c>
      <c r="G65" s="1">
        <v>1000</v>
      </c>
      <c r="H65" s="7">
        <v>1.0634000000000001</v>
      </c>
      <c r="I65" s="4">
        <f t="shared" si="2"/>
        <v>69.164383561643831</v>
      </c>
      <c r="J65" s="7">
        <v>6.3750000000000001E-2</v>
      </c>
      <c r="K65" s="58">
        <v>1</v>
      </c>
      <c r="L65" s="1" t="s">
        <v>925</v>
      </c>
      <c r="M65" s="1">
        <v>1</v>
      </c>
      <c r="N65" s="9">
        <v>45187</v>
      </c>
      <c r="O65" s="1" t="s">
        <v>337</v>
      </c>
      <c r="P65" s="1" t="s">
        <v>81</v>
      </c>
      <c r="Q65" s="1" t="s">
        <v>792</v>
      </c>
      <c r="R65" s="1" t="s">
        <v>793</v>
      </c>
      <c r="S65" s="1" t="b">
        <v>1</v>
      </c>
      <c r="T65" s="9"/>
      <c r="U65" s="4"/>
      <c r="V65" s="4"/>
      <c r="W65" s="4"/>
      <c r="X65" s="4"/>
      <c r="Y65" s="4" t="str">
        <f>IF(anleihenkäufe[[#This Row],[Verkauft am]]="","",anleihenkäufe[[#This Row],[Gewinn aus Kursänderung]]+anleihenkäufe[[#This Row],[Gewinn aus Zinsen]]+anleihenkäufe[[#This Row],[Gewinn aus Währungseffekten]])</f>
        <v/>
      </c>
      <c r="Z65" s="156" t="str">
        <f>IF(anleihenkäufe[[#This Row],[Verkauft am]]="","",anleihenkäufe[[#This Row],[Gewinn gesamt]]/anleihenkäufe[[#This Row],[Dirty Kaufpreis]])</f>
        <v/>
      </c>
    </row>
    <row r="66" spans="1:26" ht="14.25" x14ac:dyDescent="0.2">
      <c r="A66" s="9">
        <v>45385</v>
      </c>
      <c r="B66" s="1" t="s">
        <v>783</v>
      </c>
      <c r="C66" s="1" t="s">
        <v>0</v>
      </c>
      <c r="D66" s="4">
        <f t="shared" ref="D66:D129" si="3">E66+I66</f>
        <v>1748.8698630136985</v>
      </c>
      <c r="E66" s="4">
        <f t="shared" ref="E66:E129" si="4">G66*H66*F66/K66</f>
        <v>1656.9999999999998</v>
      </c>
      <c r="F66" s="1">
        <v>2</v>
      </c>
      <c r="G66" s="1">
        <v>1000</v>
      </c>
      <c r="H66" s="7">
        <v>0.8284999999999999</v>
      </c>
      <c r="I66" s="4">
        <f t="shared" ref="I66:I129" si="5">G66*J66*(A66-N66)/365*F66/K66</f>
        <v>91.869863013698634</v>
      </c>
      <c r="J66" s="7">
        <v>6.3750000000000001E-2</v>
      </c>
      <c r="K66" s="58">
        <v>1</v>
      </c>
      <c r="L66" s="1" t="s">
        <v>925</v>
      </c>
      <c r="M66" s="1">
        <v>1</v>
      </c>
      <c r="N66" s="9">
        <v>45122</v>
      </c>
      <c r="O66" s="1" t="s">
        <v>784</v>
      </c>
      <c r="P66" s="1" t="s">
        <v>44</v>
      </c>
      <c r="Q66" s="1" t="s">
        <v>785</v>
      </c>
      <c r="R66" s="1" t="s">
        <v>786</v>
      </c>
      <c r="S66" s="1" t="b">
        <v>1</v>
      </c>
      <c r="T66" s="9"/>
      <c r="U66" s="4"/>
      <c r="V66" s="4"/>
      <c r="W66" s="4"/>
      <c r="X66" s="4"/>
      <c r="Y66" s="4" t="str">
        <f>IF(anleihenkäufe[[#This Row],[Verkauft am]]="","",anleihenkäufe[[#This Row],[Gewinn aus Kursänderung]]+anleihenkäufe[[#This Row],[Gewinn aus Zinsen]]+anleihenkäufe[[#This Row],[Gewinn aus Währungseffekten]])</f>
        <v/>
      </c>
      <c r="Z66" s="156" t="str">
        <f>IF(anleihenkäufe[[#This Row],[Verkauft am]]="","",anleihenkäufe[[#This Row],[Gewinn gesamt]]/anleihenkäufe[[#This Row],[Dirty Kaufpreis]])</f>
        <v/>
      </c>
    </row>
    <row r="67" spans="1:26" ht="14.25" x14ac:dyDescent="0.2">
      <c r="A67" s="9">
        <v>45385</v>
      </c>
      <c r="B67" s="1" t="s">
        <v>779</v>
      </c>
      <c r="C67" s="1" t="s">
        <v>11</v>
      </c>
      <c r="D67" s="4">
        <f t="shared" si="3"/>
        <v>1746.0547945205481</v>
      </c>
      <c r="E67" s="4">
        <f t="shared" si="4"/>
        <v>1621</v>
      </c>
      <c r="F67" s="1">
        <v>2</v>
      </c>
      <c r="G67" s="1">
        <v>1000</v>
      </c>
      <c r="H67" s="7">
        <v>0.8105</v>
      </c>
      <c r="I67" s="4">
        <f t="shared" si="5"/>
        <v>125.05479452054794</v>
      </c>
      <c r="J67" s="7">
        <v>6.3750000000000001E-2</v>
      </c>
      <c r="K67" s="58">
        <v>1</v>
      </c>
      <c r="L67" s="1" t="s">
        <v>925</v>
      </c>
      <c r="M67" s="1">
        <v>1</v>
      </c>
      <c r="N67" s="9">
        <v>45027</v>
      </c>
      <c r="O67" s="1" t="s">
        <v>780</v>
      </c>
      <c r="P67" s="1" t="s">
        <v>57</v>
      </c>
      <c r="Q67" s="1" t="s">
        <v>781</v>
      </c>
      <c r="R67" s="1" t="s">
        <v>782</v>
      </c>
      <c r="S67" s="1" t="b">
        <v>1</v>
      </c>
      <c r="T67" s="9"/>
      <c r="U67" s="4"/>
      <c r="V67" s="4"/>
      <c r="W67" s="4"/>
      <c r="X67" s="4"/>
      <c r="Y67" s="4" t="str">
        <f>IF(anleihenkäufe[[#This Row],[Verkauft am]]="","",anleihenkäufe[[#This Row],[Gewinn aus Kursänderung]]+anleihenkäufe[[#This Row],[Gewinn aus Zinsen]]+anleihenkäufe[[#This Row],[Gewinn aus Währungseffekten]])</f>
        <v/>
      </c>
      <c r="Z67" s="156" t="str">
        <f>IF(anleihenkäufe[[#This Row],[Verkauft am]]="","",anleihenkäufe[[#This Row],[Gewinn gesamt]]/anleihenkäufe[[#This Row],[Dirty Kaufpreis]])</f>
        <v/>
      </c>
    </row>
    <row r="68" spans="1:26" ht="14.25" x14ac:dyDescent="0.2">
      <c r="A68" s="9">
        <v>45385</v>
      </c>
      <c r="B68" s="1" t="s">
        <v>754</v>
      </c>
      <c r="C68" s="1" t="s">
        <v>5</v>
      </c>
      <c r="D68" s="4">
        <f t="shared" si="3"/>
        <v>1979.1123287671232</v>
      </c>
      <c r="E68" s="4">
        <f t="shared" si="4"/>
        <v>1978.3999999999999</v>
      </c>
      <c r="F68" s="1">
        <v>2</v>
      </c>
      <c r="G68" s="1">
        <v>1000</v>
      </c>
      <c r="H68" s="7">
        <v>0.98919999999999997</v>
      </c>
      <c r="I68" s="4">
        <f t="shared" si="5"/>
        <v>0.71232876712328763</v>
      </c>
      <c r="J68" s="7">
        <v>6.5000000000000002E-2</v>
      </c>
      <c r="K68" s="58">
        <v>1</v>
      </c>
      <c r="L68" s="1" t="s">
        <v>925</v>
      </c>
      <c r="M68" s="1">
        <v>2</v>
      </c>
      <c r="N68" s="9">
        <v>45383</v>
      </c>
      <c r="O68" s="1" t="s">
        <v>276</v>
      </c>
      <c r="P68" s="1" t="s">
        <v>52</v>
      </c>
      <c r="Q68" s="1" t="s">
        <v>755</v>
      </c>
      <c r="R68" s="1" t="s">
        <v>756</v>
      </c>
      <c r="S68" s="1" t="b">
        <v>1</v>
      </c>
      <c r="T68" s="9"/>
      <c r="U68" s="4"/>
      <c r="V68" s="4"/>
      <c r="W68" s="4"/>
      <c r="X68" s="4"/>
      <c r="Y68" s="4" t="str">
        <f>IF(anleihenkäufe[[#This Row],[Verkauft am]]="","",anleihenkäufe[[#This Row],[Gewinn aus Kursänderung]]+anleihenkäufe[[#This Row],[Gewinn aus Zinsen]]+anleihenkäufe[[#This Row],[Gewinn aus Währungseffekten]])</f>
        <v/>
      </c>
      <c r="Z68" s="156" t="str">
        <f>IF(anleihenkäufe[[#This Row],[Verkauft am]]="","",anleihenkäufe[[#This Row],[Gewinn gesamt]]/anleihenkäufe[[#This Row],[Dirty Kaufpreis]])</f>
        <v/>
      </c>
    </row>
    <row r="69" spans="1:26" ht="14.25" x14ac:dyDescent="0.2">
      <c r="A69" s="9">
        <v>45385</v>
      </c>
      <c r="B69" s="1" t="s">
        <v>776</v>
      </c>
      <c r="C69" s="1" t="s">
        <v>0</v>
      </c>
      <c r="D69" s="4">
        <f t="shared" si="3"/>
        <v>2031.4602739726026</v>
      </c>
      <c r="E69" s="4">
        <f t="shared" si="4"/>
        <v>2022.1999999999998</v>
      </c>
      <c r="F69" s="1">
        <v>2</v>
      </c>
      <c r="G69" s="1">
        <v>1000</v>
      </c>
      <c r="H69" s="7">
        <v>1.0110999999999999</v>
      </c>
      <c r="I69" s="4">
        <f t="shared" si="5"/>
        <v>9.2602739726027394</v>
      </c>
      <c r="J69" s="7">
        <v>6.5000000000000002E-2</v>
      </c>
      <c r="K69" s="58">
        <v>1</v>
      </c>
      <c r="L69" s="1" t="s">
        <v>925</v>
      </c>
      <c r="M69" s="1">
        <v>1</v>
      </c>
      <c r="N69" s="9">
        <v>45359</v>
      </c>
      <c r="O69" s="1" t="s">
        <v>51</v>
      </c>
      <c r="P69" s="1" t="s">
        <v>57</v>
      </c>
      <c r="Q69" s="1" t="s">
        <v>777</v>
      </c>
      <c r="R69" s="1" t="s">
        <v>778</v>
      </c>
      <c r="S69" s="1" t="b">
        <v>1</v>
      </c>
      <c r="T69" s="9"/>
      <c r="U69" s="4"/>
      <c r="V69" s="4"/>
      <c r="W69" s="4"/>
      <c r="X69" s="4"/>
      <c r="Y69" s="4" t="str">
        <f>IF(anleihenkäufe[[#This Row],[Verkauft am]]="","",anleihenkäufe[[#This Row],[Gewinn aus Kursänderung]]+anleihenkäufe[[#This Row],[Gewinn aus Zinsen]]+anleihenkäufe[[#This Row],[Gewinn aus Währungseffekten]])</f>
        <v/>
      </c>
      <c r="Z69" s="156" t="str">
        <f>IF(anleihenkäufe[[#This Row],[Verkauft am]]="","",anleihenkäufe[[#This Row],[Gewinn gesamt]]/anleihenkäufe[[#This Row],[Dirty Kaufpreis]])</f>
        <v/>
      </c>
    </row>
    <row r="70" spans="1:26" ht="14.25" x14ac:dyDescent="0.2">
      <c r="A70" s="9">
        <v>45385</v>
      </c>
      <c r="B70" s="1" t="s">
        <v>757</v>
      </c>
      <c r="C70" s="1" t="s">
        <v>2</v>
      </c>
      <c r="D70" s="4">
        <f t="shared" si="3"/>
        <v>1007.5534246575343</v>
      </c>
      <c r="E70" s="4">
        <f t="shared" si="4"/>
        <v>995.80000000000007</v>
      </c>
      <c r="F70" s="1">
        <v>2</v>
      </c>
      <c r="G70" s="1">
        <v>1000</v>
      </c>
      <c r="H70" s="7">
        <v>0.49790000000000001</v>
      </c>
      <c r="I70" s="4">
        <f t="shared" si="5"/>
        <v>11.753424657534246</v>
      </c>
      <c r="J70" s="7">
        <v>6.5000000000000002E-2</v>
      </c>
      <c r="K70" s="58">
        <v>1</v>
      </c>
      <c r="L70" s="1" t="s">
        <v>925</v>
      </c>
      <c r="M70" s="1">
        <v>2</v>
      </c>
      <c r="N70" s="9">
        <v>45352</v>
      </c>
      <c r="O70" s="1" t="s">
        <v>35</v>
      </c>
      <c r="P70" s="1" t="s">
        <v>52</v>
      </c>
      <c r="Q70" s="1" t="s">
        <v>758</v>
      </c>
      <c r="R70" s="1" t="s">
        <v>759</v>
      </c>
      <c r="S70" s="1" t="b">
        <v>1</v>
      </c>
      <c r="T70" s="9"/>
      <c r="U70" s="4"/>
      <c r="V70" s="4"/>
      <c r="W70" s="4"/>
      <c r="X70" s="4"/>
      <c r="Y70" s="4" t="str">
        <f>IF(anleihenkäufe[[#This Row],[Verkauft am]]="","",anleihenkäufe[[#This Row],[Gewinn aus Kursänderung]]+anleihenkäufe[[#This Row],[Gewinn aus Zinsen]]+anleihenkäufe[[#This Row],[Gewinn aus Währungseffekten]])</f>
        <v/>
      </c>
      <c r="Z70" s="156" t="str">
        <f>IF(anleihenkäufe[[#This Row],[Verkauft am]]="","",anleihenkäufe[[#This Row],[Gewinn gesamt]]/anleihenkäufe[[#This Row],[Dirty Kaufpreis]])</f>
        <v/>
      </c>
    </row>
    <row r="71" spans="1:26" ht="14.25" x14ac:dyDescent="0.2">
      <c r="A71" s="9">
        <v>45385</v>
      </c>
      <c r="B71" s="1" t="s">
        <v>751</v>
      </c>
      <c r="C71" s="1" t="s">
        <v>4</v>
      </c>
      <c r="D71" s="4">
        <f t="shared" si="3"/>
        <v>1274.2465753424658</v>
      </c>
      <c r="E71" s="4">
        <f t="shared" si="4"/>
        <v>1260</v>
      </c>
      <c r="F71" s="1">
        <v>2</v>
      </c>
      <c r="G71" s="1">
        <v>1000</v>
      </c>
      <c r="H71" s="7">
        <v>0.63</v>
      </c>
      <c r="I71" s="4">
        <f t="shared" si="5"/>
        <v>14.246575342465754</v>
      </c>
      <c r="J71" s="7">
        <v>6.5000000000000002E-2</v>
      </c>
      <c r="K71" s="58">
        <v>1</v>
      </c>
      <c r="L71" s="1" t="s">
        <v>925</v>
      </c>
      <c r="M71" s="1">
        <v>4</v>
      </c>
      <c r="N71" s="9">
        <v>45345</v>
      </c>
      <c r="O71" s="1" t="s">
        <v>51</v>
      </c>
      <c r="P71" s="1" t="s">
        <v>61</v>
      </c>
      <c r="Q71" s="1" t="s">
        <v>752</v>
      </c>
      <c r="R71" s="1" t="s">
        <v>753</v>
      </c>
      <c r="S71" s="1" t="b">
        <v>1</v>
      </c>
      <c r="T71" s="9"/>
      <c r="U71" s="4"/>
      <c r="V71" s="4"/>
      <c r="W71" s="4"/>
      <c r="X71" s="4"/>
      <c r="Y71" s="4" t="str">
        <f>IF(anleihenkäufe[[#This Row],[Verkauft am]]="","",anleihenkäufe[[#This Row],[Gewinn aus Kursänderung]]+anleihenkäufe[[#This Row],[Gewinn aus Zinsen]]+anleihenkäufe[[#This Row],[Gewinn aus Währungseffekten]])</f>
        <v/>
      </c>
      <c r="Z71" s="156" t="str">
        <f>IF(anleihenkäufe[[#This Row],[Verkauft am]]="","",anleihenkäufe[[#This Row],[Gewinn gesamt]]/anleihenkäufe[[#This Row],[Dirty Kaufpreis]])</f>
        <v/>
      </c>
    </row>
    <row r="72" spans="1:26" ht="14.25" x14ac:dyDescent="0.2">
      <c r="A72" s="9">
        <v>45385</v>
      </c>
      <c r="B72" s="1" t="s">
        <v>766</v>
      </c>
      <c r="C72" s="1" t="s">
        <v>11</v>
      </c>
      <c r="D72" s="4">
        <f t="shared" si="3"/>
        <v>2037.9123287671234</v>
      </c>
      <c r="E72" s="4">
        <f t="shared" si="4"/>
        <v>2011.2</v>
      </c>
      <c r="F72" s="1">
        <v>2</v>
      </c>
      <c r="G72" s="1">
        <v>1000</v>
      </c>
      <c r="H72" s="7">
        <v>1.0056</v>
      </c>
      <c r="I72" s="4">
        <f t="shared" si="5"/>
        <v>26.712328767123289</v>
      </c>
      <c r="J72" s="7">
        <v>6.5000000000000002E-2</v>
      </c>
      <c r="K72" s="58">
        <v>1</v>
      </c>
      <c r="L72" s="1" t="s">
        <v>925</v>
      </c>
      <c r="M72" s="1">
        <v>1</v>
      </c>
      <c r="N72" s="9">
        <v>45310</v>
      </c>
      <c r="O72" s="1" t="s">
        <v>767</v>
      </c>
      <c r="P72" s="1" t="s">
        <v>57</v>
      </c>
      <c r="Q72" s="1" t="s">
        <v>768</v>
      </c>
      <c r="R72" s="1" t="s">
        <v>769</v>
      </c>
      <c r="S72" s="1" t="b">
        <v>1</v>
      </c>
      <c r="T72" s="9"/>
      <c r="U72" s="4"/>
      <c r="V72" s="4"/>
      <c r="W72" s="4"/>
      <c r="X72" s="4"/>
      <c r="Y72" s="4" t="str">
        <f>IF(anleihenkäufe[[#This Row],[Verkauft am]]="","",anleihenkäufe[[#This Row],[Gewinn aus Kursänderung]]+anleihenkäufe[[#This Row],[Gewinn aus Zinsen]]+anleihenkäufe[[#This Row],[Gewinn aus Währungseffekten]])</f>
        <v/>
      </c>
      <c r="Z72" s="156" t="str">
        <f>IF(anleihenkäufe[[#This Row],[Verkauft am]]="","",anleihenkäufe[[#This Row],[Gewinn gesamt]]/anleihenkäufe[[#This Row],[Dirty Kaufpreis]])</f>
        <v/>
      </c>
    </row>
    <row r="73" spans="1:26" ht="14.25" x14ac:dyDescent="0.2">
      <c r="A73" s="9">
        <v>45385</v>
      </c>
      <c r="B73" s="1" t="s">
        <v>736</v>
      </c>
      <c r="C73" s="1" t="s">
        <v>9</v>
      </c>
      <c r="D73" s="4">
        <f t="shared" si="3"/>
        <v>2031.3424657534247</v>
      </c>
      <c r="E73" s="4">
        <f t="shared" si="4"/>
        <v>2000</v>
      </c>
      <c r="F73" s="1">
        <v>2</v>
      </c>
      <c r="G73" s="1">
        <v>1000</v>
      </c>
      <c r="H73" s="7">
        <v>1</v>
      </c>
      <c r="I73" s="4">
        <f t="shared" si="5"/>
        <v>31.342465753424658</v>
      </c>
      <c r="J73" s="7">
        <v>6.5000000000000002E-2</v>
      </c>
      <c r="K73" s="58">
        <v>1</v>
      </c>
      <c r="L73" s="1" t="s">
        <v>925</v>
      </c>
      <c r="M73" s="1">
        <v>2</v>
      </c>
      <c r="N73" s="9">
        <v>45297</v>
      </c>
      <c r="O73" s="1" t="s">
        <v>56</v>
      </c>
      <c r="P73" s="1" t="s">
        <v>39</v>
      </c>
      <c r="Q73" s="1" t="s">
        <v>737</v>
      </c>
      <c r="R73" s="1" t="s">
        <v>738</v>
      </c>
      <c r="S73" s="1" t="b">
        <v>1</v>
      </c>
      <c r="T73" s="9"/>
      <c r="U73" s="4"/>
      <c r="V73" s="4"/>
      <c r="W73" s="4"/>
      <c r="X73" s="4"/>
      <c r="Y73" s="4" t="str">
        <f>IF(anleihenkäufe[[#This Row],[Verkauft am]]="","",anleihenkäufe[[#This Row],[Gewinn aus Kursänderung]]+anleihenkäufe[[#This Row],[Gewinn aus Zinsen]]+anleihenkäufe[[#This Row],[Gewinn aus Währungseffekten]])</f>
        <v/>
      </c>
      <c r="Z73" s="156" t="str">
        <f>IF(anleihenkäufe[[#This Row],[Verkauft am]]="","",anleihenkäufe[[#This Row],[Gewinn gesamt]]/anleihenkäufe[[#This Row],[Dirty Kaufpreis]])</f>
        <v/>
      </c>
    </row>
    <row r="74" spans="1:26" ht="14.25" x14ac:dyDescent="0.2">
      <c r="A74" s="9">
        <v>45385</v>
      </c>
      <c r="B74" s="1" t="s">
        <v>739</v>
      </c>
      <c r="C74" s="1" t="s">
        <v>4</v>
      </c>
      <c r="D74" s="4">
        <f t="shared" si="3"/>
        <v>1901.3150684931506</v>
      </c>
      <c r="E74" s="4">
        <f t="shared" si="4"/>
        <v>1860</v>
      </c>
      <c r="F74" s="1">
        <v>2</v>
      </c>
      <c r="G74" s="1">
        <v>1000</v>
      </c>
      <c r="H74" s="7">
        <v>0.93</v>
      </c>
      <c r="I74" s="4">
        <f t="shared" si="5"/>
        <v>41.315068493150683</v>
      </c>
      <c r="J74" s="7">
        <v>6.5000000000000002E-2</v>
      </c>
      <c r="K74" s="58">
        <v>1</v>
      </c>
      <c r="L74" s="1" t="s">
        <v>925</v>
      </c>
      <c r="M74" s="1">
        <v>2</v>
      </c>
      <c r="N74" s="9">
        <v>45269</v>
      </c>
      <c r="O74" s="1" t="s">
        <v>56</v>
      </c>
      <c r="P74" s="1" t="s">
        <v>81</v>
      </c>
      <c r="Q74" s="1" t="s">
        <v>740</v>
      </c>
      <c r="R74" s="1" t="s">
        <v>741</v>
      </c>
      <c r="S74" s="1" t="b">
        <v>1</v>
      </c>
      <c r="T74" s="9"/>
      <c r="U74" s="4"/>
      <c r="V74" s="4"/>
      <c r="W74" s="4"/>
      <c r="X74" s="4"/>
      <c r="Y74" s="4" t="str">
        <f>IF(anleihenkäufe[[#This Row],[Verkauft am]]="","",anleihenkäufe[[#This Row],[Gewinn aus Kursänderung]]+anleihenkäufe[[#This Row],[Gewinn aus Zinsen]]+anleihenkäufe[[#This Row],[Gewinn aus Währungseffekten]])</f>
        <v/>
      </c>
      <c r="Z74" s="156" t="str">
        <f>IF(anleihenkäufe[[#This Row],[Verkauft am]]="","",anleihenkäufe[[#This Row],[Gewinn gesamt]]/anleihenkäufe[[#This Row],[Dirty Kaufpreis]])</f>
        <v/>
      </c>
    </row>
    <row r="75" spans="1:26" ht="14.25" x14ac:dyDescent="0.2">
      <c r="A75" s="9">
        <v>45385</v>
      </c>
      <c r="B75" s="1" t="s">
        <v>760</v>
      </c>
      <c r="C75" s="1" t="s">
        <v>1</v>
      </c>
      <c r="D75" s="4">
        <f t="shared" si="3"/>
        <v>2059.4630136986307</v>
      </c>
      <c r="E75" s="4">
        <f t="shared" si="4"/>
        <v>2009.6000000000004</v>
      </c>
      <c r="F75" s="1">
        <v>2</v>
      </c>
      <c r="G75" s="1">
        <v>1000</v>
      </c>
      <c r="H75" s="7">
        <v>1.0048000000000001</v>
      </c>
      <c r="I75" s="4">
        <f t="shared" si="5"/>
        <v>49.863013698630134</v>
      </c>
      <c r="J75" s="7">
        <v>6.5000000000000002E-2</v>
      </c>
      <c r="K75" s="58">
        <v>1</v>
      </c>
      <c r="L75" s="1" t="s">
        <v>925</v>
      </c>
      <c r="M75" s="1">
        <v>2</v>
      </c>
      <c r="N75" s="9">
        <v>45245</v>
      </c>
      <c r="O75" s="1" t="s">
        <v>56</v>
      </c>
      <c r="P75" s="1" t="s">
        <v>57</v>
      </c>
      <c r="Q75" s="1" t="s">
        <v>761</v>
      </c>
      <c r="R75" s="1" t="s">
        <v>762</v>
      </c>
      <c r="S75" s="1" t="b">
        <v>1</v>
      </c>
      <c r="T75" s="9"/>
      <c r="U75" s="4"/>
      <c r="V75" s="4"/>
      <c r="W75" s="4"/>
      <c r="X75" s="4"/>
      <c r="Y75" s="4" t="str">
        <f>IF(anleihenkäufe[[#This Row],[Verkauft am]]="","",anleihenkäufe[[#This Row],[Gewinn aus Kursänderung]]+anleihenkäufe[[#This Row],[Gewinn aus Zinsen]]+anleihenkäufe[[#This Row],[Gewinn aus Währungseffekten]])</f>
        <v/>
      </c>
      <c r="Z75" s="156" t="str">
        <f>IF(anleihenkäufe[[#This Row],[Verkauft am]]="","",anleihenkäufe[[#This Row],[Gewinn gesamt]]/anleihenkäufe[[#This Row],[Dirty Kaufpreis]])</f>
        <v/>
      </c>
    </row>
    <row r="76" spans="1:26" ht="14.25" x14ac:dyDescent="0.2">
      <c r="A76" s="9">
        <v>45385</v>
      </c>
      <c r="B76" s="1" t="s">
        <v>773</v>
      </c>
      <c r="C76" s="1" t="s">
        <v>10</v>
      </c>
      <c r="D76" s="4">
        <f t="shared" si="3"/>
        <v>2193.2657534246578</v>
      </c>
      <c r="E76" s="4">
        <f t="shared" si="4"/>
        <v>2128.8000000000002</v>
      </c>
      <c r="F76" s="1">
        <v>2</v>
      </c>
      <c r="G76" s="1">
        <v>1000</v>
      </c>
      <c r="H76" s="7">
        <v>1.0644</v>
      </c>
      <c r="I76" s="4">
        <f t="shared" si="5"/>
        <v>64.465753424657535</v>
      </c>
      <c r="J76" s="7">
        <v>6.5000000000000002E-2</v>
      </c>
      <c r="K76" s="58">
        <v>1</v>
      </c>
      <c r="L76" s="1" t="s">
        <v>925</v>
      </c>
      <c r="M76" s="1">
        <v>2</v>
      </c>
      <c r="N76" s="9">
        <v>45204</v>
      </c>
      <c r="O76" s="1" t="s">
        <v>170</v>
      </c>
      <c r="P76" s="1" t="s">
        <v>57</v>
      </c>
      <c r="Q76" s="1" t="s">
        <v>774</v>
      </c>
      <c r="R76" s="1" t="s">
        <v>775</v>
      </c>
      <c r="S76" s="1" t="b">
        <v>1</v>
      </c>
      <c r="T76" s="9"/>
      <c r="U76" s="4"/>
      <c r="V76" s="4"/>
      <c r="W76" s="4"/>
      <c r="X76" s="4"/>
      <c r="Y76" s="4" t="str">
        <f>IF(anleihenkäufe[[#This Row],[Verkauft am]]="","",anleihenkäufe[[#This Row],[Gewinn aus Kursänderung]]+anleihenkäufe[[#This Row],[Gewinn aus Zinsen]]+anleihenkäufe[[#This Row],[Gewinn aus Währungseffekten]])</f>
        <v/>
      </c>
      <c r="Z76" s="156" t="str">
        <f>IF(anleihenkäufe[[#This Row],[Verkauft am]]="","",anleihenkäufe[[#This Row],[Gewinn gesamt]]/anleihenkäufe[[#This Row],[Dirty Kaufpreis]])</f>
        <v/>
      </c>
    </row>
    <row r="77" spans="1:26" ht="14.25" x14ac:dyDescent="0.2">
      <c r="A77" s="9">
        <v>45385</v>
      </c>
      <c r="B77" s="1" t="s">
        <v>745</v>
      </c>
      <c r="C77" s="1" t="s">
        <v>3</v>
      </c>
      <c r="D77" s="4">
        <f t="shared" si="3"/>
        <v>2056.5753424657532</v>
      </c>
      <c r="E77" s="4">
        <f t="shared" si="4"/>
        <v>1980</v>
      </c>
      <c r="F77" s="1">
        <v>2</v>
      </c>
      <c r="G77" s="1">
        <v>1000</v>
      </c>
      <c r="H77" s="7">
        <v>0.99</v>
      </c>
      <c r="I77" s="4">
        <f t="shared" si="5"/>
        <v>76.575342465753423</v>
      </c>
      <c r="J77" s="7">
        <v>6.5000000000000002E-2</v>
      </c>
      <c r="K77" s="58">
        <v>1</v>
      </c>
      <c r="L77" s="1" t="s">
        <v>925</v>
      </c>
      <c r="M77" s="1">
        <v>1</v>
      </c>
      <c r="N77" s="9">
        <v>45170</v>
      </c>
      <c r="O77" s="1" t="s">
        <v>56</v>
      </c>
      <c r="P77" s="1" t="s">
        <v>81</v>
      </c>
      <c r="Q77" s="1" t="s">
        <v>746</v>
      </c>
      <c r="R77" s="1" t="s">
        <v>747</v>
      </c>
      <c r="S77" s="1" t="b">
        <v>1</v>
      </c>
      <c r="T77" s="9"/>
      <c r="U77" s="4"/>
      <c r="V77" s="4"/>
      <c r="W77" s="4"/>
      <c r="X77" s="4"/>
      <c r="Y77" s="4" t="str">
        <f>IF(anleihenkäufe[[#This Row],[Verkauft am]]="","",anleihenkäufe[[#This Row],[Gewinn aus Kursänderung]]+anleihenkäufe[[#This Row],[Gewinn aus Zinsen]]+anleihenkäufe[[#This Row],[Gewinn aus Währungseffekten]])</f>
        <v/>
      </c>
      <c r="Z77" s="156" t="str">
        <f>IF(anleihenkäufe[[#This Row],[Verkauft am]]="","",anleihenkäufe[[#This Row],[Gewinn gesamt]]/anleihenkäufe[[#This Row],[Dirty Kaufpreis]])</f>
        <v/>
      </c>
    </row>
    <row r="78" spans="1:26" ht="14.25" x14ac:dyDescent="0.2">
      <c r="A78" s="9">
        <v>45385</v>
      </c>
      <c r="B78" s="1" t="s">
        <v>770</v>
      </c>
      <c r="C78" s="1" t="s">
        <v>8</v>
      </c>
      <c r="D78" s="4">
        <f t="shared" si="3"/>
        <v>2229.2876712328762</v>
      </c>
      <c r="E78" s="4">
        <f t="shared" si="4"/>
        <v>2151.9999999999995</v>
      </c>
      <c r="F78" s="1">
        <v>2</v>
      </c>
      <c r="G78" s="1">
        <v>1000</v>
      </c>
      <c r="H78" s="7">
        <v>1.0759999999999998</v>
      </c>
      <c r="I78" s="4">
        <f t="shared" si="5"/>
        <v>77.287671232876718</v>
      </c>
      <c r="J78" s="7">
        <v>6.5000000000000002E-2</v>
      </c>
      <c r="K78" s="58">
        <v>1</v>
      </c>
      <c r="L78" s="1" t="s">
        <v>925</v>
      </c>
      <c r="M78" s="1">
        <v>1</v>
      </c>
      <c r="N78" s="9">
        <v>45168</v>
      </c>
      <c r="O78" s="1" t="s">
        <v>65</v>
      </c>
      <c r="P78" s="1" t="s">
        <v>57</v>
      </c>
      <c r="Q78" s="1" t="s">
        <v>771</v>
      </c>
      <c r="R78" s="1" t="s">
        <v>772</v>
      </c>
      <c r="S78" s="1" t="b">
        <v>1</v>
      </c>
      <c r="T78" s="9"/>
      <c r="U78" s="4"/>
      <c r="V78" s="4"/>
      <c r="W78" s="4"/>
      <c r="X78" s="4"/>
      <c r="Y78" s="4" t="str">
        <f>IF(anleihenkäufe[[#This Row],[Verkauft am]]="","",anleihenkäufe[[#This Row],[Gewinn aus Kursänderung]]+anleihenkäufe[[#This Row],[Gewinn aus Zinsen]]+anleihenkäufe[[#This Row],[Gewinn aus Währungseffekten]])</f>
        <v/>
      </c>
      <c r="Z78" s="156" t="str">
        <f>IF(anleihenkäufe[[#This Row],[Verkauft am]]="","",anleihenkäufe[[#This Row],[Gewinn gesamt]]/anleihenkäufe[[#This Row],[Dirty Kaufpreis]])</f>
        <v/>
      </c>
    </row>
    <row r="79" spans="1:26" ht="14.25" x14ac:dyDescent="0.2">
      <c r="A79" s="9">
        <v>45385</v>
      </c>
      <c r="B79" s="1" t="s">
        <v>742</v>
      </c>
      <c r="C79" s="1" t="s">
        <v>3</v>
      </c>
      <c r="D79" s="4">
        <f t="shared" si="3"/>
        <v>2077.6164383561645</v>
      </c>
      <c r="E79" s="4">
        <f t="shared" si="4"/>
        <v>1990</v>
      </c>
      <c r="F79" s="1">
        <v>2</v>
      </c>
      <c r="G79" s="1">
        <v>1000</v>
      </c>
      <c r="H79" s="7">
        <v>0.995</v>
      </c>
      <c r="I79" s="4">
        <f t="shared" si="5"/>
        <v>87.61643835616438</v>
      </c>
      <c r="J79" s="7">
        <v>6.5000000000000002E-2</v>
      </c>
      <c r="K79" s="58">
        <v>1</v>
      </c>
      <c r="L79" s="1" t="s">
        <v>925</v>
      </c>
      <c r="M79" s="1">
        <v>1</v>
      </c>
      <c r="N79" s="9">
        <v>45139</v>
      </c>
      <c r="O79" s="1" t="s">
        <v>56</v>
      </c>
      <c r="P79" s="1" t="s">
        <v>39</v>
      </c>
      <c r="Q79" s="1" t="s">
        <v>743</v>
      </c>
      <c r="R79" s="1" t="s">
        <v>744</v>
      </c>
      <c r="S79" s="1" t="b">
        <v>1</v>
      </c>
      <c r="T79" s="9"/>
      <c r="U79" s="4"/>
      <c r="V79" s="4"/>
      <c r="W79" s="4"/>
      <c r="X79" s="4"/>
      <c r="Y79" s="4" t="str">
        <f>IF(anleihenkäufe[[#This Row],[Verkauft am]]="","",anleihenkäufe[[#This Row],[Gewinn aus Kursänderung]]+anleihenkäufe[[#This Row],[Gewinn aus Zinsen]]+anleihenkäufe[[#This Row],[Gewinn aus Währungseffekten]])</f>
        <v/>
      </c>
      <c r="Z79" s="156" t="str">
        <f>IF(anleihenkäufe[[#This Row],[Verkauft am]]="","",anleihenkäufe[[#This Row],[Gewinn gesamt]]/anleihenkäufe[[#This Row],[Dirty Kaufpreis]])</f>
        <v/>
      </c>
    </row>
    <row r="80" spans="1:26" ht="14.25" x14ac:dyDescent="0.2">
      <c r="A80" s="9">
        <v>45385</v>
      </c>
      <c r="B80" s="1" t="s">
        <v>748</v>
      </c>
      <c r="C80" s="1" t="s">
        <v>10</v>
      </c>
      <c r="D80" s="4">
        <f t="shared" si="3"/>
        <v>2136.8493150684931</v>
      </c>
      <c r="E80" s="4">
        <f t="shared" si="4"/>
        <v>2029.9999999999998</v>
      </c>
      <c r="F80" s="1">
        <v>2</v>
      </c>
      <c r="G80" s="1">
        <v>1000</v>
      </c>
      <c r="H80" s="7">
        <v>1.0149999999999999</v>
      </c>
      <c r="I80" s="4">
        <f t="shared" si="5"/>
        <v>106.84931506849315</v>
      </c>
      <c r="J80" s="7">
        <v>6.5000000000000002E-2</v>
      </c>
      <c r="K80" s="58">
        <v>1</v>
      </c>
      <c r="L80" s="1" t="s">
        <v>925</v>
      </c>
      <c r="M80" s="1">
        <v>1</v>
      </c>
      <c r="N80" s="9">
        <v>45085</v>
      </c>
      <c r="O80" s="1" t="s">
        <v>56</v>
      </c>
      <c r="P80" s="1" t="s">
        <v>39</v>
      </c>
      <c r="Q80" s="1" t="s">
        <v>749</v>
      </c>
      <c r="R80" s="1" t="s">
        <v>750</v>
      </c>
      <c r="S80" s="1" t="b">
        <v>1</v>
      </c>
      <c r="T80" s="9"/>
      <c r="U80" s="4"/>
      <c r="V80" s="4"/>
      <c r="W80" s="4"/>
      <c r="X80" s="4"/>
      <c r="Y80" s="4" t="str">
        <f>IF(anleihenkäufe[[#This Row],[Verkauft am]]="","",anleihenkäufe[[#This Row],[Gewinn aus Kursänderung]]+anleihenkäufe[[#This Row],[Gewinn aus Zinsen]]+anleihenkäufe[[#This Row],[Gewinn aus Währungseffekten]])</f>
        <v/>
      </c>
      <c r="Z80" s="156" t="str">
        <f>IF(anleihenkäufe[[#This Row],[Verkauft am]]="","",anleihenkäufe[[#This Row],[Gewinn gesamt]]/anleihenkäufe[[#This Row],[Dirty Kaufpreis]])</f>
        <v/>
      </c>
    </row>
    <row r="81" spans="1:26" ht="14.25" x14ac:dyDescent="0.2">
      <c r="A81" s="9">
        <v>45385</v>
      </c>
      <c r="B81" s="1" t="s">
        <v>763</v>
      </c>
      <c r="C81" s="1" t="s">
        <v>8</v>
      </c>
      <c r="D81" s="4">
        <f t="shared" si="3"/>
        <v>2249.9424657534246</v>
      </c>
      <c r="E81" s="4">
        <f t="shared" si="4"/>
        <v>2140.6</v>
      </c>
      <c r="F81" s="1">
        <v>2</v>
      </c>
      <c r="G81" s="1">
        <v>1000</v>
      </c>
      <c r="H81" s="7">
        <v>1.0703</v>
      </c>
      <c r="I81" s="4">
        <f t="shared" si="5"/>
        <v>109.34246575342466</v>
      </c>
      <c r="J81" s="7">
        <v>6.5000000000000002E-2</v>
      </c>
      <c r="K81" s="58">
        <v>1</v>
      </c>
      <c r="L81" s="1" t="s">
        <v>925</v>
      </c>
      <c r="M81" s="1">
        <v>1</v>
      </c>
      <c r="N81" s="9">
        <v>45078</v>
      </c>
      <c r="O81" s="1" t="s">
        <v>75</v>
      </c>
      <c r="P81" s="1" t="s">
        <v>52</v>
      </c>
      <c r="Q81" s="1" t="s">
        <v>764</v>
      </c>
      <c r="R81" s="1" t="s">
        <v>765</v>
      </c>
      <c r="S81" s="1" t="b">
        <v>1</v>
      </c>
      <c r="T81" s="9"/>
      <c r="U81" s="4"/>
      <c r="V81" s="4"/>
      <c r="W81" s="4"/>
      <c r="X81" s="4"/>
      <c r="Y81" s="4" t="str">
        <f>IF(anleihenkäufe[[#This Row],[Verkauft am]]="","",anleihenkäufe[[#This Row],[Gewinn aus Kursänderung]]+anleihenkäufe[[#This Row],[Gewinn aus Zinsen]]+anleihenkäufe[[#This Row],[Gewinn aus Währungseffekten]])</f>
        <v/>
      </c>
      <c r="Z81" s="156" t="str">
        <f>IF(anleihenkäufe[[#This Row],[Verkauft am]]="","",anleihenkäufe[[#This Row],[Gewinn gesamt]]/anleihenkäufe[[#This Row],[Dirty Kaufpreis]])</f>
        <v/>
      </c>
    </row>
    <row r="82" spans="1:26" ht="14.25" x14ac:dyDescent="0.2">
      <c r="A82" s="9">
        <v>45385</v>
      </c>
      <c r="B82" s="1" t="s">
        <v>688</v>
      </c>
      <c r="C82" s="1" t="s">
        <v>11</v>
      </c>
      <c r="D82" s="4">
        <f t="shared" si="3"/>
        <v>1604.3561643835617</v>
      </c>
      <c r="E82" s="4">
        <f t="shared" si="4"/>
        <v>1600</v>
      </c>
      <c r="F82" s="1">
        <v>2</v>
      </c>
      <c r="G82" s="1">
        <v>1000</v>
      </c>
      <c r="H82" s="7">
        <v>0.8</v>
      </c>
      <c r="I82" s="4">
        <f t="shared" si="5"/>
        <v>4.3561643835616435</v>
      </c>
      <c r="J82" s="7">
        <v>6.6250000000000003E-2</v>
      </c>
      <c r="K82" s="58">
        <v>1</v>
      </c>
      <c r="L82" s="1" t="s">
        <v>925</v>
      </c>
      <c r="M82" s="1">
        <v>1</v>
      </c>
      <c r="N82" s="9">
        <v>45373</v>
      </c>
      <c r="O82" s="1" t="s">
        <v>689</v>
      </c>
      <c r="P82" s="1" t="s">
        <v>268</v>
      </c>
      <c r="Q82" s="1" t="s">
        <v>723</v>
      </c>
      <c r="R82" s="1" t="s">
        <v>724</v>
      </c>
      <c r="S82" s="1" t="b">
        <v>1</v>
      </c>
      <c r="T82" s="9"/>
      <c r="U82" s="4"/>
      <c r="V82" s="4"/>
      <c r="W82" s="4"/>
      <c r="X82" s="4"/>
      <c r="Y82" s="4" t="str">
        <f>IF(anleihenkäufe[[#This Row],[Verkauft am]]="","",anleihenkäufe[[#This Row],[Gewinn aus Kursänderung]]+anleihenkäufe[[#This Row],[Gewinn aus Zinsen]]+anleihenkäufe[[#This Row],[Gewinn aus Währungseffekten]])</f>
        <v/>
      </c>
      <c r="Z82" s="156" t="str">
        <f>IF(anleihenkäufe[[#This Row],[Verkauft am]]="","",anleihenkäufe[[#This Row],[Gewinn gesamt]]/anleihenkäufe[[#This Row],[Dirty Kaufpreis]])</f>
        <v/>
      </c>
    </row>
    <row r="83" spans="1:26" ht="14.25" x14ac:dyDescent="0.2">
      <c r="A83" s="9">
        <v>45385</v>
      </c>
      <c r="B83" s="1" t="s">
        <v>728</v>
      </c>
      <c r="C83" s="1" t="s">
        <v>0</v>
      </c>
      <c r="D83" s="4">
        <f t="shared" si="3"/>
        <v>1909.6246575342464</v>
      </c>
      <c r="E83" s="4">
        <f t="shared" si="4"/>
        <v>1892.1999999999998</v>
      </c>
      <c r="F83" s="1">
        <v>2</v>
      </c>
      <c r="G83" s="1">
        <v>1000</v>
      </c>
      <c r="H83" s="7">
        <v>0.94609999999999994</v>
      </c>
      <c r="I83" s="4">
        <f t="shared" si="5"/>
        <v>17.424657534246574</v>
      </c>
      <c r="J83" s="7">
        <v>6.6250000000000003E-2</v>
      </c>
      <c r="K83" s="58">
        <v>1</v>
      </c>
      <c r="L83" s="1" t="s">
        <v>925</v>
      </c>
      <c r="M83" s="1">
        <v>2</v>
      </c>
      <c r="N83" s="9">
        <v>45337</v>
      </c>
      <c r="O83" s="1" t="s">
        <v>508</v>
      </c>
      <c r="P83" s="1" t="s">
        <v>39</v>
      </c>
      <c r="Q83" s="1" t="s">
        <v>729</v>
      </c>
      <c r="R83" s="1" t="s">
        <v>730</v>
      </c>
      <c r="S83" s="1" t="b">
        <v>1</v>
      </c>
      <c r="T83" s="9"/>
      <c r="U83" s="4"/>
      <c r="V83" s="4"/>
      <c r="W83" s="4"/>
      <c r="X83" s="4"/>
      <c r="Y83" s="4" t="str">
        <f>IF(anleihenkäufe[[#This Row],[Verkauft am]]="","",anleihenkäufe[[#This Row],[Gewinn aus Kursänderung]]+anleihenkäufe[[#This Row],[Gewinn aus Zinsen]]+anleihenkäufe[[#This Row],[Gewinn aus Währungseffekten]])</f>
        <v/>
      </c>
      <c r="Z83" s="156" t="str">
        <f>IF(anleihenkäufe[[#This Row],[Verkauft am]]="","",anleihenkäufe[[#This Row],[Gewinn gesamt]]/anleihenkäufe[[#This Row],[Dirty Kaufpreis]])</f>
        <v/>
      </c>
    </row>
    <row r="84" spans="1:26" ht="14.25" x14ac:dyDescent="0.2">
      <c r="A84" s="9">
        <v>45385</v>
      </c>
      <c r="B84" s="1" t="s">
        <v>668</v>
      </c>
      <c r="C84" s="1" t="s">
        <v>0</v>
      </c>
      <c r="D84" s="4">
        <f t="shared" si="3"/>
        <v>2024.3753424657534</v>
      </c>
      <c r="E84" s="4">
        <f t="shared" si="4"/>
        <v>1988.8</v>
      </c>
      <c r="F84" s="1">
        <v>2</v>
      </c>
      <c r="G84" s="1">
        <v>1000</v>
      </c>
      <c r="H84" s="7">
        <v>0.99439999999999995</v>
      </c>
      <c r="I84" s="4">
        <f t="shared" si="5"/>
        <v>35.575342465753423</v>
      </c>
      <c r="J84" s="7">
        <v>6.6250000000000003E-2</v>
      </c>
      <c r="K84" s="58">
        <v>1</v>
      </c>
      <c r="L84" s="1" t="s">
        <v>925</v>
      </c>
      <c r="M84" s="1">
        <v>2</v>
      </c>
      <c r="N84" s="9">
        <v>45287</v>
      </c>
      <c r="O84" s="1" t="s">
        <v>51</v>
      </c>
      <c r="P84" s="1" t="s">
        <v>61</v>
      </c>
      <c r="Q84" s="1" t="s">
        <v>734</v>
      </c>
      <c r="R84" s="1" t="s">
        <v>735</v>
      </c>
      <c r="S84" s="1" t="b">
        <v>1</v>
      </c>
      <c r="T84" s="9"/>
      <c r="U84" s="4"/>
      <c r="V84" s="4"/>
      <c r="W84" s="4"/>
      <c r="X84" s="4"/>
      <c r="Y84" s="4" t="str">
        <f>IF(anleihenkäufe[[#This Row],[Verkauft am]]="","",anleihenkäufe[[#This Row],[Gewinn aus Kursänderung]]+anleihenkäufe[[#This Row],[Gewinn aus Zinsen]]+anleihenkäufe[[#This Row],[Gewinn aus Währungseffekten]])</f>
        <v/>
      </c>
      <c r="Z84" s="156" t="str">
        <f>IF(anleihenkäufe[[#This Row],[Verkauft am]]="","",anleihenkäufe[[#This Row],[Gewinn gesamt]]/anleihenkäufe[[#This Row],[Dirty Kaufpreis]])</f>
        <v/>
      </c>
    </row>
    <row r="85" spans="1:26" ht="14.25" x14ac:dyDescent="0.2">
      <c r="A85" s="9">
        <v>45385</v>
      </c>
      <c r="B85" s="1" t="s">
        <v>725</v>
      </c>
      <c r="C85" s="1" t="s">
        <v>0</v>
      </c>
      <c r="D85" s="4">
        <f t="shared" si="3"/>
        <v>2074.3095890410959</v>
      </c>
      <c r="E85" s="4">
        <f t="shared" si="4"/>
        <v>2032.2</v>
      </c>
      <c r="F85" s="1">
        <v>2</v>
      </c>
      <c r="G85" s="1">
        <v>1000</v>
      </c>
      <c r="H85" s="7">
        <v>1.0161</v>
      </c>
      <c r="I85" s="4">
        <f t="shared" si="5"/>
        <v>42.109589041095887</v>
      </c>
      <c r="J85" s="7">
        <v>6.6250000000000003E-2</v>
      </c>
      <c r="K85" s="58">
        <v>1</v>
      </c>
      <c r="L85" s="1" t="s">
        <v>925</v>
      </c>
      <c r="M85" s="1">
        <v>1</v>
      </c>
      <c r="N85" s="9">
        <v>45269</v>
      </c>
      <c r="O85" s="1" t="s">
        <v>170</v>
      </c>
      <c r="P85" s="1" t="s">
        <v>81</v>
      </c>
      <c r="Q85" s="1" t="s">
        <v>726</v>
      </c>
      <c r="R85" s="1" t="s">
        <v>727</v>
      </c>
      <c r="S85" s="1" t="b">
        <v>1</v>
      </c>
      <c r="T85" s="9"/>
      <c r="U85" s="4"/>
      <c r="V85" s="4"/>
      <c r="W85" s="4"/>
      <c r="X85" s="4"/>
      <c r="Y85" s="4" t="str">
        <f>IF(anleihenkäufe[[#This Row],[Verkauft am]]="","",anleihenkäufe[[#This Row],[Gewinn aus Kursänderung]]+anleihenkäufe[[#This Row],[Gewinn aus Zinsen]]+anleihenkäufe[[#This Row],[Gewinn aus Währungseffekten]])</f>
        <v/>
      </c>
      <c r="Z85" s="156" t="str">
        <f>IF(anleihenkäufe[[#This Row],[Verkauft am]]="","",anleihenkäufe[[#This Row],[Gewinn gesamt]]/anleihenkäufe[[#This Row],[Dirty Kaufpreis]])</f>
        <v/>
      </c>
    </row>
    <row r="86" spans="1:26" ht="14.25" x14ac:dyDescent="0.2">
      <c r="A86" s="9">
        <v>45385</v>
      </c>
      <c r="B86" s="1" t="s">
        <v>731</v>
      </c>
      <c r="C86" s="1" t="s">
        <v>0</v>
      </c>
      <c r="D86" s="4">
        <f t="shared" si="3"/>
        <v>2076.421917808219</v>
      </c>
      <c r="E86" s="4">
        <f t="shared" si="4"/>
        <v>2025.6</v>
      </c>
      <c r="F86" s="1">
        <v>2</v>
      </c>
      <c r="G86" s="1">
        <v>1000</v>
      </c>
      <c r="H86" s="7">
        <v>1.0127999999999999</v>
      </c>
      <c r="I86" s="4">
        <f t="shared" si="5"/>
        <v>50.821917808219176</v>
      </c>
      <c r="J86" s="7">
        <v>6.6250000000000003E-2</v>
      </c>
      <c r="K86" s="58">
        <v>1</v>
      </c>
      <c r="L86" s="1" t="s">
        <v>925</v>
      </c>
      <c r="M86" s="1">
        <v>2</v>
      </c>
      <c r="N86" s="9">
        <v>45245</v>
      </c>
      <c r="O86" s="1" t="s">
        <v>65</v>
      </c>
      <c r="P86" s="1" t="s">
        <v>52</v>
      </c>
      <c r="Q86" s="1" t="s">
        <v>732</v>
      </c>
      <c r="R86" s="1" t="s">
        <v>733</v>
      </c>
      <c r="S86" s="1" t="b">
        <v>1</v>
      </c>
      <c r="T86" s="9"/>
      <c r="U86" s="4"/>
      <c r="V86" s="4"/>
      <c r="W86" s="4"/>
      <c r="X86" s="4"/>
      <c r="Y86" s="4" t="str">
        <f>IF(anleihenkäufe[[#This Row],[Verkauft am]]="","",anleihenkäufe[[#This Row],[Gewinn aus Kursänderung]]+anleihenkäufe[[#This Row],[Gewinn aus Zinsen]]+anleihenkäufe[[#This Row],[Gewinn aus Währungseffekten]])</f>
        <v/>
      </c>
      <c r="Z86" s="156" t="str">
        <f>IF(anleihenkäufe[[#This Row],[Verkauft am]]="","",anleihenkäufe[[#This Row],[Gewinn gesamt]]/anleihenkäufe[[#This Row],[Dirty Kaufpreis]])</f>
        <v/>
      </c>
    </row>
    <row r="87" spans="1:26" ht="14.25" x14ac:dyDescent="0.2">
      <c r="A87" s="9">
        <v>45385</v>
      </c>
      <c r="B87" s="1" t="s">
        <v>84</v>
      </c>
      <c r="C87" s="1" t="s">
        <v>0</v>
      </c>
      <c r="D87" s="4">
        <f t="shared" si="3"/>
        <v>1413.3589041095888</v>
      </c>
      <c r="E87" s="4">
        <f t="shared" si="4"/>
        <v>1356.3999999999999</v>
      </c>
      <c r="F87" s="1">
        <v>2</v>
      </c>
      <c r="G87" s="1">
        <v>1000</v>
      </c>
      <c r="H87" s="7">
        <v>0.67819999999999991</v>
      </c>
      <c r="I87" s="4">
        <f t="shared" si="5"/>
        <v>56.958904109589042</v>
      </c>
      <c r="J87" s="7">
        <v>6.7500000000000004E-2</v>
      </c>
      <c r="K87" s="58">
        <v>1</v>
      </c>
      <c r="L87" s="1" t="s">
        <v>925</v>
      </c>
      <c r="M87" s="1">
        <v>2</v>
      </c>
      <c r="N87" s="9">
        <v>45231</v>
      </c>
      <c r="O87" s="1" t="s">
        <v>35</v>
      </c>
      <c r="P87" s="1" t="s">
        <v>52</v>
      </c>
      <c r="Q87" s="1" t="s">
        <v>712</v>
      </c>
      <c r="R87" s="1" t="s">
        <v>713</v>
      </c>
      <c r="S87" s="1" t="b">
        <v>0</v>
      </c>
      <c r="T87" s="9">
        <v>45412</v>
      </c>
      <c r="U87" s="4">
        <v>1459.0550684931507</v>
      </c>
      <c r="V87" s="4">
        <v>35.340000000000146</v>
      </c>
      <c r="W87" s="4">
        <v>10.35616849315069</v>
      </c>
      <c r="X87" s="4">
        <v>-1.2789769243681803E-13</v>
      </c>
      <c r="Y87" s="4">
        <f>IF(anleihenkäufe[[#This Row],[Verkauft am]]="","",anleihenkäufe[[#This Row],[Gewinn aus Kursänderung]]+anleihenkäufe[[#This Row],[Gewinn aus Zinsen]]+anleihenkäufe[[#This Row],[Gewinn aus Währungseffekten]])</f>
        <v>45.696168493150708</v>
      </c>
      <c r="Z87" s="156">
        <f>IF(anleihenkäufe[[#This Row],[Verkauft am]]="","",anleihenkäufe[[#This Row],[Gewinn gesamt]]/anleihenkäufe[[#This Row],[Dirty Kaufpreis]])</f>
        <v>3.2331609727919132E-2</v>
      </c>
    </row>
    <row r="88" spans="1:26" ht="14.25" x14ac:dyDescent="0.2">
      <c r="A88" s="9">
        <v>45385</v>
      </c>
      <c r="B88" s="1" t="s">
        <v>702</v>
      </c>
      <c r="C88" s="1" t="s">
        <v>3</v>
      </c>
      <c r="D88" s="4">
        <f t="shared" si="3"/>
        <v>807.02739726027403</v>
      </c>
      <c r="E88" s="4">
        <f t="shared" si="4"/>
        <v>800</v>
      </c>
      <c r="F88" s="1">
        <v>2</v>
      </c>
      <c r="G88" s="1">
        <v>1000</v>
      </c>
      <c r="H88" s="7">
        <v>0.4</v>
      </c>
      <c r="I88" s="4">
        <f t="shared" si="5"/>
        <v>7.0273972602739727</v>
      </c>
      <c r="J88" s="7">
        <v>6.7500000000000004E-2</v>
      </c>
      <c r="K88" s="58">
        <v>1</v>
      </c>
      <c r="L88" s="1" t="s">
        <v>925</v>
      </c>
      <c r="M88" s="1">
        <v>2</v>
      </c>
      <c r="N88" s="9">
        <v>45366</v>
      </c>
      <c r="O88" s="1" t="s">
        <v>56</v>
      </c>
      <c r="P88" s="1" t="s">
        <v>52</v>
      </c>
      <c r="Q88" s="1" t="s">
        <v>703</v>
      </c>
      <c r="R88" s="1" t="s">
        <v>704</v>
      </c>
      <c r="S88" s="1" t="b">
        <v>1</v>
      </c>
      <c r="T88" s="9"/>
      <c r="U88" s="4"/>
      <c r="V88" s="4"/>
      <c r="W88" s="4"/>
      <c r="X88" s="4"/>
      <c r="Y88" s="4" t="str">
        <f>IF(anleihenkäufe[[#This Row],[Verkauft am]]="","",anleihenkäufe[[#This Row],[Gewinn aus Kursänderung]]+anleihenkäufe[[#This Row],[Gewinn aus Zinsen]]+anleihenkäufe[[#This Row],[Gewinn aus Währungseffekten]])</f>
        <v/>
      </c>
      <c r="Z88" s="156" t="str">
        <f>IF(anleihenkäufe[[#This Row],[Verkauft am]]="","",anleihenkäufe[[#This Row],[Gewinn gesamt]]/anleihenkäufe[[#This Row],[Dirty Kaufpreis]])</f>
        <v/>
      </c>
    </row>
    <row r="89" spans="1:26" ht="14.25" x14ac:dyDescent="0.2">
      <c r="A89" s="9">
        <v>45385</v>
      </c>
      <c r="B89" s="1" t="s">
        <v>696</v>
      </c>
      <c r="C89" s="1" t="s">
        <v>4</v>
      </c>
      <c r="D89" s="4">
        <f t="shared" si="3"/>
        <v>1970.4246575342465</v>
      </c>
      <c r="E89" s="4">
        <f t="shared" si="4"/>
        <v>1956</v>
      </c>
      <c r="F89" s="1">
        <v>2</v>
      </c>
      <c r="G89" s="1">
        <v>1000</v>
      </c>
      <c r="H89" s="7">
        <v>0.97799999999999998</v>
      </c>
      <c r="I89" s="4">
        <f t="shared" si="5"/>
        <v>14.424657534246576</v>
      </c>
      <c r="J89" s="7">
        <v>6.7500000000000004E-2</v>
      </c>
      <c r="K89" s="58">
        <v>1</v>
      </c>
      <c r="L89" s="1" t="s">
        <v>925</v>
      </c>
      <c r="M89" s="1">
        <v>2</v>
      </c>
      <c r="N89" s="9">
        <v>45346</v>
      </c>
      <c r="O89" s="1" t="s">
        <v>56</v>
      </c>
      <c r="P89" s="1" t="s">
        <v>52</v>
      </c>
      <c r="Q89" s="1" t="s">
        <v>697</v>
      </c>
      <c r="R89" s="1" t="s">
        <v>698</v>
      </c>
      <c r="S89" s="1" t="b">
        <v>1</v>
      </c>
      <c r="T89" s="9"/>
      <c r="U89" s="4"/>
      <c r="V89" s="4"/>
      <c r="W89" s="4"/>
      <c r="X89" s="4"/>
      <c r="Y89" s="4" t="str">
        <f>IF(anleihenkäufe[[#This Row],[Verkauft am]]="","",anleihenkäufe[[#This Row],[Gewinn aus Kursänderung]]+anleihenkäufe[[#This Row],[Gewinn aus Zinsen]]+anleihenkäufe[[#This Row],[Gewinn aus Währungseffekten]])</f>
        <v/>
      </c>
      <c r="Z89" s="156" t="str">
        <f>IF(anleihenkäufe[[#This Row],[Verkauft am]]="","",anleihenkäufe[[#This Row],[Gewinn gesamt]]/anleihenkäufe[[#This Row],[Dirty Kaufpreis]])</f>
        <v/>
      </c>
    </row>
    <row r="90" spans="1:26" ht="14.25" x14ac:dyDescent="0.2">
      <c r="A90" s="9">
        <v>45385</v>
      </c>
      <c r="B90" s="1" t="s">
        <v>705</v>
      </c>
      <c r="C90" s="1" t="s">
        <v>11</v>
      </c>
      <c r="D90" s="4">
        <f t="shared" si="3"/>
        <v>2151.9589041095892</v>
      </c>
      <c r="E90" s="4">
        <f t="shared" si="4"/>
        <v>2122</v>
      </c>
      <c r="F90" s="1">
        <v>2</v>
      </c>
      <c r="G90" s="1">
        <v>1000</v>
      </c>
      <c r="H90" s="7">
        <v>1.0609999999999999</v>
      </c>
      <c r="I90" s="4">
        <f t="shared" si="5"/>
        <v>29.958904109589042</v>
      </c>
      <c r="J90" s="7">
        <v>6.7500000000000004E-2</v>
      </c>
      <c r="K90" s="58">
        <v>1</v>
      </c>
      <c r="L90" s="1" t="s">
        <v>925</v>
      </c>
      <c r="M90" s="1">
        <v>1</v>
      </c>
      <c r="N90" s="9">
        <v>45304</v>
      </c>
      <c r="O90" s="1" t="s">
        <v>56</v>
      </c>
      <c r="P90" s="1" t="s">
        <v>81</v>
      </c>
      <c r="Q90" s="1" t="s">
        <v>706</v>
      </c>
      <c r="R90" s="1" t="s">
        <v>707</v>
      </c>
      <c r="S90" s="1" t="b">
        <v>1</v>
      </c>
      <c r="T90" s="9"/>
      <c r="U90" s="4"/>
      <c r="V90" s="4"/>
      <c r="W90" s="4"/>
      <c r="X90" s="4"/>
      <c r="Y90" s="4" t="str">
        <f>IF(anleihenkäufe[[#This Row],[Verkauft am]]="","",anleihenkäufe[[#This Row],[Gewinn aus Kursänderung]]+anleihenkäufe[[#This Row],[Gewinn aus Zinsen]]+anleihenkäufe[[#This Row],[Gewinn aus Währungseffekten]])</f>
        <v/>
      </c>
      <c r="Z90" s="156" t="str">
        <f>IF(anleihenkäufe[[#This Row],[Verkauft am]]="","",anleihenkäufe[[#This Row],[Gewinn gesamt]]/anleihenkäufe[[#This Row],[Dirty Kaufpreis]])</f>
        <v/>
      </c>
    </row>
    <row r="91" spans="1:26" ht="14.25" x14ac:dyDescent="0.2">
      <c r="A91" s="9">
        <v>45385</v>
      </c>
      <c r="B91" s="1" t="s">
        <v>720</v>
      </c>
      <c r="C91" s="1" t="s">
        <v>6</v>
      </c>
      <c r="D91" s="4">
        <f t="shared" si="3"/>
        <v>2140.3945205479454</v>
      </c>
      <c r="E91" s="4">
        <f t="shared" si="4"/>
        <v>2098.6000000000004</v>
      </c>
      <c r="F91" s="1">
        <v>2</v>
      </c>
      <c r="G91" s="1">
        <v>1000</v>
      </c>
      <c r="H91" s="7">
        <v>1.0493000000000001</v>
      </c>
      <c r="I91" s="4">
        <f t="shared" si="5"/>
        <v>41.794520547945204</v>
      </c>
      <c r="J91" s="7">
        <v>6.7500000000000004E-2</v>
      </c>
      <c r="K91" s="58">
        <v>1</v>
      </c>
      <c r="L91" s="1" t="s">
        <v>925</v>
      </c>
      <c r="M91" s="1">
        <v>2</v>
      </c>
      <c r="N91" s="9">
        <v>45272</v>
      </c>
      <c r="O91" s="1" t="s">
        <v>170</v>
      </c>
      <c r="P91" s="1" t="s">
        <v>39</v>
      </c>
      <c r="Q91" s="1" t="s">
        <v>721</v>
      </c>
      <c r="R91" s="1" t="s">
        <v>722</v>
      </c>
      <c r="S91" s="1" t="b">
        <v>1</v>
      </c>
      <c r="T91" s="9"/>
      <c r="U91" s="4"/>
      <c r="V91" s="4"/>
      <c r="W91" s="4"/>
      <c r="X91" s="4"/>
      <c r="Y91" s="4" t="str">
        <f>IF(anleihenkäufe[[#This Row],[Verkauft am]]="","",anleihenkäufe[[#This Row],[Gewinn aus Kursänderung]]+anleihenkäufe[[#This Row],[Gewinn aus Zinsen]]+anleihenkäufe[[#This Row],[Gewinn aus Währungseffekten]])</f>
        <v/>
      </c>
      <c r="Z91" s="156" t="str">
        <f>IF(anleihenkäufe[[#This Row],[Verkauft am]]="","",anleihenkäufe[[#This Row],[Gewinn gesamt]]/anleihenkäufe[[#This Row],[Dirty Kaufpreis]])</f>
        <v/>
      </c>
    </row>
    <row r="92" spans="1:26" ht="14.25" x14ac:dyDescent="0.2">
      <c r="A92" s="9">
        <v>45385</v>
      </c>
      <c r="B92" s="1" t="s">
        <v>717</v>
      </c>
      <c r="C92" s="1" t="s">
        <v>6</v>
      </c>
      <c r="D92" s="4">
        <f t="shared" si="3"/>
        <v>2158.5808219178084</v>
      </c>
      <c r="E92" s="4">
        <f t="shared" si="4"/>
        <v>2106.8000000000002</v>
      </c>
      <c r="F92" s="1">
        <v>2</v>
      </c>
      <c r="G92" s="1">
        <v>1000</v>
      </c>
      <c r="H92" s="7">
        <v>1.0534000000000001</v>
      </c>
      <c r="I92" s="4">
        <f t="shared" si="5"/>
        <v>51.780821917808218</v>
      </c>
      <c r="J92" s="7">
        <v>6.7500000000000004E-2</v>
      </c>
      <c r="K92" s="58">
        <v>1</v>
      </c>
      <c r="L92" s="1" t="s">
        <v>925</v>
      </c>
      <c r="M92" s="1">
        <v>2</v>
      </c>
      <c r="N92" s="9">
        <v>45245</v>
      </c>
      <c r="O92" s="1" t="s">
        <v>56</v>
      </c>
      <c r="P92" s="1" t="s">
        <v>61</v>
      </c>
      <c r="Q92" s="1" t="s">
        <v>718</v>
      </c>
      <c r="R92" s="1" t="s">
        <v>719</v>
      </c>
      <c r="S92" s="1" t="b">
        <v>1</v>
      </c>
      <c r="T92" s="9"/>
      <c r="U92" s="4"/>
      <c r="V92" s="4"/>
      <c r="W92" s="4"/>
      <c r="X92" s="4"/>
      <c r="Y92" s="4" t="str">
        <f>IF(anleihenkäufe[[#This Row],[Verkauft am]]="","",anleihenkäufe[[#This Row],[Gewinn aus Kursänderung]]+anleihenkäufe[[#This Row],[Gewinn aus Zinsen]]+anleihenkäufe[[#This Row],[Gewinn aus Währungseffekten]])</f>
        <v/>
      </c>
      <c r="Z92" s="156" t="str">
        <f>IF(anleihenkäufe[[#This Row],[Verkauft am]]="","",anleihenkäufe[[#This Row],[Gewinn gesamt]]/anleihenkäufe[[#This Row],[Dirty Kaufpreis]])</f>
        <v/>
      </c>
    </row>
    <row r="93" spans="1:26" ht="14.25" x14ac:dyDescent="0.2">
      <c r="A93" s="9">
        <v>45385</v>
      </c>
      <c r="B93" s="1" t="s">
        <v>699</v>
      </c>
      <c r="C93" s="1" t="s">
        <v>4</v>
      </c>
      <c r="D93" s="4">
        <f t="shared" si="3"/>
        <v>2002.1369863013699</v>
      </c>
      <c r="E93" s="4">
        <f t="shared" si="4"/>
        <v>1940</v>
      </c>
      <c r="F93" s="1">
        <v>2</v>
      </c>
      <c r="G93" s="1">
        <v>1000</v>
      </c>
      <c r="H93" s="7">
        <v>0.97</v>
      </c>
      <c r="I93" s="4">
        <f t="shared" si="5"/>
        <v>62.136986301369866</v>
      </c>
      <c r="J93" s="7">
        <v>6.7500000000000004E-2</v>
      </c>
      <c r="K93" s="58">
        <v>1</v>
      </c>
      <c r="L93" s="1" t="s">
        <v>925</v>
      </c>
      <c r="M93" s="1">
        <v>2</v>
      </c>
      <c r="N93" s="9">
        <v>45217</v>
      </c>
      <c r="O93" s="1" t="s">
        <v>56</v>
      </c>
      <c r="P93" s="1" t="s">
        <v>57</v>
      </c>
      <c r="Q93" s="1" t="s">
        <v>700</v>
      </c>
      <c r="R93" s="1" t="s">
        <v>701</v>
      </c>
      <c r="S93" s="1" t="b">
        <v>1</v>
      </c>
      <c r="T93" s="9"/>
      <c r="U93" s="4"/>
      <c r="V93" s="4"/>
      <c r="W93" s="4"/>
      <c r="X93" s="4"/>
      <c r="Y93" s="4" t="str">
        <f>IF(anleihenkäufe[[#This Row],[Verkauft am]]="","",anleihenkäufe[[#This Row],[Gewinn aus Kursänderung]]+anleihenkäufe[[#This Row],[Gewinn aus Zinsen]]+anleihenkäufe[[#This Row],[Gewinn aus Währungseffekten]])</f>
        <v/>
      </c>
      <c r="Z93" s="156" t="str">
        <f>IF(anleihenkäufe[[#This Row],[Verkauft am]]="","",anleihenkäufe[[#This Row],[Gewinn gesamt]]/anleihenkäufe[[#This Row],[Dirty Kaufpreis]])</f>
        <v/>
      </c>
    </row>
    <row r="94" spans="1:26" ht="14.25" x14ac:dyDescent="0.2">
      <c r="A94" s="9">
        <v>45385</v>
      </c>
      <c r="B94" s="1" t="s">
        <v>714</v>
      </c>
      <c r="C94" s="1" t="s">
        <v>1</v>
      </c>
      <c r="D94" s="4">
        <f t="shared" si="3"/>
        <v>2185.3452054794516</v>
      </c>
      <c r="E94" s="4">
        <f t="shared" si="4"/>
        <v>2091.3999999999996</v>
      </c>
      <c r="F94" s="1">
        <v>2</v>
      </c>
      <c r="G94" s="1">
        <v>1000</v>
      </c>
      <c r="H94" s="7">
        <v>1.0456999999999999</v>
      </c>
      <c r="I94" s="4">
        <f t="shared" si="5"/>
        <v>93.945205479452056</v>
      </c>
      <c r="J94" s="7">
        <v>6.7500000000000004E-2</v>
      </c>
      <c r="K94" s="58">
        <v>1</v>
      </c>
      <c r="L94" s="1" t="s">
        <v>925</v>
      </c>
      <c r="M94" s="1">
        <v>1</v>
      </c>
      <c r="N94" s="9">
        <v>45131</v>
      </c>
      <c r="O94" s="1" t="s">
        <v>35</v>
      </c>
      <c r="P94" s="1" t="s">
        <v>61</v>
      </c>
      <c r="Q94" s="1" t="s">
        <v>715</v>
      </c>
      <c r="R94" s="1" t="s">
        <v>716</v>
      </c>
      <c r="S94" s="1" t="b">
        <v>1</v>
      </c>
      <c r="T94" s="9"/>
      <c r="U94" s="4"/>
      <c r="V94" s="4"/>
      <c r="W94" s="4"/>
      <c r="X94" s="4"/>
      <c r="Y94" s="4" t="str">
        <f>IF(anleihenkäufe[[#This Row],[Verkauft am]]="","",anleihenkäufe[[#This Row],[Gewinn aus Kursänderung]]+anleihenkäufe[[#This Row],[Gewinn aus Zinsen]]+anleihenkäufe[[#This Row],[Gewinn aus Währungseffekten]])</f>
        <v/>
      </c>
      <c r="Z94" s="156" t="str">
        <f>IF(anleihenkäufe[[#This Row],[Verkauft am]]="","",anleihenkäufe[[#This Row],[Gewinn gesamt]]/anleihenkäufe[[#This Row],[Dirty Kaufpreis]])</f>
        <v/>
      </c>
    </row>
    <row r="95" spans="1:26" ht="14.25" x14ac:dyDescent="0.2">
      <c r="A95" s="9">
        <v>45385</v>
      </c>
      <c r="B95" s="1" t="s">
        <v>708</v>
      </c>
      <c r="C95" s="1" t="s">
        <v>11</v>
      </c>
      <c r="D95" s="4">
        <f t="shared" si="3"/>
        <v>626.52054794520552</v>
      </c>
      <c r="E95" s="4">
        <f t="shared" si="4"/>
        <v>520</v>
      </c>
      <c r="F95" s="1">
        <v>2</v>
      </c>
      <c r="G95" s="1">
        <v>1000</v>
      </c>
      <c r="H95" s="7">
        <v>0.26</v>
      </c>
      <c r="I95" s="4">
        <f t="shared" si="5"/>
        <v>106.52054794520548</v>
      </c>
      <c r="J95" s="7">
        <v>6.7500000000000004E-2</v>
      </c>
      <c r="K95" s="58">
        <v>1</v>
      </c>
      <c r="L95" s="1" t="s">
        <v>925</v>
      </c>
      <c r="M95" s="1">
        <v>1</v>
      </c>
      <c r="N95" s="9">
        <v>45097</v>
      </c>
      <c r="O95" s="1" t="s">
        <v>709</v>
      </c>
      <c r="P95" s="1" t="s">
        <v>39</v>
      </c>
      <c r="Q95" s="1" t="s">
        <v>710</v>
      </c>
      <c r="R95" s="1" t="s">
        <v>711</v>
      </c>
      <c r="S95" s="1" t="b">
        <v>1</v>
      </c>
      <c r="T95" s="9"/>
      <c r="U95" s="4"/>
      <c r="V95" s="4"/>
      <c r="W95" s="4"/>
      <c r="X95" s="4"/>
      <c r="Y95" s="4" t="str">
        <f>IF(anleihenkäufe[[#This Row],[Verkauft am]]="","",anleihenkäufe[[#This Row],[Gewinn aus Kursänderung]]+anleihenkäufe[[#This Row],[Gewinn aus Zinsen]]+anleihenkäufe[[#This Row],[Gewinn aus Währungseffekten]])</f>
        <v/>
      </c>
      <c r="Z95" s="156" t="str">
        <f>IF(anleihenkäufe[[#This Row],[Verkauft am]]="","",anleihenkäufe[[#This Row],[Gewinn gesamt]]/anleihenkäufe[[#This Row],[Dirty Kaufpreis]])</f>
        <v/>
      </c>
    </row>
    <row r="96" spans="1:26" ht="14.25" x14ac:dyDescent="0.2">
      <c r="A96" s="9">
        <v>45385</v>
      </c>
      <c r="B96" s="1" t="s">
        <v>688</v>
      </c>
      <c r="C96" s="1" t="s">
        <v>11</v>
      </c>
      <c r="D96" s="4">
        <f t="shared" si="3"/>
        <v>1765.864383561644</v>
      </c>
      <c r="E96" s="4">
        <f t="shared" si="4"/>
        <v>1702.2</v>
      </c>
      <c r="F96" s="1">
        <v>2</v>
      </c>
      <c r="G96" s="1">
        <v>1000</v>
      </c>
      <c r="H96" s="7">
        <v>0.85109999999999997</v>
      </c>
      <c r="I96" s="4">
        <f t="shared" si="5"/>
        <v>63.664383561643838</v>
      </c>
      <c r="J96" s="7">
        <v>6.8750000000000006E-2</v>
      </c>
      <c r="K96" s="58">
        <v>1</v>
      </c>
      <c r="L96" s="1" t="s">
        <v>925</v>
      </c>
      <c r="M96" s="1">
        <v>1</v>
      </c>
      <c r="N96" s="9">
        <v>45216</v>
      </c>
      <c r="O96" s="1" t="s">
        <v>689</v>
      </c>
      <c r="P96" s="1" t="s">
        <v>39</v>
      </c>
      <c r="Q96" s="1" t="s">
        <v>880</v>
      </c>
      <c r="R96" s="1" t="s">
        <v>881</v>
      </c>
      <c r="S96" s="1" t="b">
        <v>0</v>
      </c>
      <c r="T96" s="9">
        <v>45412</v>
      </c>
      <c r="U96" s="4">
        <v>1744.4356164383562</v>
      </c>
      <c r="V96" s="4">
        <v>-31.599999999999852</v>
      </c>
      <c r="W96" s="4">
        <v>10.171216438356169</v>
      </c>
      <c r="X96" s="4">
        <v>-5.6843418860808015E-14</v>
      </c>
      <c r="Y96" s="4">
        <f>IF(anleihenkäufe[[#This Row],[Verkauft am]]="","",anleihenkäufe[[#This Row],[Gewinn aus Kursänderung]]+anleihenkäufe[[#This Row],[Gewinn aus Zinsen]]+anleihenkäufe[[#This Row],[Gewinn aus Währungseffekten]])</f>
        <v>-21.428783561643741</v>
      </c>
      <c r="Z96" s="156">
        <f>IF(anleihenkäufe[[#This Row],[Verkauft am]]="","",anleihenkäufe[[#This Row],[Gewinn gesamt]]/anleihenkäufe[[#This Row],[Dirty Kaufpreis]])</f>
        <v>-1.2135010910873661E-2</v>
      </c>
    </row>
    <row r="97" spans="1:26" ht="14.25" x14ac:dyDescent="0.2">
      <c r="A97" s="9">
        <v>45385</v>
      </c>
      <c r="B97" s="1" t="s">
        <v>693</v>
      </c>
      <c r="C97" s="1" t="s">
        <v>4</v>
      </c>
      <c r="D97" s="4">
        <f t="shared" si="3"/>
        <v>2071.9575342465755</v>
      </c>
      <c r="E97" s="4">
        <f t="shared" si="4"/>
        <v>2064.8000000000002</v>
      </c>
      <c r="F97" s="1">
        <v>2</v>
      </c>
      <c r="G97" s="1">
        <v>1000</v>
      </c>
      <c r="H97" s="7">
        <v>1.0324</v>
      </c>
      <c r="I97" s="4">
        <f t="shared" si="5"/>
        <v>7.1575342465753424</v>
      </c>
      <c r="J97" s="7">
        <v>6.8750000000000006E-2</v>
      </c>
      <c r="K97" s="58">
        <v>1</v>
      </c>
      <c r="L97" s="1" t="s">
        <v>925</v>
      </c>
      <c r="M97" s="1">
        <v>2</v>
      </c>
      <c r="N97" s="9">
        <v>45366</v>
      </c>
      <c r="O97" s="1" t="s">
        <v>176</v>
      </c>
      <c r="P97" s="1" t="s">
        <v>39</v>
      </c>
      <c r="Q97" s="1" t="s">
        <v>694</v>
      </c>
      <c r="R97" s="1" t="s">
        <v>695</v>
      </c>
      <c r="S97" s="1" t="b">
        <v>1</v>
      </c>
      <c r="T97" s="9"/>
      <c r="U97" s="4"/>
      <c r="V97" s="4"/>
      <c r="W97" s="4"/>
      <c r="X97" s="4"/>
      <c r="Y97" s="4" t="str">
        <f>IF(anleihenkäufe[[#This Row],[Verkauft am]]="","",anleihenkäufe[[#This Row],[Gewinn aus Kursänderung]]+anleihenkäufe[[#This Row],[Gewinn aus Zinsen]]+anleihenkäufe[[#This Row],[Gewinn aus Währungseffekten]])</f>
        <v/>
      </c>
      <c r="Z97" s="156" t="str">
        <f>IF(anleihenkäufe[[#This Row],[Verkauft am]]="","",anleihenkäufe[[#This Row],[Gewinn gesamt]]/anleihenkäufe[[#This Row],[Dirty Kaufpreis]])</f>
        <v/>
      </c>
    </row>
    <row r="98" spans="1:26" ht="14.25" x14ac:dyDescent="0.2">
      <c r="A98" s="9">
        <v>45385</v>
      </c>
      <c r="B98" s="1" t="s">
        <v>690</v>
      </c>
      <c r="C98" s="1" t="s">
        <v>11</v>
      </c>
      <c r="D98" s="4">
        <f t="shared" si="3"/>
        <v>1639.2534246575342</v>
      </c>
      <c r="E98" s="4">
        <f t="shared" si="4"/>
        <v>1611</v>
      </c>
      <c r="F98" s="1">
        <v>2</v>
      </c>
      <c r="G98" s="1">
        <v>1000</v>
      </c>
      <c r="H98" s="7">
        <v>0.80549999999999999</v>
      </c>
      <c r="I98" s="4">
        <f t="shared" si="5"/>
        <v>28.253424657534246</v>
      </c>
      <c r="J98" s="7">
        <v>6.8750000000000006E-2</v>
      </c>
      <c r="K98" s="58">
        <v>1</v>
      </c>
      <c r="L98" s="1" t="s">
        <v>925</v>
      </c>
      <c r="M98" s="1">
        <v>1</v>
      </c>
      <c r="N98" s="9">
        <v>45310</v>
      </c>
      <c r="O98" s="1" t="s">
        <v>1491</v>
      </c>
      <c r="P98" s="1" t="s">
        <v>39</v>
      </c>
      <c r="Q98" s="1" t="s">
        <v>691</v>
      </c>
      <c r="R98" s="56" t="s">
        <v>692</v>
      </c>
      <c r="S98" s="1" t="b">
        <v>1</v>
      </c>
      <c r="T98" s="9"/>
      <c r="U98" s="4"/>
      <c r="V98" s="4"/>
      <c r="W98" s="4"/>
      <c r="X98" s="4"/>
      <c r="Y98" s="4" t="str">
        <f>IF(anleihenkäufe[[#This Row],[Verkauft am]]="","",anleihenkäufe[[#This Row],[Gewinn aus Kursänderung]]+anleihenkäufe[[#This Row],[Gewinn aus Zinsen]]+anleihenkäufe[[#This Row],[Gewinn aus Währungseffekten]])</f>
        <v/>
      </c>
      <c r="Z98" s="156" t="str">
        <f>IF(anleihenkäufe[[#This Row],[Verkauft am]]="","",anleihenkäufe[[#This Row],[Gewinn gesamt]]/anleihenkäufe[[#This Row],[Dirty Kaufpreis]])</f>
        <v/>
      </c>
    </row>
    <row r="99" spans="1:26" ht="14.25" x14ac:dyDescent="0.2">
      <c r="A99" s="9">
        <v>45385</v>
      </c>
      <c r="B99" s="1" t="s">
        <v>685</v>
      </c>
      <c r="C99" s="1" t="s">
        <v>10</v>
      </c>
      <c r="D99" s="4">
        <f t="shared" si="3"/>
        <v>2158.3397260273973</v>
      </c>
      <c r="E99" s="4">
        <f t="shared" si="4"/>
        <v>2105.6</v>
      </c>
      <c r="F99" s="1">
        <v>2</v>
      </c>
      <c r="G99" s="1">
        <v>1000</v>
      </c>
      <c r="H99" s="7">
        <v>1.0528</v>
      </c>
      <c r="I99" s="4">
        <f t="shared" si="5"/>
        <v>52.739726027397261</v>
      </c>
      <c r="J99" s="7">
        <v>6.8750000000000006E-2</v>
      </c>
      <c r="K99" s="58">
        <v>1</v>
      </c>
      <c r="L99" s="1" t="s">
        <v>925</v>
      </c>
      <c r="M99" s="1">
        <v>2</v>
      </c>
      <c r="N99" s="9">
        <v>45245</v>
      </c>
      <c r="O99" s="1" t="s">
        <v>65</v>
      </c>
      <c r="P99" s="1" t="s">
        <v>39</v>
      </c>
      <c r="Q99" s="1" t="s">
        <v>686</v>
      </c>
      <c r="R99" s="56" t="s">
        <v>687</v>
      </c>
      <c r="S99" s="1" t="b">
        <v>1</v>
      </c>
      <c r="T99" s="9"/>
      <c r="U99" s="4"/>
      <c r="V99" s="4"/>
      <c r="W99" s="4"/>
      <c r="X99" s="4"/>
      <c r="Y99" s="4" t="str">
        <f>IF(anleihenkäufe[[#This Row],[Verkauft am]]="","",anleihenkäufe[[#This Row],[Gewinn aus Kursänderung]]+anleihenkäufe[[#This Row],[Gewinn aus Zinsen]]+anleihenkäufe[[#This Row],[Gewinn aus Währungseffekten]])</f>
        <v/>
      </c>
      <c r="Z99" s="156" t="str">
        <f>IF(anleihenkäufe[[#This Row],[Verkauft am]]="","",anleihenkäufe[[#This Row],[Gewinn gesamt]]/anleihenkäufe[[#This Row],[Dirty Kaufpreis]])</f>
        <v/>
      </c>
    </row>
    <row r="100" spans="1:26" ht="14.25" x14ac:dyDescent="0.2">
      <c r="A100" s="9">
        <v>45385</v>
      </c>
      <c r="B100" s="1" t="s">
        <v>682</v>
      </c>
      <c r="C100" s="1" t="s">
        <v>0</v>
      </c>
      <c r="D100" s="4">
        <f t="shared" si="3"/>
        <v>2031.3352876712331</v>
      </c>
      <c r="E100" s="4">
        <f t="shared" si="4"/>
        <v>2015.0000000000002</v>
      </c>
      <c r="F100" s="1">
        <v>2</v>
      </c>
      <c r="G100" s="1">
        <v>1000</v>
      </c>
      <c r="H100" s="7">
        <v>1.0075000000000001</v>
      </c>
      <c r="I100" s="4">
        <f t="shared" si="5"/>
        <v>16.335287671232877</v>
      </c>
      <c r="J100" s="7">
        <v>6.9330000000000003E-2</v>
      </c>
      <c r="K100" s="58">
        <v>1</v>
      </c>
      <c r="L100" s="1" t="s">
        <v>925</v>
      </c>
      <c r="M100" s="1">
        <v>4</v>
      </c>
      <c r="N100" s="9">
        <v>45342</v>
      </c>
      <c r="O100" s="1" t="s">
        <v>43</v>
      </c>
      <c r="P100" s="1" t="s">
        <v>39</v>
      </c>
      <c r="Q100" s="1" t="s">
        <v>683</v>
      </c>
      <c r="R100" s="1" t="s">
        <v>684</v>
      </c>
      <c r="S100" s="1" t="b">
        <v>1</v>
      </c>
      <c r="T100" s="9"/>
      <c r="U100" s="4"/>
      <c r="V100" s="4"/>
      <c r="W100" s="4"/>
      <c r="X100" s="4"/>
      <c r="Y100" s="4" t="str">
        <f>IF(anleihenkäufe[[#This Row],[Verkauft am]]="","",anleihenkäufe[[#This Row],[Gewinn aus Kursänderung]]+anleihenkäufe[[#This Row],[Gewinn aus Zinsen]]+anleihenkäufe[[#This Row],[Gewinn aus Währungseffekten]])</f>
        <v/>
      </c>
      <c r="Z100" s="156" t="str">
        <f>IF(anleihenkäufe[[#This Row],[Verkauft am]]="","",anleihenkäufe[[#This Row],[Gewinn gesamt]]/anleihenkäufe[[#This Row],[Dirty Kaufpreis]])</f>
        <v/>
      </c>
    </row>
    <row r="101" spans="1:26" ht="14.25" x14ac:dyDescent="0.2">
      <c r="A101" s="9">
        <v>45385</v>
      </c>
      <c r="B101" s="1" t="s">
        <v>678</v>
      </c>
      <c r="C101" s="1" t="s">
        <v>11</v>
      </c>
      <c r="D101" s="4">
        <f t="shared" si="3"/>
        <v>2095.0087671232873</v>
      </c>
      <c r="E101" s="4">
        <f t="shared" si="4"/>
        <v>2086.9999999999995</v>
      </c>
      <c r="F101" s="1">
        <v>2</v>
      </c>
      <c r="G101" s="1">
        <v>1000</v>
      </c>
      <c r="H101" s="7">
        <v>1.0434999999999999</v>
      </c>
      <c r="I101" s="4">
        <f t="shared" si="5"/>
        <v>8.0087671232876705</v>
      </c>
      <c r="J101" s="7">
        <v>6.9599999999999995E-2</v>
      </c>
      <c r="K101" s="58">
        <v>1</v>
      </c>
      <c r="L101" s="1" t="s">
        <v>925</v>
      </c>
      <c r="M101" s="1">
        <v>1</v>
      </c>
      <c r="N101" s="9">
        <v>45364</v>
      </c>
      <c r="O101" s="1" t="s">
        <v>679</v>
      </c>
      <c r="P101" s="1" t="s">
        <v>61</v>
      </c>
      <c r="Q101" s="1" t="s">
        <v>680</v>
      </c>
      <c r="R101" s="1" t="s">
        <v>681</v>
      </c>
      <c r="S101" s="1" t="b">
        <v>1</v>
      </c>
      <c r="T101" s="9"/>
      <c r="U101" s="4"/>
      <c r="V101" s="4"/>
      <c r="W101" s="4"/>
      <c r="X101" s="4"/>
      <c r="Y101" s="4" t="str">
        <f>IF(anleihenkäufe[[#This Row],[Verkauft am]]="","",anleihenkäufe[[#This Row],[Gewinn aus Kursänderung]]+anleihenkäufe[[#This Row],[Gewinn aus Zinsen]]+anleihenkäufe[[#This Row],[Gewinn aus Währungseffekten]])</f>
        <v/>
      </c>
      <c r="Z101" s="156" t="str">
        <f>IF(anleihenkäufe[[#This Row],[Verkauft am]]="","",anleihenkäufe[[#This Row],[Gewinn gesamt]]/anleihenkäufe[[#This Row],[Dirty Kaufpreis]])</f>
        <v/>
      </c>
    </row>
    <row r="102" spans="1:26" ht="14.25" x14ac:dyDescent="0.2">
      <c r="A102" s="9">
        <v>45385</v>
      </c>
      <c r="B102" s="1" t="s">
        <v>656</v>
      </c>
      <c r="C102" s="1" t="s">
        <v>0</v>
      </c>
      <c r="D102" s="4">
        <f t="shared" si="3"/>
        <v>1725.7205479452052</v>
      </c>
      <c r="E102" s="4">
        <f t="shared" si="4"/>
        <v>1719.1999999999998</v>
      </c>
      <c r="F102" s="1">
        <v>2</v>
      </c>
      <c r="G102" s="1">
        <v>1000</v>
      </c>
      <c r="H102" s="7">
        <v>0.85959999999999992</v>
      </c>
      <c r="I102" s="4">
        <f t="shared" si="5"/>
        <v>6.5205479452054798</v>
      </c>
      <c r="J102" s="7">
        <v>7.0000000000000007E-2</v>
      </c>
      <c r="K102" s="58">
        <v>1</v>
      </c>
      <c r="L102" s="1" t="s">
        <v>925</v>
      </c>
      <c r="M102" s="1">
        <v>4</v>
      </c>
      <c r="N102" s="9">
        <v>45368</v>
      </c>
      <c r="O102" s="1" t="s">
        <v>35</v>
      </c>
      <c r="P102" s="1" t="s">
        <v>657</v>
      </c>
      <c r="Q102" s="1" t="s">
        <v>658</v>
      </c>
      <c r="R102" s="1" t="s">
        <v>659</v>
      </c>
      <c r="S102" s="1" t="b">
        <v>1</v>
      </c>
      <c r="T102" s="9"/>
      <c r="U102" s="4"/>
      <c r="V102" s="4"/>
      <c r="W102" s="4"/>
      <c r="X102" s="4"/>
      <c r="Y102" s="4" t="str">
        <f>IF(anleihenkäufe[[#This Row],[Verkauft am]]="","",anleihenkäufe[[#This Row],[Gewinn aus Kursänderung]]+anleihenkäufe[[#This Row],[Gewinn aus Zinsen]]+anleihenkäufe[[#This Row],[Gewinn aus Währungseffekten]])</f>
        <v/>
      </c>
      <c r="Z102" s="156" t="str">
        <f>IF(anleihenkäufe[[#This Row],[Verkauft am]]="","",anleihenkäufe[[#This Row],[Gewinn gesamt]]/anleihenkäufe[[#This Row],[Dirty Kaufpreis]])</f>
        <v/>
      </c>
    </row>
    <row r="103" spans="1:26" ht="14.25" x14ac:dyDescent="0.2">
      <c r="A103" s="9">
        <v>45385</v>
      </c>
      <c r="B103" s="1" t="s">
        <v>675</v>
      </c>
      <c r="C103" s="1" t="s">
        <v>0</v>
      </c>
      <c r="D103" s="4">
        <f t="shared" si="3"/>
        <v>2024.5780821917806</v>
      </c>
      <c r="E103" s="4">
        <f t="shared" si="4"/>
        <v>2005.3999999999999</v>
      </c>
      <c r="F103" s="1">
        <v>2</v>
      </c>
      <c r="G103" s="1">
        <v>1000</v>
      </c>
      <c r="H103" s="7">
        <v>1.0026999999999999</v>
      </c>
      <c r="I103" s="4">
        <f t="shared" si="5"/>
        <v>19.17808219178082</v>
      </c>
      <c r="J103" s="7">
        <v>7.0000000000000007E-2</v>
      </c>
      <c r="K103" s="58">
        <v>1</v>
      </c>
      <c r="L103" s="1" t="s">
        <v>925</v>
      </c>
      <c r="M103" s="1">
        <v>2</v>
      </c>
      <c r="N103" s="9">
        <v>45335</v>
      </c>
      <c r="O103" s="1" t="s">
        <v>75</v>
      </c>
      <c r="P103" s="1" t="s">
        <v>61</v>
      </c>
      <c r="Q103" s="1" t="s">
        <v>676</v>
      </c>
      <c r="R103" s="1" t="s">
        <v>677</v>
      </c>
      <c r="S103" s="1" t="b">
        <v>1</v>
      </c>
      <c r="T103" s="9"/>
      <c r="U103" s="4"/>
      <c r="V103" s="4"/>
      <c r="W103" s="4"/>
      <c r="X103" s="4"/>
      <c r="Y103" s="4" t="str">
        <f>IF(anleihenkäufe[[#This Row],[Verkauft am]]="","",anleihenkäufe[[#This Row],[Gewinn aus Kursänderung]]+anleihenkäufe[[#This Row],[Gewinn aus Zinsen]]+anleihenkäufe[[#This Row],[Gewinn aus Währungseffekten]])</f>
        <v/>
      </c>
      <c r="Z103" s="156" t="str">
        <f>IF(anleihenkäufe[[#This Row],[Verkauft am]]="","",anleihenkäufe[[#This Row],[Gewinn gesamt]]/anleihenkäufe[[#This Row],[Dirty Kaufpreis]])</f>
        <v/>
      </c>
    </row>
    <row r="104" spans="1:26" ht="14.25" x14ac:dyDescent="0.2">
      <c r="A104" s="9">
        <v>45385</v>
      </c>
      <c r="B104" s="1" t="s">
        <v>653</v>
      </c>
      <c r="C104" s="1" t="s">
        <v>0</v>
      </c>
      <c r="D104" s="4">
        <f t="shared" si="3"/>
        <v>1683.013698630137</v>
      </c>
      <c r="E104" s="4">
        <f t="shared" si="4"/>
        <v>1660</v>
      </c>
      <c r="F104" s="1">
        <v>2</v>
      </c>
      <c r="G104" s="1">
        <v>1000</v>
      </c>
      <c r="H104" s="7">
        <v>0.83</v>
      </c>
      <c r="I104" s="4">
        <f t="shared" si="5"/>
        <v>23.013698630136986</v>
      </c>
      <c r="J104" s="7">
        <v>7.0000000000000007E-2</v>
      </c>
      <c r="K104" s="58">
        <v>1</v>
      </c>
      <c r="L104" s="1" t="s">
        <v>925</v>
      </c>
      <c r="M104" s="1">
        <v>2</v>
      </c>
      <c r="N104" s="9">
        <v>45325</v>
      </c>
      <c r="O104" s="1" t="s">
        <v>35</v>
      </c>
      <c r="P104" s="1" t="s">
        <v>57</v>
      </c>
      <c r="Q104" s="1" t="s">
        <v>654</v>
      </c>
      <c r="R104" s="1" t="s">
        <v>655</v>
      </c>
      <c r="S104" s="1" t="b">
        <v>1</v>
      </c>
      <c r="T104" s="9"/>
      <c r="U104" s="4"/>
      <c r="V104" s="4"/>
      <c r="W104" s="4"/>
      <c r="X104" s="4"/>
      <c r="Y104" s="4" t="str">
        <f>IF(anleihenkäufe[[#This Row],[Verkauft am]]="","",anleihenkäufe[[#This Row],[Gewinn aus Kursänderung]]+anleihenkäufe[[#This Row],[Gewinn aus Zinsen]]+anleihenkäufe[[#This Row],[Gewinn aus Währungseffekten]])</f>
        <v/>
      </c>
      <c r="Z104" s="156" t="str">
        <f>IF(anleihenkäufe[[#This Row],[Verkauft am]]="","",anleihenkäufe[[#This Row],[Gewinn gesamt]]/anleihenkäufe[[#This Row],[Dirty Kaufpreis]])</f>
        <v/>
      </c>
    </row>
    <row r="105" spans="1:26" ht="14.25" x14ac:dyDescent="0.2">
      <c r="A105" s="9">
        <v>45385</v>
      </c>
      <c r="B105" s="1" t="s">
        <v>663</v>
      </c>
      <c r="C105" s="1" t="s">
        <v>0</v>
      </c>
      <c r="D105" s="4">
        <f t="shared" si="3"/>
        <v>2015.8575342465754</v>
      </c>
      <c r="E105" s="4">
        <f t="shared" si="4"/>
        <v>1975.2</v>
      </c>
      <c r="F105" s="1">
        <v>2</v>
      </c>
      <c r="G105" s="1">
        <v>1000</v>
      </c>
      <c r="H105" s="7">
        <v>0.98760000000000003</v>
      </c>
      <c r="I105" s="4">
        <f t="shared" si="5"/>
        <v>40.657534246575345</v>
      </c>
      <c r="J105" s="7">
        <v>7.0000000000000007E-2</v>
      </c>
      <c r="K105" s="58">
        <v>1</v>
      </c>
      <c r="L105" s="1" t="s">
        <v>925</v>
      </c>
      <c r="M105" s="1">
        <v>2</v>
      </c>
      <c r="N105" s="9">
        <v>45279</v>
      </c>
      <c r="O105" s="1" t="s">
        <v>51</v>
      </c>
      <c r="P105" s="1" t="s">
        <v>44</v>
      </c>
      <c r="Q105" s="1" t="s">
        <v>664</v>
      </c>
      <c r="R105" s="1" t="s">
        <v>665</v>
      </c>
      <c r="S105" s="1" t="b">
        <v>1</v>
      </c>
      <c r="T105" s="9"/>
      <c r="U105" s="4"/>
      <c r="V105" s="4"/>
      <c r="W105" s="4"/>
      <c r="X105" s="4"/>
      <c r="Y105" s="4" t="str">
        <f>IF(anleihenkäufe[[#This Row],[Verkauft am]]="","",anleihenkäufe[[#This Row],[Gewinn aus Kursänderung]]+anleihenkäufe[[#This Row],[Gewinn aus Zinsen]]+anleihenkäufe[[#This Row],[Gewinn aus Währungseffekten]])</f>
        <v/>
      </c>
      <c r="Z105" s="156" t="str">
        <f>IF(anleihenkäufe[[#This Row],[Verkauft am]]="","",anleihenkäufe[[#This Row],[Gewinn gesamt]]/anleihenkäufe[[#This Row],[Dirty Kaufpreis]])</f>
        <v/>
      </c>
    </row>
    <row r="106" spans="1:26" ht="14.25" x14ac:dyDescent="0.2">
      <c r="A106" s="9">
        <v>45385</v>
      </c>
      <c r="B106" s="1" t="s">
        <v>641</v>
      </c>
      <c r="C106" s="1" t="s">
        <v>3</v>
      </c>
      <c r="D106" s="4">
        <f t="shared" si="3"/>
        <v>2135.2602739726026</v>
      </c>
      <c r="E106" s="4">
        <f t="shared" si="4"/>
        <v>2090</v>
      </c>
      <c r="F106" s="1">
        <v>2</v>
      </c>
      <c r="G106" s="1">
        <v>1000</v>
      </c>
      <c r="H106" s="7">
        <v>1.0449999999999999</v>
      </c>
      <c r="I106" s="4">
        <f t="shared" si="5"/>
        <v>45.260273972602739</v>
      </c>
      <c r="J106" s="7">
        <v>7.0000000000000007E-2</v>
      </c>
      <c r="K106" s="58">
        <v>1</v>
      </c>
      <c r="L106" s="1" t="s">
        <v>925</v>
      </c>
      <c r="M106" s="1">
        <v>1</v>
      </c>
      <c r="N106" s="9">
        <v>45267</v>
      </c>
      <c r="O106" s="1" t="s">
        <v>56</v>
      </c>
      <c r="P106" s="1" t="s">
        <v>39</v>
      </c>
      <c r="Q106" s="1" t="s">
        <v>642</v>
      </c>
      <c r="R106" s="1" t="s">
        <v>643</v>
      </c>
      <c r="S106" s="1" t="b">
        <v>1</v>
      </c>
      <c r="T106" s="9"/>
      <c r="U106" s="4"/>
      <c r="V106" s="4"/>
      <c r="W106" s="4"/>
      <c r="X106" s="4"/>
      <c r="Y106" s="4" t="str">
        <f>IF(anleihenkäufe[[#This Row],[Verkauft am]]="","",anleihenkäufe[[#This Row],[Gewinn aus Kursänderung]]+anleihenkäufe[[#This Row],[Gewinn aus Zinsen]]+anleihenkäufe[[#This Row],[Gewinn aus Währungseffekten]])</f>
        <v/>
      </c>
      <c r="Z106" s="156" t="str">
        <f>IF(anleihenkäufe[[#This Row],[Verkauft am]]="","",anleihenkäufe[[#This Row],[Gewinn gesamt]]/anleihenkäufe[[#This Row],[Dirty Kaufpreis]])</f>
        <v/>
      </c>
    </row>
    <row r="107" spans="1:26" ht="14.25" x14ac:dyDescent="0.2">
      <c r="A107" s="9">
        <v>45385</v>
      </c>
      <c r="B107" s="1" t="s">
        <v>650</v>
      </c>
      <c r="C107" s="1" t="s">
        <v>5</v>
      </c>
      <c r="D107" s="4">
        <f t="shared" si="3"/>
        <v>1818.7616438356165</v>
      </c>
      <c r="E107" s="4">
        <f t="shared" si="4"/>
        <v>1771.2</v>
      </c>
      <c r="F107" s="1">
        <v>2</v>
      </c>
      <c r="G107" s="1">
        <v>1000</v>
      </c>
      <c r="H107" s="7">
        <v>0.88560000000000005</v>
      </c>
      <c r="I107" s="4">
        <f t="shared" si="5"/>
        <v>47.561643835616437</v>
      </c>
      <c r="J107" s="7">
        <v>7.0000000000000007E-2</v>
      </c>
      <c r="K107" s="58">
        <v>1</v>
      </c>
      <c r="L107" s="1" t="s">
        <v>925</v>
      </c>
      <c r="M107" s="1">
        <v>1</v>
      </c>
      <c r="N107" s="9">
        <v>45261</v>
      </c>
      <c r="O107" s="1" t="s">
        <v>56</v>
      </c>
      <c r="P107" s="1" t="s">
        <v>52</v>
      </c>
      <c r="Q107" s="1" t="s">
        <v>651</v>
      </c>
      <c r="R107" s="1" t="s">
        <v>652</v>
      </c>
      <c r="S107" s="1" t="b">
        <v>1</v>
      </c>
      <c r="T107" s="9"/>
      <c r="U107" s="4"/>
      <c r="V107" s="4"/>
      <c r="W107" s="4"/>
      <c r="X107" s="4"/>
      <c r="Y107" s="4" t="str">
        <f>IF(anleihenkäufe[[#This Row],[Verkauft am]]="","",anleihenkäufe[[#This Row],[Gewinn aus Kursänderung]]+anleihenkäufe[[#This Row],[Gewinn aus Zinsen]]+anleihenkäufe[[#This Row],[Gewinn aus Währungseffekten]])</f>
        <v/>
      </c>
      <c r="Z107" s="156" t="str">
        <f>IF(anleihenkäufe[[#This Row],[Verkauft am]]="","",anleihenkäufe[[#This Row],[Gewinn gesamt]]/anleihenkäufe[[#This Row],[Dirty Kaufpreis]])</f>
        <v/>
      </c>
    </row>
    <row r="108" spans="1:26" ht="14.25" x14ac:dyDescent="0.2">
      <c r="A108" s="9">
        <v>45385</v>
      </c>
      <c r="B108" s="1" t="s">
        <v>647</v>
      </c>
      <c r="C108" s="1" t="s">
        <v>5</v>
      </c>
      <c r="D108" s="4">
        <f t="shared" si="3"/>
        <v>1550.2465753424658</v>
      </c>
      <c r="E108" s="4">
        <f t="shared" si="4"/>
        <v>1500</v>
      </c>
      <c r="F108" s="1">
        <v>2</v>
      </c>
      <c r="G108" s="1">
        <v>1000</v>
      </c>
      <c r="H108" s="7">
        <v>0.75</v>
      </c>
      <c r="I108" s="4">
        <f t="shared" si="5"/>
        <v>50.246575342465754</v>
      </c>
      <c r="J108" s="7">
        <v>7.0000000000000007E-2</v>
      </c>
      <c r="K108" s="58">
        <v>1</v>
      </c>
      <c r="L108" s="1" t="s">
        <v>925</v>
      </c>
      <c r="M108" s="1">
        <v>2</v>
      </c>
      <c r="N108" s="9">
        <v>45254</v>
      </c>
      <c r="O108" s="1" t="s">
        <v>56</v>
      </c>
      <c r="P108" s="1" t="s">
        <v>52</v>
      </c>
      <c r="Q108" s="1" t="s">
        <v>648</v>
      </c>
      <c r="R108" s="1" t="s">
        <v>649</v>
      </c>
      <c r="S108" s="1" t="b">
        <v>1</v>
      </c>
      <c r="T108" s="9"/>
      <c r="U108" s="4"/>
      <c r="V108" s="4"/>
      <c r="W108" s="4"/>
      <c r="X108" s="4"/>
      <c r="Y108" s="4" t="str">
        <f>IF(anleihenkäufe[[#This Row],[Verkauft am]]="","",anleihenkäufe[[#This Row],[Gewinn aus Kursänderung]]+anleihenkäufe[[#This Row],[Gewinn aus Zinsen]]+anleihenkäufe[[#This Row],[Gewinn aus Währungseffekten]])</f>
        <v/>
      </c>
      <c r="Z108" s="156" t="str">
        <f>IF(anleihenkäufe[[#This Row],[Verkauft am]]="","",anleihenkäufe[[#This Row],[Gewinn gesamt]]/anleihenkäufe[[#This Row],[Dirty Kaufpreis]])</f>
        <v/>
      </c>
    </row>
    <row r="109" spans="1:26" ht="14.25" x14ac:dyDescent="0.2">
      <c r="A109" s="9">
        <v>45385</v>
      </c>
      <c r="B109" s="1" t="s">
        <v>638</v>
      </c>
      <c r="C109" s="1" t="s">
        <v>4</v>
      </c>
      <c r="D109" s="4">
        <f t="shared" si="3"/>
        <v>1572.9315068493152</v>
      </c>
      <c r="E109" s="4">
        <f t="shared" si="4"/>
        <v>1520</v>
      </c>
      <c r="F109" s="1">
        <v>2</v>
      </c>
      <c r="G109" s="1">
        <v>1000</v>
      </c>
      <c r="H109" s="7">
        <v>0.76</v>
      </c>
      <c r="I109" s="4">
        <f t="shared" si="5"/>
        <v>52.93150684931507</v>
      </c>
      <c r="J109" s="7">
        <v>7.0000000000000007E-2</v>
      </c>
      <c r="K109" s="58">
        <v>1</v>
      </c>
      <c r="L109" s="1" t="s">
        <v>925</v>
      </c>
      <c r="M109" s="1">
        <v>2</v>
      </c>
      <c r="N109" s="9">
        <v>45247</v>
      </c>
      <c r="O109" s="1" t="s">
        <v>56</v>
      </c>
      <c r="P109" s="1" t="s">
        <v>216</v>
      </c>
      <c r="Q109" s="1" t="s">
        <v>639</v>
      </c>
      <c r="R109" s="1" t="s">
        <v>640</v>
      </c>
      <c r="S109" s="1" t="b">
        <v>1</v>
      </c>
      <c r="T109" s="9"/>
      <c r="U109" s="4"/>
      <c r="V109" s="4"/>
      <c r="W109" s="4"/>
      <c r="X109" s="4"/>
      <c r="Y109" s="4" t="str">
        <f>IF(anleihenkäufe[[#This Row],[Verkauft am]]="","",anleihenkäufe[[#This Row],[Gewinn aus Kursänderung]]+anleihenkäufe[[#This Row],[Gewinn aus Zinsen]]+anleihenkäufe[[#This Row],[Gewinn aus Währungseffekten]])</f>
        <v/>
      </c>
      <c r="Z109" s="156" t="str">
        <f>IF(anleihenkäufe[[#This Row],[Verkauft am]]="","",anleihenkäufe[[#This Row],[Gewinn gesamt]]/anleihenkäufe[[#This Row],[Dirty Kaufpreis]])</f>
        <v/>
      </c>
    </row>
    <row r="110" spans="1:26" ht="14.25" x14ac:dyDescent="0.2">
      <c r="A110" s="9">
        <v>45385</v>
      </c>
      <c r="B110" s="1" t="s">
        <v>579</v>
      </c>
      <c r="C110" s="1" t="s">
        <v>0</v>
      </c>
      <c r="D110" s="4">
        <f t="shared" si="3"/>
        <v>2084.4684931506849</v>
      </c>
      <c r="E110" s="4">
        <f t="shared" si="4"/>
        <v>2025.3999999999999</v>
      </c>
      <c r="F110" s="1">
        <v>2</v>
      </c>
      <c r="G110" s="1">
        <v>1000</v>
      </c>
      <c r="H110" s="7">
        <v>1.0126999999999999</v>
      </c>
      <c r="I110" s="4">
        <f t="shared" si="5"/>
        <v>59.06849315068493</v>
      </c>
      <c r="J110" s="7">
        <v>7.0000000000000007E-2</v>
      </c>
      <c r="K110" s="58">
        <v>1</v>
      </c>
      <c r="L110" s="1" t="s">
        <v>925</v>
      </c>
      <c r="M110" s="1">
        <v>1</v>
      </c>
      <c r="N110" s="9">
        <v>45231</v>
      </c>
      <c r="O110" s="1" t="s">
        <v>183</v>
      </c>
      <c r="P110" s="1" t="s">
        <v>52</v>
      </c>
      <c r="Q110" s="1" t="s">
        <v>666</v>
      </c>
      <c r="R110" s="1" t="s">
        <v>667</v>
      </c>
      <c r="S110" s="1" t="b">
        <v>1</v>
      </c>
      <c r="T110" s="9"/>
      <c r="U110" s="4"/>
      <c r="V110" s="4"/>
      <c r="W110" s="4"/>
      <c r="X110" s="4"/>
      <c r="Y110" s="4" t="str">
        <f>IF(anleihenkäufe[[#This Row],[Verkauft am]]="","",anleihenkäufe[[#This Row],[Gewinn aus Kursänderung]]+anleihenkäufe[[#This Row],[Gewinn aus Zinsen]]+anleihenkäufe[[#This Row],[Gewinn aus Währungseffekten]])</f>
        <v/>
      </c>
      <c r="Z110" s="156" t="str">
        <f>IF(anleihenkäufe[[#This Row],[Verkauft am]]="","",anleihenkäufe[[#This Row],[Gewinn gesamt]]/anleihenkäufe[[#This Row],[Dirty Kaufpreis]])</f>
        <v/>
      </c>
    </row>
    <row r="111" spans="1:26" ht="14.25" x14ac:dyDescent="0.2">
      <c r="A111" s="9">
        <v>45385</v>
      </c>
      <c r="B111" s="1" t="s">
        <v>672</v>
      </c>
      <c r="C111" s="1" t="s">
        <v>8</v>
      </c>
      <c r="D111" s="4">
        <f t="shared" si="3"/>
        <v>2148.6684931506848</v>
      </c>
      <c r="E111" s="4">
        <f t="shared" si="4"/>
        <v>2089.6</v>
      </c>
      <c r="F111" s="1">
        <v>2</v>
      </c>
      <c r="G111" s="1">
        <v>1000</v>
      </c>
      <c r="H111" s="7">
        <v>1.0448</v>
      </c>
      <c r="I111" s="4">
        <f t="shared" si="5"/>
        <v>59.06849315068493</v>
      </c>
      <c r="J111" s="7">
        <v>7.0000000000000007E-2</v>
      </c>
      <c r="K111" s="58">
        <v>1</v>
      </c>
      <c r="L111" s="1" t="s">
        <v>925</v>
      </c>
      <c r="M111" s="1">
        <v>2</v>
      </c>
      <c r="N111" s="9">
        <v>45231</v>
      </c>
      <c r="O111" s="1" t="s">
        <v>102</v>
      </c>
      <c r="P111" s="1" t="s">
        <v>52</v>
      </c>
      <c r="Q111" s="1" t="s">
        <v>673</v>
      </c>
      <c r="R111" s="1" t="s">
        <v>674</v>
      </c>
      <c r="S111" s="1" t="b">
        <v>1</v>
      </c>
      <c r="T111" s="9"/>
      <c r="U111" s="4"/>
      <c r="V111" s="4"/>
      <c r="W111" s="4"/>
      <c r="X111" s="4"/>
      <c r="Y111" s="4" t="str">
        <f>IF(anleihenkäufe[[#This Row],[Verkauft am]]="","",anleihenkäufe[[#This Row],[Gewinn aus Kursänderung]]+anleihenkäufe[[#This Row],[Gewinn aus Zinsen]]+anleihenkäufe[[#This Row],[Gewinn aus Währungseffekten]])</f>
        <v/>
      </c>
      <c r="Z111" s="156" t="str">
        <f>IF(anleihenkäufe[[#This Row],[Verkauft am]]="","",anleihenkäufe[[#This Row],[Gewinn gesamt]]/anleihenkäufe[[#This Row],[Dirty Kaufpreis]])</f>
        <v/>
      </c>
    </row>
    <row r="112" spans="1:26" ht="14.25" x14ac:dyDescent="0.2">
      <c r="A112" s="9">
        <v>45385</v>
      </c>
      <c r="B112" s="1" t="s">
        <v>644</v>
      </c>
      <c r="C112" s="1" t="s">
        <v>0</v>
      </c>
      <c r="D112" s="4">
        <f t="shared" si="3"/>
        <v>2119.2684931506847</v>
      </c>
      <c r="E112" s="4">
        <f t="shared" si="4"/>
        <v>2060.1999999999998</v>
      </c>
      <c r="F112" s="1">
        <v>2</v>
      </c>
      <c r="G112" s="1">
        <v>1000</v>
      </c>
      <c r="H112" s="7">
        <v>1.0301</v>
      </c>
      <c r="I112" s="4">
        <f t="shared" si="5"/>
        <v>59.06849315068493</v>
      </c>
      <c r="J112" s="7">
        <v>7.0000000000000007E-2</v>
      </c>
      <c r="K112" s="58">
        <v>1</v>
      </c>
      <c r="L112" s="1" t="s">
        <v>925</v>
      </c>
      <c r="M112" s="1">
        <v>1</v>
      </c>
      <c r="N112" s="9">
        <v>45231</v>
      </c>
      <c r="O112" s="1" t="s">
        <v>56</v>
      </c>
      <c r="P112" s="1" t="s">
        <v>81</v>
      </c>
      <c r="Q112" s="1" t="s">
        <v>645</v>
      </c>
      <c r="R112" s="1" t="s">
        <v>646</v>
      </c>
      <c r="S112" s="1" t="b">
        <v>1</v>
      </c>
      <c r="T112" s="9"/>
      <c r="U112" s="4"/>
      <c r="V112" s="4"/>
      <c r="W112" s="4"/>
      <c r="X112" s="4"/>
      <c r="Y112" s="4" t="str">
        <f>IF(anleihenkäufe[[#This Row],[Verkauft am]]="","",anleihenkäufe[[#This Row],[Gewinn aus Kursänderung]]+anleihenkäufe[[#This Row],[Gewinn aus Zinsen]]+anleihenkäufe[[#This Row],[Gewinn aus Währungseffekten]])</f>
        <v/>
      </c>
      <c r="Z112" s="156" t="str">
        <f>IF(anleihenkäufe[[#This Row],[Verkauft am]]="","",anleihenkäufe[[#This Row],[Gewinn gesamt]]/anleihenkäufe[[#This Row],[Dirty Kaufpreis]])</f>
        <v/>
      </c>
    </row>
    <row r="113" spans="1:26" ht="14.25" x14ac:dyDescent="0.2">
      <c r="A113" s="9">
        <v>45385</v>
      </c>
      <c r="B113" s="1" t="s">
        <v>669</v>
      </c>
      <c r="C113" s="1" t="s">
        <v>3</v>
      </c>
      <c r="D113" s="4">
        <f t="shared" si="3"/>
        <v>2206.8931506849312</v>
      </c>
      <c r="E113" s="4">
        <f t="shared" si="4"/>
        <v>2134.3999999999996</v>
      </c>
      <c r="F113" s="1">
        <v>2</v>
      </c>
      <c r="G113" s="1">
        <v>1000</v>
      </c>
      <c r="H113" s="7">
        <v>1.0671999999999999</v>
      </c>
      <c r="I113" s="4">
        <f t="shared" si="5"/>
        <v>72.493150684931507</v>
      </c>
      <c r="J113" s="7">
        <v>7.0000000000000007E-2</v>
      </c>
      <c r="K113" s="58">
        <v>1</v>
      </c>
      <c r="L113" s="1" t="s">
        <v>925</v>
      </c>
      <c r="M113" s="1">
        <v>1</v>
      </c>
      <c r="N113" s="9">
        <v>45196</v>
      </c>
      <c r="O113" s="1" t="s">
        <v>170</v>
      </c>
      <c r="P113" s="1" t="s">
        <v>44</v>
      </c>
      <c r="Q113" s="1" t="s">
        <v>670</v>
      </c>
      <c r="R113" s="1" t="s">
        <v>671</v>
      </c>
      <c r="S113" s="1" t="b">
        <v>1</v>
      </c>
      <c r="T113" s="9"/>
      <c r="U113" s="4"/>
      <c r="V113" s="4"/>
      <c r="W113" s="4"/>
      <c r="X113" s="4"/>
      <c r="Y113" s="4" t="str">
        <f>IF(anleihenkäufe[[#This Row],[Verkauft am]]="","",anleihenkäufe[[#This Row],[Gewinn aus Kursänderung]]+anleihenkäufe[[#This Row],[Gewinn aus Zinsen]]+anleihenkäufe[[#This Row],[Gewinn aus Währungseffekten]])</f>
        <v/>
      </c>
      <c r="Z113" s="156" t="str">
        <f>IF(anleihenkäufe[[#This Row],[Verkauft am]]="","",anleihenkäufe[[#This Row],[Gewinn gesamt]]/anleihenkäufe[[#This Row],[Dirty Kaufpreis]])</f>
        <v/>
      </c>
    </row>
    <row r="114" spans="1:26" ht="14.25" x14ac:dyDescent="0.2">
      <c r="A114" s="9">
        <v>45385</v>
      </c>
      <c r="B114" s="1" t="s">
        <v>660</v>
      </c>
      <c r="C114" s="1" t="s">
        <v>10</v>
      </c>
      <c r="D114" s="4">
        <f t="shared" si="3"/>
        <v>2252.4109589041095</v>
      </c>
      <c r="E114" s="4">
        <f t="shared" si="4"/>
        <v>2150</v>
      </c>
      <c r="F114" s="1">
        <v>2</v>
      </c>
      <c r="G114" s="1">
        <v>1000</v>
      </c>
      <c r="H114" s="7">
        <v>1.075</v>
      </c>
      <c r="I114" s="4">
        <f t="shared" si="5"/>
        <v>102.41095890410959</v>
      </c>
      <c r="J114" s="7">
        <v>7.0000000000000007E-2</v>
      </c>
      <c r="K114" s="58">
        <v>1</v>
      </c>
      <c r="L114" s="1" t="s">
        <v>925</v>
      </c>
      <c r="M114" s="1">
        <v>1</v>
      </c>
      <c r="N114" s="9">
        <v>45118</v>
      </c>
      <c r="O114" s="1" t="s">
        <v>56</v>
      </c>
      <c r="P114" s="1" t="s">
        <v>438</v>
      </c>
      <c r="Q114" s="1" t="s">
        <v>661</v>
      </c>
      <c r="R114" s="1" t="s">
        <v>662</v>
      </c>
      <c r="S114" s="1" t="b">
        <v>1</v>
      </c>
      <c r="T114" s="9"/>
      <c r="U114" s="4"/>
      <c r="V114" s="4"/>
      <c r="W114" s="4"/>
      <c r="X114" s="4"/>
      <c r="Y114" s="4" t="str">
        <f>IF(anleihenkäufe[[#This Row],[Verkauft am]]="","",anleihenkäufe[[#This Row],[Gewinn aus Kursänderung]]+anleihenkäufe[[#This Row],[Gewinn aus Zinsen]]+anleihenkäufe[[#This Row],[Gewinn aus Währungseffekten]])</f>
        <v/>
      </c>
      <c r="Z114" s="156" t="str">
        <f>IF(anleihenkäufe[[#This Row],[Verkauft am]]="","",anleihenkäufe[[#This Row],[Gewinn gesamt]]/anleihenkäufe[[#This Row],[Dirty Kaufpreis]])</f>
        <v/>
      </c>
    </row>
    <row r="115" spans="1:26" ht="14.25" x14ac:dyDescent="0.2">
      <c r="A115" s="9">
        <v>45385</v>
      </c>
      <c r="B115" s="1" t="s">
        <v>635</v>
      </c>
      <c r="C115" s="1" t="s">
        <v>3</v>
      </c>
      <c r="D115" s="4">
        <f t="shared" si="3"/>
        <v>2104.794520547945</v>
      </c>
      <c r="E115" s="4">
        <f t="shared" si="4"/>
        <v>2001.9999999999998</v>
      </c>
      <c r="F115" s="1">
        <v>4</v>
      </c>
      <c r="G115" s="1">
        <v>500</v>
      </c>
      <c r="H115" s="7">
        <v>1.0009999999999999</v>
      </c>
      <c r="I115" s="4">
        <f t="shared" si="5"/>
        <v>102.79452054794521</v>
      </c>
      <c r="J115" s="7">
        <v>7.0000000000000007E-2</v>
      </c>
      <c r="K115" s="58">
        <v>1</v>
      </c>
      <c r="L115" s="1" t="s">
        <v>925</v>
      </c>
      <c r="M115" s="1">
        <v>1</v>
      </c>
      <c r="N115" s="9">
        <v>45117</v>
      </c>
      <c r="O115" s="1" t="s">
        <v>43</v>
      </c>
      <c r="P115" s="1" t="s">
        <v>438</v>
      </c>
      <c r="Q115" s="1" t="s">
        <v>636</v>
      </c>
      <c r="R115" s="1" t="s">
        <v>637</v>
      </c>
      <c r="S115" s="1" t="b">
        <v>1</v>
      </c>
      <c r="T115" s="9"/>
      <c r="U115" s="4"/>
      <c r="V115" s="4"/>
      <c r="W115" s="4"/>
      <c r="X115" s="4"/>
      <c r="Y115" s="4" t="str">
        <f>IF(anleihenkäufe[[#This Row],[Verkauft am]]="","",anleihenkäufe[[#This Row],[Gewinn aus Kursänderung]]+anleihenkäufe[[#This Row],[Gewinn aus Zinsen]]+anleihenkäufe[[#This Row],[Gewinn aus Währungseffekten]])</f>
        <v/>
      </c>
      <c r="Z115" s="156" t="str">
        <f>IF(anleihenkäufe[[#This Row],[Verkauft am]]="","",anleihenkäufe[[#This Row],[Gewinn gesamt]]/anleihenkäufe[[#This Row],[Dirty Kaufpreis]])</f>
        <v/>
      </c>
    </row>
    <row r="116" spans="1:26" ht="14.25" x14ac:dyDescent="0.2">
      <c r="A116" s="9">
        <v>45385</v>
      </c>
      <c r="B116" s="1" t="s">
        <v>632</v>
      </c>
      <c r="C116" s="1" t="s">
        <v>9</v>
      </c>
      <c r="D116" s="4">
        <f t="shared" si="3"/>
        <v>1949.5346849315072</v>
      </c>
      <c r="E116" s="4">
        <f t="shared" si="4"/>
        <v>1948.0000000000002</v>
      </c>
      <c r="F116" s="1">
        <v>2</v>
      </c>
      <c r="G116" s="1">
        <v>1000</v>
      </c>
      <c r="H116" s="7">
        <v>0.97400000000000009</v>
      </c>
      <c r="I116" s="4">
        <f t="shared" si="5"/>
        <v>1.5346849315068491</v>
      </c>
      <c r="J116" s="7">
        <v>7.0019999999999999E-2</v>
      </c>
      <c r="K116" s="58">
        <v>1</v>
      </c>
      <c r="L116" s="1" t="s">
        <v>925</v>
      </c>
      <c r="M116" s="1">
        <v>4</v>
      </c>
      <c r="N116" s="9">
        <v>45381</v>
      </c>
      <c r="O116" s="1" t="s">
        <v>51</v>
      </c>
      <c r="P116" s="1" t="s">
        <v>44</v>
      </c>
      <c r="Q116" s="1" t="s">
        <v>633</v>
      </c>
      <c r="R116" s="1" t="s">
        <v>634</v>
      </c>
      <c r="S116" s="1" t="b">
        <v>1</v>
      </c>
      <c r="T116" s="9"/>
      <c r="U116" s="4"/>
      <c r="V116" s="4"/>
      <c r="W116" s="4"/>
      <c r="X116" s="4"/>
      <c r="Y116" s="4" t="str">
        <f>IF(anleihenkäufe[[#This Row],[Verkauft am]]="","",anleihenkäufe[[#This Row],[Gewinn aus Kursänderung]]+anleihenkäufe[[#This Row],[Gewinn aus Zinsen]]+anleihenkäufe[[#This Row],[Gewinn aus Währungseffekten]])</f>
        <v/>
      </c>
      <c r="Z116" s="156" t="str">
        <f>IF(anleihenkäufe[[#This Row],[Verkauft am]]="","",anleihenkäufe[[#This Row],[Gewinn gesamt]]/anleihenkäufe[[#This Row],[Dirty Kaufpreis]])</f>
        <v/>
      </c>
    </row>
    <row r="117" spans="1:26" ht="14.25" x14ac:dyDescent="0.2">
      <c r="A117" s="9">
        <v>45385</v>
      </c>
      <c r="B117" s="1" t="s">
        <v>628</v>
      </c>
      <c r="C117" s="1" t="s">
        <v>4</v>
      </c>
      <c r="D117" s="4">
        <f t="shared" si="3"/>
        <v>2157.682191780822</v>
      </c>
      <c r="E117" s="4">
        <f t="shared" si="4"/>
        <v>2136.6</v>
      </c>
      <c r="F117" s="1">
        <v>2</v>
      </c>
      <c r="G117" s="1">
        <v>1000</v>
      </c>
      <c r="H117" s="7">
        <v>1.0683</v>
      </c>
      <c r="I117" s="4">
        <f t="shared" si="5"/>
        <v>21.082191780821919</v>
      </c>
      <c r="J117" s="7">
        <v>7.1249999999999994E-2</v>
      </c>
      <c r="K117" s="58">
        <v>1</v>
      </c>
      <c r="L117" s="1" t="s">
        <v>925</v>
      </c>
      <c r="M117" s="1">
        <v>1</v>
      </c>
      <c r="N117" s="9">
        <v>45331</v>
      </c>
      <c r="O117" s="1" t="s">
        <v>629</v>
      </c>
      <c r="P117" s="1" t="s">
        <v>39</v>
      </c>
      <c r="Q117" s="1" t="s">
        <v>630</v>
      </c>
      <c r="R117" s="1" t="s">
        <v>631</v>
      </c>
      <c r="S117" s="1" t="b">
        <v>1</v>
      </c>
      <c r="T117" s="9"/>
      <c r="U117" s="4"/>
      <c r="V117" s="4"/>
      <c r="W117" s="4"/>
      <c r="X117" s="4"/>
      <c r="Y117" s="4" t="str">
        <f>IF(anleihenkäufe[[#This Row],[Verkauft am]]="","",anleihenkäufe[[#This Row],[Gewinn aus Kursänderung]]+anleihenkäufe[[#This Row],[Gewinn aus Zinsen]]+anleihenkäufe[[#This Row],[Gewinn aus Währungseffekten]])</f>
        <v/>
      </c>
      <c r="Z117" s="156" t="str">
        <f>IF(anleihenkäufe[[#This Row],[Verkauft am]]="","",anleihenkäufe[[#This Row],[Gewinn gesamt]]/anleihenkäufe[[#This Row],[Dirty Kaufpreis]])</f>
        <v/>
      </c>
    </row>
    <row r="118" spans="1:26" ht="14.25" x14ac:dyDescent="0.2">
      <c r="A118" s="9">
        <v>45385</v>
      </c>
      <c r="B118" s="1" t="s">
        <v>625</v>
      </c>
      <c r="C118" s="1" t="s">
        <v>0</v>
      </c>
      <c r="D118" s="4">
        <f t="shared" si="3"/>
        <v>1254.7164383561642</v>
      </c>
      <c r="E118" s="4">
        <f t="shared" si="4"/>
        <v>1153.5999999999999</v>
      </c>
      <c r="F118" s="1">
        <v>2</v>
      </c>
      <c r="G118" s="1">
        <v>1000</v>
      </c>
      <c r="H118" s="7">
        <v>0.57679999999999998</v>
      </c>
      <c r="I118" s="4">
        <f t="shared" si="5"/>
        <v>101.11643835616438</v>
      </c>
      <c r="J118" s="7">
        <v>7.1249999999999994E-2</v>
      </c>
      <c r="K118" s="58">
        <v>1</v>
      </c>
      <c r="L118" s="1" t="s">
        <v>925</v>
      </c>
      <c r="M118" s="1">
        <v>1</v>
      </c>
      <c r="N118" s="9">
        <v>45126</v>
      </c>
      <c r="O118" s="1" t="s">
        <v>65</v>
      </c>
      <c r="P118" s="1" t="s">
        <v>52</v>
      </c>
      <c r="Q118" s="1" t="s">
        <v>626</v>
      </c>
      <c r="R118" s="1" t="s">
        <v>627</v>
      </c>
      <c r="S118" s="1" t="b">
        <v>1</v>
      </c>
      <c r="T118" s="9"/>
      <c r="U118" s="4"/>
      <c r="V118" s="4"/>
      <c r="W118" s="4"/>
      <c r="X118" s="4"/>
      <c r="Y118" s="4" t="str">
        <f>IF(anleihenkäufe[[#This Row],[Verkauft am]]="","",anleihenkäufe[[#This Row],[Gewinn aus Kursänderung]]+anleihenkäufe[[#This Row],[Gewinn aus Zinsen]]+anleihenkäufe[[#This Row],[Gewinn aus Währungseffekten]])</f>
        <v/>
      </c>
      <c r="Z118" s="156" t="str">
        <f>IF(anleihenkäufe[[#This Row],[Verkauft am]]="","",anleihenkäufe[[#This Row],[Gewinn gesamt]]/anleihenkäufe[[#This Row],[Dirty Kaufpreis]])</f>
        <v/>
      </c>
    </row>
    <row r="119" spans="1:26" ht="14.25" x14ac:dyDescent="0.2">
      <c r="A119" s="9">
        <v>45385</v>
      </c>
      <c r="B119" s="1" t="s">
        <v>525</v>
      </c>
      <c r="C119" s="1" t="s">
        <v>0</v>
      </c>
      <c r="D119" s="4">
        <f t="shared" si="3"/>
        <v>2067.186301369863</v>
      </c>
      <c r="E119" s="4">
        <f t="shared" si="4"/>
        <v>2036.2</v>
      </c>
      <c r="F119" s="1">
        <v>2</v>
      </c>
      <c r="G119" s="1">
        <v>1000</v>
      </c>
      <c r="H119" s="7">
        <v>1.0181</v>
      </c>
      <c r="I119" s="4">
        <f t="shared" si="5"/>
        <v>30.986301369863014</v>
      </c>
      <c r="J119" s="7">
        <v>7.2499999999999995E-2</v>
      </c>
      <c r="K119" s="58">
        <v>1</v>
      </c>
      <c r="L119" s="1" t="s">
        <v>925</v>
      </c>
      <c r="M119" s="1">
        <v>1</v>
      </c>
      <c r="N119" s="9">
        <v>45307</v>
      </c>
      <c r="O119" s="1" t="s">
        <v>526</v>
      </c>
      <c r="P119" s="1" t="s">
        <v>61</v>
      </c>
      <c r="Q119" s="1" t="s">
        <v>610</v>
      </c>
      <c r="R119" s="1" t="s">
        <v>611</v>
      </c>
      <c r="S119" s="1" t="b">
        <v>0</v>
      </c>
      <c r="T119" s="9">
        <v>45412</v>
      </c>
      <c r="U119" s="4">
        <v>2074.9095890410958</v>
      </c>
      <c r="V119" s="4">
        <v>-3.4000000000000696</v>
      </c>
      <c r="W119" s="4">
        <v>11.123289041095887</v>
      </c>
      <c r="X119" s="4">
        <v>1.7763568394002505E-13</v>
      </c>
      <c r="Y119" s="4">
        <f>IF(anleihenkäufe[[#This Row],[Verkauft am]]="","",anleihenkäufe[[#This Row],[Gewinn aus Kursänderung]]+anleihenkäufe[[#This Row],[Gewinn aus Zinsen]]+anleihenkäufe[[#This Row],[Gewinn aus Währungseffekten]])</f>
        <v>7.7232890410959953</v>
      </c>
      <c r="Z119" s="156">
        <f>IF(anleihenkäufe[[#This Row],[Verkauft am]]="","",anleihenkäufe[[#This Row],[Gewinn gesamt]]/anleihenkäufe[[#This Row],[Dirty Kaufpreis]])</f>
        <v>3.7361359428407593E-3</v>
      </c>
    </row>
    <row r="120" spans="1:26" ht="14.25" x14ac:dyDescent="0.2">
      <c r="A120" s="9">
        <v>45385</v>
      </c>
      <c r="B120" s="1" t="s">
        <v>598</v>
      </c>
      <c r="C120" s="1" t="s">
        <v>6</v>
      </c>
      <c r="D120" s="4">
        <f t="shared" si="3"/>
        <v>1973.5890410958905</v>
      </c>
      <c r="E120" s="4">
        <f t="shared" si="4"/>
        <v>1972</v>
      </c>
      <c r="F120" s="1">
        <v>2</v>
      </c>
      <c r="G120" s="1">
        <v>1000</v>
      </c>
      <c r="H120" s="7">
        <v>0.98599999999999999</v>
      </c>
      <c r="I120" s="4">
        <f t="shared" si="5"/>
        <v>1.5890410958904109</v>
      </c>
      <c r="J120" s="7">
        <v>7.2499999999999995E-2</v>
      </c>
      <c r="K120" s="58">
        <v>1</v>
      </c>
      <c r="L120" s="1" t="s">
        <v>925</v>
      </c>
      <c r="M120" s="1">
        <v>2</v>
      </c>
      <c r="N120" s="9">
        <v>45381</v>
      </c>
      <c r="O120" s="1" t="s">
        <v>56</v>
      </c>
      <c r="P120" s="1" t="s">
        <v>39</v>
      </c>
      <c r="Q120" s="1" t="s">
        <v>599</v>
      </c>
      <c r="R120" s="1" t="s">
        <v>600</v>
      </c>
      <c r="S120" s="1" t="b">
        <v>1</v>
      </c>
      <c r="T120" s="9"/>
      <c r="U120" s="4"/>
      <c r="V120" s="4"/>
      <c r="W120" s="4"/>
      <c r="X120" s="4"/>
      <c r="Y120" s="4" t="str">
        <f>IF(anleihenkäufe[[#This Row],[Verkauft am]]="","",anleihenkäufe[[#This Row],[Gewinn aus Kursänderung]]+anleihenkäufe[[#This Row],[Gewinn aus Zinsen]]+anleihenkäufe[[#This Row],[Gewinn aus Währungseffekten]])</f>
        <v/>
      </c>
      <c r="Z120" s="156" t="str">
        <f>IF(anleihenkäufe[[#This Row],[Verkauft am]]="","",anleihenkäufe[[#This Row],[Gewinn gesamt]]/anleihenkäufe[[#This Row],[Dirty Kaufpreis]])</f>
        <v/>
      </c>
    </row>
    <row r="121" spans="1:26" ht="14.25" x14ac:dyDescent="0.2">
      <c r="A121" s="9">
        <v>45385</v>
      </c>
      <c r="B121" s="1" t="s">
        <v>601</v>
      </c>
      <c r="C121" s="1" t="s">
        <v>2</v>
      </c>
      <c r="D121" s="4">
        <f t="shared" si="3"/>
        <v>2125.868493150685</v>
      </c>
      <c r="E121" s="4">
        <f t="shared" si="4"/>
        <v>2106.8000000000002</v>
      </c>
      <c r="F121" s="1">
        <v>2</v>
      </c>
      <c r="G121" s="1">
        <v>1000</v>
      </c>
      <c r="H121" s="7">
        <v>1.0534000000000001</v>
      </c>
      <c r="I121" s="4">
        <f t="shared" si="5"/>
        <v>19.068493150684933</v>
      </c>
      <c r="J121" s="7">
        <v>7.2499999999999995E-2</v>
      </c>
      <c r="K121" s="58">
        <v>1</v>
      </c>
      <c r="L121" s="1" t="s">
        <v>925</v>
      </c>
      <c r="M121" s="1">
        <v>2</v>
      </c>
      <c r="N121" s="9">
        <v>45337</v>
      </c>
      <c r="O121" s="1" t="s">
        <v>35</v>
      </c>
      <c r="P121" s="1" t="s">
        <v>61</v>
      </c>
      <c r="Q121" s="1" t="s">
        <v>602</v>
      </c>
      <c r="R121" s="1" t="s">
        <v>603</v>
      </c>
      <c r="S121" s="1" t="b">
        <v>1</v>
      </c>
      <c r="T121" s="9"/>
      <c r="U121" s="4"/>
      <c r="V121" s="4"/>
      <c r="W121" s="4"/>
      <c r="X121" s="4"/>
      <c r="Y121" s="4" t="str">
        <f>IF(anleihenkäufe[[#This Row],[Verkauft am]]="","",anleihenkäufe[[#This Row],[Gewinn aus Kursänderung]]+anleihenkäufe[[#This Row],[Gewinn aus Zinsen]]+anleihenkäufe[[#This Row],[Gewinn aus Währungseffekten]])</f>
        <v/>
      </c>
      <c r="Z121" s="156" t="str">
        <f>IF(anleihenkäufe[[#This Row],[Verkauft am]]="","",anleihenkäufe[[#This Row],[Gewinn gesamt]]/anleihenkäufe[[#This Row],[Dirty Kaufpreis]])</f>
        <v/>
      </c>
    </row>
    <row r="122" spans="1:26" ht="14.25" x14ac:dyDescent="0.2">
      <c r="A122" s="9">
        <v>45385</v>
      </c>
      <c r="B122" s="1" t="s">
        <v>619</v>
      </c>
      <c r="C122" s="1" t="s">
        <v>0</v>
      </c>
      <c r="D122" s="4">
        <f t="shared" si="3"/>
        <v>1989.2273972602741</v>
      </c>
      <c r="E122" s="4">
        <f t="shared" si="4"/>
        <v>1964.2</v>
      </c>
      <c r="F122" s="1">
        <v>2</v>
      </c>
      <c r="G122" s="1">
        <v>1000</v>
      </c>
      <c r="H122" s="7">
        <v>0.98209999999999997</v>
      </c>
      <c r="I122" s="4">
        <f t="shared" si="5"/>
        <v>25.027397260273972</v>
      </c>
      <c r="J122" s="7">
        <v>7.2499999999999995E-2</v>
      </c>
      <c r="K122" s="58">
        <v>1</v>
      </c>
      <c r="L122" s="1" t="s">
        <v>925</v>
      </c>
      <c r="M122" s="1">
        <v>2</v>
      </c>
      <c r="N122" s="9">
        <v>45322</v>
      </c>
      <c r="O122" s="1" t="s">
        <v>284</v>
      </c>
      <c r="P122" s="1" t="s">
        <v>57</v>
      </c>
      <c r="Q122" s="1" t="s">
        <v>620</v>
      </c>
      <c r="R122" s="1" t="s">
        <v>621</v>
      </c>
      <c r="S122" s="1" t="b">
        <v>1</v>
      </c>
      <c r="T122" s="9"/>
      <c r="U122" s="4"/>
      <c r="V122" s="4"/>
      <c r="W122" s="4"/>
      <c r="X122" s="4"/>
      <c r="Y122" s="4" t="str">
        <f>IF(anleihenkäufe[[#This Row],[Verkauft am]]="","",anleihenkäufe[[#This Row],[Gewinn aus Kursänderung]]+anleihenkäufe[[#This Row],[Gewinn aus Zinsen]]+anleihenkäufe[[#This Row],[Gewinn aus Währungseffekten]])</f>
        <v/>
      </c>
      <c r="Z122" s="156" t="str">
        <f>IF(anleihenkäufe[[#This Row],[Verkauft am]]="","",anleihenkäufe[[#This Row],[Gewinn gesamt]]/anleihenkäufe[[#This Row],[Dirty Kaufpreis]])</f>
        <v/>
      </c>
    </row>
    <row r="123" spans="1:26" ht="14.25" x14ac:dyDescent="0.2">
      <c r="A123" s="9">
        <v>45385</v>
      </c>
      <c r="B123" s="1" t="s">
        <v>604</v>
      </c>
      <c r="C123" s="1" t="s">
        <v>0</v>
      </c>
      <c r="D123" s="4">
        <f t="shared" si="3"/>
        <v>2007.9835616438356</v>
      </c>
      <c r="E123" s="4">
        <f t="shared" si="4"/>
        <v>1976.6</v>
      </c>
      <c r="F123" s="1">
        <v>2000</v>
      </c>
      <c r="G123" s="1">
        <v>1</v>
      </c>
      <c r="H123" s="7">
        <v>0.98829999999999996</v>
      </c>
      <c r="I123" s="4">
        <f t="shared" si="5"/>
        <v>31.383561643835613</v>
      </c>
      <c r="J123" s="7">
        <v>7.2499999999999995E-2</v>
      </c>
      <c r="K123" s="58">
        <v>1</v>
      </c>
      <c r="L123" s="1" t="s">
        <v>925</v>
      </c>
      <c r="M123" s="1">
        <v>2</v>
      </c>
      <c r="N123" s="9">
        <v>45306</v>
      </c>
      <c r="O123" s="1" t="s">
        <v>35</v>
      </c>
      <c r="P123" s="1" t="s">
        <v>268</v>
      </c>
      <c r="Q123" s="1" t="s">
        <v>605</v>
      </c>
      <c r="R123" s="1" t="s">
        <v>606</v>
      </c>
      <c r="S123" s="1" t="b">
        <v>1</v>
      </c>
      <c r="T123" s="9"/>
      <c r="U123" s="4"/>
      <c r="V123" s="4"/>
      <c r="W123" s="4"/>
      <c r="X123" s="4"/>
      <c r="Y123" s="4" t="str">
        <f>IF(anleihenkäufe[[#This Row],[Verkauft am]]="","",anleihenkäufe[[#This Row],[Gewinn aus Kursänderung]]+anleihenkäufe[[#This Row],[Gewinn aus Zinsen]]+anleihenkäufe[[#This Row],[Gewinn aus Währungseffekten]])</f>
        <v/>
      </c>
      <c r="Z123" s="156" t="str">
        <f>IF(anleihenkäufe[[#This Row],[Verkauft am]]="","",anleihenkäufe[[#This Row],[Gewinn gesamt]]/anleihenkäufe[[#This Row],[Dirty Kaufpreis]])</f>
        <v/>
      </c>
    </row>
    <row r="124" spans="1:26" ht="14.25" x14ac:dyDescent="0.2">
      <c r="A124" s="9">
        <v>45385</v>
      </c>
      <c r="B124" s="1" t="s">
        <v>616</v>
      </c>
      <c r="C124" s="1" t="s">
        <v>10</v>
      </c>
      <c r="D124" s="4">
        <f t="shared" si="3"/>
        <v>2079.1452054794518</v>
      </c>
      <c r="E124" s="4">
        <f t="shared" si="4"/>
        <v>2042.1999999999998</v>
      </c>
      <c r="F124" s="1">
        <v>2</v>
      </c>
      <c r="G124" s="1">
        <v>1000</v>
      </c>
      <c r="H124" s="7">
        <v>1.0210999999999999</v>
      </c>
      <c r="I124" s="4">
        <f t="shared" si="5"/>
        <v>36.945205479452056</v>
      </c>
      <c r="J124" s="7">
        <v>7.2499999999999995E-2</v>
      </c>
      <c r="K124" s="58">
        <v>1</v>
      </c>
      <c r="L124" s="1" t="s">
        <v>925</v>
      </c>
      <c r="M124" s="1">
        <v>2</v>
      </c>
      <c r="N124" s="9">
        <v>45292</v>
      </c>
      <c r="O124" s="1" t="s">
        <v>65</v>
      </c>
      <c r="P124" s="1" t="s">
        <v>61</v>
      </c>
      <c r="Q124" s="1" t="s">
        <v>617</v>
      </c>
      <c r="R124" s="1" t="s">
        <v>618</v>
      </c>
      <c r="S124" s="1" t="b">
        <v>1</v>
      </c>
      <c r="T124" s="9"/>
      <c r="U124" s="4"/>
      <c r="V124" s="4"/>
      <c r="W124" s="4"/>
      <c r="X124" s="4"/>
      <c r="Y124" s="4" t="str">
        <f>IF(anleihenkäufe[[#This Row],[Verkauft am]]="","",anleihenkäufe[[#This Row],[Gewinn aus Kursänderung]]+anleihenkäufe[[#This Row],[Gewinn aus Zinsen]]+anleihenkäufe[[#This Row],[Gewinn aus Währungseffekten]])</f>
        <v/>
      </c>
      <c r="Z124" s="156" t="str">
        <f>IF(anleihenkäufe[[#This Row],[Verkauft am]]="","",anleihenkäufe[[#This Row],[Gewinn gesamt]]/anleihenkäufe[[#This Row],[Dirty Kaufpreis]])</f>
        <v/>
      </c>
    </row>
    <row r="125" spans="1:26" ht="14.25" x14ac:dyDescent="0.2">
      <c r="A125" s="9">
        <v>45385</v>
      </c>
      <c r="B125" s="1" t="s">
        <v>607</v>
      </c>
      <c r="C125" s="1" t="s">
        <v>10</v>
      </c>
      <c r="D125" s="4">
        <f t="shared" si="3"/>
        <v>2140.0986301369862</v>
      </c>
      <c r="E125" s="4">
        <f t="shared" si="4"/>
        <v>2096.4</v>
      </c>
      <c r="F125" s="1">
        <v>2</v>
      </c>
      <c r="G125" s="1">
        <v>1000</v>
      </c>
      <c r="H125" s="7">
        <v>1.0482</v>
      </c>
      <c r="I125" s="4">
        <f t="shared" si="5"/>
        <v>43.698630136986303</v>
      </c>
      <c r="J125" s="7">
        <v>7.2499999999999995E-2</v>
      </c>
      <c r="K125" s="58">
        <v>1</v>
      </c>
      <c r="L125" s="1" t="s">
        <v>925</v>
      </c>
      <c r="M125" s="1">
        <v>2</v>
      </c>
      <c r="N125" s="9">
        <v>45275</v>
      </c>
      <c r="O125" s="1" t="s">
        <v>102</v>
      </c>
      <c r="P125" s="1" t="s">
        <v>44</v>
      </c>
      <c r="Q125" s="1" t="s">
        <v>608</v>
      </c>
      <c r="R125" s="1" t="s">
        <v>609</v>
      </c>
      <c r="S125" s="1" t="b">
        <v>1</v>
      </c>
      <c r="T125" s="9"/>
      <c r="U125" s="4"/>
      <c r="V125" s="4"/>
      <c r="W125" s="4"/>
      <c r="X125" s="4"/>
      <c r="Y125" s="4" t="str">
        <f>IF(anleihenkäufe[[#This Row],[Verkauft am]]="","",anleihenkäufe[[#This Row],[Gewinn aus Kursänderung]]+anleihenkäufe[[#This Row],[Gewinn aus Zinsen]]+anleihenkäufe[[#This Row],[Gewinn aus Währungseffekten]])</f>
        <v/>
      </c>
      <c r="Z125" s="156" t="str">
        <f>IF(anleihenkäufe[[#This Row],[Verkauft am]]="","",anleihenkäufe[[#This Row],[Gewinn gesamt]]/anleihenkäufe[[#This Row],[Dirty Kaufpreis]])</f>
        <v/>
      </c>
    </row>
    <row r="126" spans="1:26" ht="14.25" x14ac:dyDescent="0.2">
      <c r="A126" s="9">
        <v>45385</v>
      </c>
      <c r="B126" s="1" t="s">
        <v>595</v>
      </c>
      <c r="C126" s="1" t="s">
        <v>3</v>
      </c>
      <c r="D126" s="4">
        <f t="shared" si="3"/>
        <v>1820.8493150684931</v>
      </c>
      <c r="E126" s="4">
        <f t="shared" si="4"/>
        <v>1770</v>
      </c>
      <c r="F126" s="1">
        <v>2</v>
      </c>
      <c r="G126" s="1">
        <v>1000</v>
      </c>
      <c r="H126" s="7">
        <v>0.88500000000000001</v>
      </c>
      <c r="I126" s="4">
        <f t="shared" si="5"/>
        <v>50.849315068493148</v>
      </c>
      <c r="J126" s="7">
        <v>7.2499999999999995E-2</v>
      </c>
      <c r="K126" s="58">
        <v>1</v>
      </c>
      <c r="L126" s="1" t="s">
        <v>925</v>
      </c>
      <c r="M126" s="1">
        <v>2</v>
      </c>
      <c r="N126" s="9">
        <v>45257</v>
      </c>
      <c r="O126" s="1" t="s">
        <v>56</v>
      </c>
      <c r="P126" s="1" t="s">
        <v>438</v>
      </c>
      <c r="Q126" s="1" t="s">
        <v>596</v>
      </c>
      <c r="R126" s="1" t="s">
        <v>597</v>
      </c>
      <c r="S126" s="1" t="b">
        <v>1</v>
      </c>
      <c r="T126" s="9"/>
      <c r="U126" s="4"/>
      <c r="V126" s="4"/>
      <c r="W126" s="4"/>
      <c r="X126" s="4"/>
      <c r="Y126" s="4" t="str">
        <f>IF(anleihenkäufe[[#This Row],[Verkauft am]]="","",anleihenkäufe[[#This Row],[Gewinn aus Kursänderung]]+anleihenkäufe[[#This Row],[Gewinn aus Zinsen]]+anleihenkäufe[[#This Row],[Gewinn aus Währungseffekten]])</f>
        <v/>
      </c>
      <c r="Z126" s="156" t="str">
        <f>IF(anleihenkäufe[[#This Row],[Verkauft am]]="","",anleihenkäufe[[#This Row],[Gewinn gesamt]]/anleihenkäufe[[#This Row],[Dirty Kaufpreis]])</f>
        <v/>
      </c>
    </row>
    <row r="127" spans="1:26" ht="14.25" x14ac:dyDescent="0.2">
      <c r="A127" s="9">
        <v>45385</v>
      </c>
      <c r="B127" s="1" t="s">
        <v>622</v>
      </c>
      <c r="C127" s="1" t="s">
        <v>2</v>
      </c>
      <c r="D127" s="4">
        <f t="shared" si="3"/>
        <v>2182.821917808219</v>
      </c>
      <c r="E127" s="4">
        <f t="shared" si="4"/>
        <v>2128</v>
      </c>
      <c r="F127" s="1">
        <v>2</v>
      </c>
      <c r="G127" s="1">
        <v>1000</v>
      </c>
      <c r="H127" s="7">
        <v>1.0640000000000001</v>
      </c>
      <c r="I127" s="4">
        <f t="shared" si="5"/>
        <v>54.821917808219176</v>
      </c>
      <c r="J127" s="7">
        <v>7.2499999999999995E-2</v>
      </c>
      <c r="K127" s="58">
        <v>1</v>
      </c>
      <c r="L127" s="1" t="s">
        <v>925</v>
      </c>
      <c r="M127" s="1">
        <v>2</v>
      </c>
      <c r="N127" s="9">
        <v>45247</v>
      </c>
      <c r="O127" s="1" t="s">
        <v>102</v>
      </c>
      <c r="P127" s="1" t="s">
        <v>61</v>
      </c>
      <c r="Q127" s="1" t="s">
        <v>623</v>
      </c>
      <c r="R127" s="1" t="s">
        <v>624</v>
      </c>
      <c r="S127" s="1" t="b">
        <v>1</v>
      </c>
      <c r="T127" s="9"/>
      <c r="U127" s="4"/>
      <c r="V127" s="4"/>
      <c r="W127" s="4"/>
      <c r="X127" s="4"/>
      <c r="Y127" s="4" t="str">
        <f>IF(anleihenkäufe[[#This Row],[Verkauft am]]="","",anleihenkäufe[[#This Row],[Gewinn aus Kursänderung]]+anleihenkäufe[[#This Row],[Gewinn aus Zinsen]]+anleihenkäufe[[#This Row],[Gewinn aus Währungseffekten]])</f>
        <v/>
      </c>
      <c r="Z127" s="156" t="str">
        <f>IF(anleihenkäufe[[#This Row],[Verkauft am]]="","",anleihenkäufe[[#This Row],[Gewinn gesamt]]/anleihenkäufe[[#This Row],[Dirty Kaufpreis]])</f>
        <v/>
      </c>
    </row>
    <row r="128" spans="1:26" ht="14.25" x14ac:dyDescent="0.2">
      <c r="A128" s="9">
        <v>45385</v>
      </c>
      <c r="B128" s="1" t="s">
        <v>612</v>
      </c>
      <c r="C128" s="1" t="s">
        <v>0</v>
      </c>
      <c r="D128" s="4">
        <f t="shared" si="3"/>
        <v>2224.7397260273974</v>
      </c>
      <c r="E128" s="4">
        <f t="shared" si="4"/>
        <v>2100</v>
      </c>
      <c r="F128" s="1">
        <v>2</v>
      </c>
      <c r="G128" s="1">
        <v>1000</v>
      </c>
      <c r="H128" s="7">
        <v>1.05</v>
      </c>
      <c r="I128" s="4">
        <f t="shared" si="5"/>
        <v>124.73972602739725</v>
      </c>
      <c r="J128" s="7">
        <v>7.2499999999999995E-2</v>
      </c>
      <c r="K128" s="58">
        <v>1</v>
      </c>
      <c r="L128" s="1" t="s">
        <v>925</v>
      </c>
      <c r="M128" s="1">
        <v>1</v>
      </c>
      <c r="N128" s="9">
        <v>45071</v>
      </c>
      <c r="O128" s="1" t="s">
        <v>613</v>
      </c>
      <c r="P128" s="1" t="s">
        <v>61</v>
      </c>
      <c r="Q128" s="1" t="s">
        <v>614</v>
      </c>
      <c r="R128" s="1" t="s">
        <v>615</v>
      </c>
      <c r="S128" s="1" t="b">
        <v>1</v>
      </c>
      <c r="T128" s="9"/>
      <c r="U128" s="4"/>
      <c r="V128" s="4"/>
      <c r="W128" s="4"/>
      <c r="X128" s="4"/>
      <c r="Y128" s="4" t="str">
        <f>IF(anleihenkäufe[[#This Row],[Verkauft am]]="","",anleihenkäufe[[#This Row],[Gewinn aus Kursänderung]]+anleihenkäufe[[#This Row],[Gewinn aus Zinsen]]+anleihenkäufe[[#This Row],[Gewinn aus Währungseffekten]])</f>
        <v/>
      </c>
      <c r="Z128" s="156" t="str">
        <f>IF(anleihenkäufe[[#This Row],[Verkauft am]]="","",anleihenkäufe[[#This Row],[Gewinn gesamt]]/anleihenkäufe[[#This Row],[Dirty Kaufpreis]])</f>
        <v/>
      </c>
    </row>
    <row r="129" spans="1:26" ht="14.25" x14ac:dyDescent="0.2">
      <c r="A129" s="9">
        <v>45385</v>
      </c>
      <c r="B129" s="1" t="s">
        <v>592</v>
      </c>
      <c r="C129" s="1" t="s">
        <v>0</v>
      </c>
      <c r="D129" s="4">
        <f t="shared" si="3"/>
        <v>2050.4821917808222</v>
      </c>
      <c r="E129" s="4">
        <f t="shared" si="4"/>
        <v>2038.4000000000003</v>
      </c>
      <c r="F129" s="1">
        <v>2</v>
      </c>
      <c r="G129" s="1">
        <v>1000</v>
      </c>
      <c r="H129" s="7">
        <v>1.0192000000000001</v>
      </c>
      <c r="I129" s="4">
        <f t="shared" si="5"/>
        <v>12.082191780821917</v>
      </c>
      <c r="J129" s="7">
        <v>7.3499999999999996E-2</v>
      </c>
      <c r="K129" s="58">
        <v>1</v>
      </c>
      <c r="L129" s="1" t="s">
        <v>925</v>
      </c>
      <c r="M129" s="1">
        <v>1</v>
      </c>
      <c r="N129" s="9">
        <v>45355</v>
      </c>
      <c r="O129" s="1" t="s">
        <v>369</v>
      </c>
      <c r="P129" s="1" t="s">
        <v>61</v>
      </c>
      <c r="Q129" s="1" t="s">
        <v>593</v>
      </c>
      <c r="R129" s="1" t="s">
        <v>594</v>
      </c>
      <c r="S129" s="1" t="b">
        <v>1</v>
      </c>
      <c r="T129" s="9"/>
      <c r="U129" s="4"/>
      <c r="V129" s="4"/>
      <c r="W129" s="4"/>
      <c r="X129" s="4"/>
      <c r="Y129" s="4" t="str">
        <f>IF(anleihenkäufe[[#This Row],[Verkauft am]]="","",anleihenkäufe[[#This Row],[Gewinn aus Kursänderung]]+anleihenkäufe[[#This Row],[Gewinn aus Zinsen]]+anleihenkäufe[[#This Row],[Gewinn aus Währungseffekten]])</f>
        <v/>
      </c>
      <c r="Z129" s="156" t="str">
        <f>IF(anleihenkäufe[[#This Row],[Verkauft am]]="","",anleihenkäufe[[#This Row],[Gewinn gesamt]]/anleihenkäufe[[#This Row],[Dirty Kaufpreis]])</f>
        <v/>
      </c>
    </row>
    <row r="130" spans="1:26" ht="14.25" x14ac:dyDescent="0.2">
      <c r="A130" s="9">
        <v>45385</v>
      </c>
      <c r="B130" s="1" t="s">
        <v>589</v>
      </c>
      <c r="C130" s="1" t="s">
        <v>0</v>
      </c>
      <c r="D130" s="4">
        <f t="shared" ref="D130:D193" si="6">E130+I130</f>
        <v>2114.85205479452</v>
      </c>
      <c r="E130" s="4">
        <f t="shared" ref="E130:E193" si="7">G130*H130*F130/K130</f>
        <v>2070.3999999999996</v>
      </c>
      <c r="F130" s="1">
        <v>2</v>
      </c>
      <c r="G130" s="1">
        <v>1000</v>
      </c>
      <c r="H130" s="7">
        <v>1.0351999999999999</v>
      </c>
      <c r="I130" s="4">
        <f t="shared" ref="I130:I193" si="8">G130*J130*(A130-N130)/365*F130/K130</f>
        <v>44.452054794520549</v>
      </c>
      <c r="J130" s="7">
        <v>7.3749999999999996E-2</v>
      </c>
      <c r="K130" s="58">
        <v>1</v>
      </c>
      <c r="L130" s="1" t="s">
        <v>925</v>
      </c>
      <c r="M130" s="1">
        <v>2</v>
      </c>
      <c r="N130" s="9">
        <v>45275</v>
      </c>
      <c r="O130" s="1" t="s">
        <v>35</v>
      </c>
      <c r="P130" s="1" t="s">
        <v>109</v>
      </c>
      <c r="Q130" s="1" t="s">
        <v>590</v>
      </c>
      <c r="R130" s="1" t="s">
        <v>591</v>
      </c>
      <c r="S130" s="1" t="b">
        <v>1</v>
      </c>
      <c r="T130" s="9"/>
      <c r="U130" s="4"/>
      <c r="V130" s="4"/>
      <c r="W130" s="4"/>
      <c r="X130" s="4"/>
      <c r="Y130" s="4" t="str">
        <f>IF(anleihenkäufe[[#This Row],[Verkauft am]]="","",anleihenkäufe[[#This Row],[Gewinn aus Kursänderung]]+anleihenkäufe[[#This Row],[Gewinn aus Zinsen]]+anleihenkäufe[[#This Row],[Gewinn aus Währungseffekten]])</f>
        <v/>
      </c>
      <c r="Z130" s="156" t="str">
        <f>IF(anleihenkäufe[[#This Row],[Verkauft am]]="","",anleihenkäufe[[#This Row],[Gewinn gesamt]]/anleihenkäufe[[#This Row],[Dirty Kaufpreis]])</f>
        <v/>
      </c>
    </row>
    <row r="131" spans="1:26" ht="14.25" x14ac:dyDescent="0.2">
      <c r="A131" s="9">
        <v>45385</v>
      </c>
      <c r="B131" s="1" t="s">
        <v>586</v>
      </c>
      <c r="C131" s="1" t="s">
        <v>0</v>
      </c>
      <c r="D131" s="4">
        <f t="shared" si="6"/>
        <v>1850.117808219178</v>
      </c>
      <c r="E131" s="4">
        <f t="shared" si="7"/>
        <v>1799.1999999999998</v>
      </c>
      <c r="F131" s="1">
        <v>2</v>
      </c>
      <c r="G131" s="1">
        <v>1000</v>
      </c>
      <c r="H131" s="7">
        <v>0.89959999999999996</v>
      </c>
      <c r="I131" s="4">
        <f t="shared" si="8"/>
        <v>50.917808219178085</v>
      </c>
      <c r="J131" s="7">
        <v>7.3749999999999996E-2</v>
      </c>
      <c r="K131" s="58">
        <v>1</v>
      </c>
      <c r="L131" s="1" t="s">
        <v>925</v>
      </c>
      <c r="M131" s="1">
        <v>2</v>
      </c>
      <c r="N131" s="9">
        <v>45259</v>
      </c>
      <c r="O131" s="1" t="s">
        <v>51</v>
      </c>
      <c r="P131" s="1" t="s">
        <v>341</v>
      </c>
      <c r="Q131" s="1" t="s">
        <v>587</v>
      </c>
      <c r="R131" s="1" t="s">
        <v>588</v>
      </c>
      <c r="S131" s="1" t="b">
        <v>1</v>
      </c>
      <c r="T131" s="9"/>
      <c r="U131" s="4"/>
      <c r="V131" s="4"/>
      <c r="W131" s="4"/>
      <c r="X131" s="4"/>
      <c r="Y131" s="4" t="str">
        <f>IF(anleihenkäufe[[#This Row],[Verkauft am]]="","",anleihenkäufe[[#This Row],[Gewinn aus Kursänderung]]+anleihenkäufe[[#This Row],[Gewinn aus Zinsen]]+anleihenkäufe[[#This Row],[Gewinn aus Währungseffekten]])</f>
        <v/>
      </c>
      <c r="Z131" s="156" t="str">
        <f>IF(anleihenkäufe[[#This Row],[Verkauft am]]="","",anleihenkäufe[[#This Row],[Gewinn gesamt]]/anleihenkäufe[[#This Row],[Dirty Kaufpreis]])</f>
        <v/>
      </c>
    </row>
    <row r="132" spans="1:26" ht="14.25" x14ac:dyDescent="0.2">
      <c r="A132" s="9">
        <v>45385</v>
      </c>
      <c r="B132" s="1" t="s">
        <v>583</v>
      </c>
      <c r="C132" s="1" t="s">
        <v>0</v>
      </c>
      <c r="D132" s="4">
        <f t="shared" si="6"/>
        <v>2005.1457534246576</v>
      </c>
      <c r="E132" s="4">
        <f t="shared" si="7"/>
        <v>1997.4</v>
      </c>
      <c r="F132" s="1">
        <v>2</v>
      </c>
      <c r="G132" s="1">
        <v>1000</v>
      </c>
      <c r="H132" s="7">
        <v>0.99870000000000003</v>
      </c>
      <c r="I132" s="4">
        <f t="shared" si="8"/>
        <v>7.7457534246575346</v>
      </c>
      <c r="J132" s="7">
        <v>7.4400000000000008E-2</v>
      </c>
      <c r="K132" s="58">
        <v>1</v>
      </c>
      <c r="L132" s="1" t="s">
        <v>925</v>
      </c>
      <c r="M132" s="1">
        <v>4</v>
      </c>
      <c r="N132" s="9">
        <v>45366</v>
      </c>
      <c r="O132" s="1" t="s">
        <v>102</v>
      </c>
      <c r="P132" s="1" t="s">
        <v>61</v>
      </c>
      <c r="Q132" s="1" t="s">
        <v>584</v>
      </c>
      <c r="R132" s="1" t="s">
        <v>585</v>
      </c>
      <c r="S132" s="1" t="b">
        <v>1</v>
      </c>
      <c r="T132" s="9"/>
      <c r="U132" s="4"/>
      <c r="V132" s="4"/>
      <c r="W132" s="4"/>
      <c r="X132" s="4"/>
      <c r="Y132" s="4" t="str">
        <f>IF(anleihenkäufe[[#This Row],[Verkauft am]]="","",anleihenkäufe[[#This Row],[Gewinn aus Kursänderung]]+anleihenkäufe[[#This Row],[Gewinn aus Zinsen]]+anleihenkäufe[[#This Row],[Gewinn aus Währungseffekten]])</f>
        <v/>
      </c>
      <c r="Z132" s="156" t="str">
        <f>IF(anleihenkäufe[[#This Row],[Verkauft am]]="","",anleihenkäufe[[#This Row],[Gewinn gesamt]]/anleihenkäufe[[#This Row],[Dirty Kaufpreis]])</f>
        <v/>
      </c>
    </row>
    <row r="133" spans="1:26" ht="14.25" x14ac:dyDescent="0.2">
      <c r="A133" s="9">
        <v>45385</v>
      </c>
      <c r="B133" s="1" t="s">
        <v>554</v>
      </c>
      <c r="C133" s="1" t="s">
        <v>10</v>
      </c>
      <c r="D133" s="4">
        <f t="shared" si="6"/>
        <v>2138.0821917808221</v>
      </c>
      <c r="E133" s="4">
        <f t="shared" si="7"/>
        <v>2000</v>
      </c>
      <c r="F133" s="1">
        <v>2</v>
      </c>
      <c r="G133" s="1">
        <v>1000</v>
      </c>
      <c r="H133" s="7">
        <v>1</v>
      </c>
      <c r="I133" s="4">
        <f t="shared" si="8"/>
        <v>138.08219178082192</v>
      </c>
      <c r="J133" s="7">
        <v>7.4999999999999997E-2</v>
      </c>
      <c r="K133" s="58">
        <v>1</v>
      </c>
      <c r="L133" s="1" t="s">
        <v>925</v>
      </c>
      <c r="M133" s="1">
        <v>1</v>
      </c>
      <c r="N133" s="9">
        <v>45049</v>
      </c>
      <c r="O133" s="1" t="s">
        <v>56</v>
      </c>
      <c r="P133" s="1" t="s">
        <v>61</v>
      </c>
      <c r="Q133" s="1" t="s">
        <v>555</v>
      </c>
      <c r="R133" s="56" t="s">
        <v>556</v>
      </c>
      <c r="S133" s="1" t="b">
        <v>0</v>
      </c>
      <c r="T133" s="9">
        <v>45412</v>
      </c>
      <c r="U133" s="4">
        <v>2149.178082191781</v>
      </c>
      <c r="V133" s="4">
        <v>0</v>
      </c>
      <c r="W133" s="4">
        <v>11.095882191780817</v>
      </c>
      <c r="X133" s="4">
        <v>3.1263880373444408E-13</v>
      </c>
      <c r="Y133" s="4">
        <f>IF(anleihenkäufe[[#This Row],[Verkauft am]]="","",anleihenkäufe[[#This Row],[Gewinn aus Kursänderung]]+anleihenkäufe[[#This Row],[Gewinn aus Zinsen]]+anleihenkäufe[[#This Row],[Gewinn aus Währungseffekten]])</f>
        <v>11.095882191781129</v>
      </c>
      <c r="Z133" s="156">
        <f>IF(anleihenkäufe[[#This Row],[Verkauft am]]="","",anleihenkäufe[[#This Row],[Gewinn gesamt]]/anleihenkäufe[[#This Row],[Dirty Kaufpreis]])</f>
        <v>5.1896424910303843E-3</v>
      </c>
    </row>
    <row r="134" spans="1:26" ht="14.25" x14ac:dyDescent="0.2">
      <c r="A134" s="9">
        <v>45385</v>
      </c>
      <c r="B134" s="1" t="s">
        <v>548</v>
      </c>
      <c r="C134" s="1" t="s">
        <v>2</v>
      </c>
      <c r="D134" s="4">
        <f t="shared" si="6"/>
        <v>2182.8767123287671</v>
      </c>
      <c r="E134" s="4">
        <f t="shared" si="7"/>
        <v>2180</v>
      </c>
      <c r="F134" s="1">
        <v>2</v>
      </c>
      <c r="G134" s="1">
        <v>1000</v>
      </c>
      <c r="H134" s="7">
        <v>1.0900000000000001</v>
      </c>
      <c r="I134" s="4">
        <f t="shared" si="8"/>
        <v>2.8767123287671232</v>
      </c>
      <c r="J134" s="7">
        <v>7.4999999999999997E-2</v>
      </c>
      <c r="K134" s="58">
        <v>1</v>
      </c>
      <c r="L134" s="1" t="s">
        <v>925</v>
      </c>
      <c r="M134" s="1">
        <v>2</v>
      </c>
      <c r="N134" s="9">
        <v>45378</v>
      </c>
      <c r="O134" s="1" t="s">
        <v>56</v>
      </c>
      <c r="P134" s="1" t="s">
        <v>39</v>
      </c>
      <c r="Q134" s="1" t="s">
        <v>549</v>
      </c>
      <c r="R134" s="1" t="s">
        <v>550</v>
      </c>
      <c r="S134" s="1" t="b">
        <v>1</v>
      </c>
      <c r="T134" s="9"/>
      <c r="U134" s="4"/>
      <c r="V134" s="4"/>
      <c r="W134" s="4"/>
      <c r="X134" s="4"/>
      <c r="Y134" s="4" t="str">
        <f>IF(anleihenkäufe[[#This Row],[Verkauft am]]="","",anleihenkäufe[[#This Row],[Gewinn aus Kursänderung]]+anleihenkäufe[[#This Row],[Gewinn aus Zinsen]]+anleihenkäufe[[#This Row],[Gewinn aus Währungseffekten]])</f>
        <v/>
      </c>
      <c r="Z134" s="156" t="str">
        <f>IF(anleihenkäufe[[#This Row],[Verkauft am]]="","",anleihenkäufe[[#This Row],[Gewinn gesamt]]/anleihenkäufe[[#This Row],[Dirty Kaufpreis]])</f>
        <v/>
      </c>
    </row>
    <row r="135" spans="1:26" ht="14.25" x14ac:dyDescent="0.2">
      <c r="A135" s="9">
        <v>45385</v>
      </c>
      <c r="B135" s="1" t="s">
        <v>580</v>
      </c>
      <c r="C135" s="1" t="s">
        <v>0</v>
      </c>
      <c r="D135" s="4">
        <f t="shared" si="6"/>
        <v>2076.4520547945199</v>
      </c>
      <c r="E135" s="4">
        <f t="shared" si="7"/>
        <v>2066.9999999999995</v>
      </c>
      <c r="F135" s="1">
        <v>2</v>
      </c>
      <c r="G135" s="1">
        <v>1000</v>
      </c>
      <c r="H135" s="7">
        <v>1.0334999999999999</v>
      </c>
      <c r="I135" s="4">
        <f t="shared" si="8"/>
        <v>9.4520547945205475</v>
      </c>
      <c r="J135" s="7">
        <v>7.4999999999999997E-2</v>
      </c>
      <c r="K135" s="58">
        <v>1</v>
      </c>
      <c r="L135" s="1" t="s">
        <v>925</v>
      </c>
      <c r="M135" s="1">
        <v>2</v>
      </c>
      <c r="N135" s="9">
        <v>45362</v>
      </c>
      <c r="O135" s="1" t="s">
        <v>170</v>
      </c>
      <c r="P135" s="1" t="s">
        <v>61</v>
      </c>
      <c r="Q135" s="1" t="s">
        <v>581</v>
      </c>
      <c r="R135" s="1" t="s">
        <v>582</v>
      </c>
      <c r="S135" s="1" t="b">
        <v>1</v>
      </c>
      <c r="T135" s="9"/>
      <c r="U135" s="4"/>
      <c r="V135" s="4"/>
      <c r="W135" s="4"/>
      <c r="X135" s="4"/>
      <c r="Y135" s="4" t="str">
        <f>IF(anleihenkäufe[[#This Row],[Verkauft am]]="","",anleihenkäufe[[#This Row],[Gewinn aus Kursänderung]]+anleihenkäufe[[#This Row],[Gewinn aus Zinsen]]+anleihenkäufe[[#This Row],[Gewinn aus Währungseffekten]])</f>
        <v/>
      </c>
      <c r="Z135" s="156" t="str">
        <f>IF(anleihenkäufe[[#This Row],[Verkauft am]]="","",anleihenkäufe[[#This Row],[Gewinn gesamt]]/anleihenkäufe[[#This Row],[Dirty Kaufpreis]])</f>
        <v/>
      </c>
    </row>
    <row r="136" spans="1:26" ht="14.25" x14ac:dyDescent="0.2">
      <c r="A136" s="9">
        <v>45385</v>
      </c>
      <c r="B136" s="1" t="s">
        <v>545</v>
      </c>
      <c r="C136" s="1" t="s">
        <v>10</v>
      </c>
      <c r="D136" s="4">
        <f t="shared" si="6"/>
        <v>2134.5616438356165</v>
      </c>
      <c r="E136" s="4">
        <f t="shared" si="7"/>
        <v>2121</v>
      </c>
      <c r="F136" s="1">
        <v>2</v>
      </c>
      <c r="G136" s="1">
        <v>1000</v>
      </c>
      <c r="H136" s="7">
        <v>1.0605</v>
      </c>
      <c r="I136" s="4">
        <f t="shared" si="8"/>
        <v>13.561643835616438</v>
      </c>
      <c r="J136" s="7">
        <v>7.4999999999999997E-2</v>
      </c>
      <c r="K136" s="58">
        <v>1</v>
      </c>
      <c r="L136" s="1" t="s">
        <v>925</v>
      </c>
      <c r="M136" s="1">
        <v>1</v>
      </c>
      <c r="N136" s="9">
        <v>45352</v>
      </c>
      <c r="O136" s="1" t="s">
        <v>56</v>
      </c>
      <c r="P136" s="1" t="s">
        <v>39</v>
      </c>
      <c r="Q136" s="1" t="s">
        <v>546</v>
      </c>
      <c r="R136" s="1" t="s">
        <v>547</v>
      </c>
      <c r="S136" s="1" t="b">
        <v>1</v>
      </c>
      <c r="T136" s="9"/>
      <c r="U136" s="4"/>
      <c r="V136" s="4"/>
      <c r="W136" s="4"/>
      <c r="X136" s="4"/>
      <c r="Y136" s="4" t="str">
        <f>IF(anleihenkäufe[[#This Row],[Verkauft am]]="","",anleihenkäufe[[#This Row],[Gewinn aus Kursänderung]]+anleihenkäufe[[#This Row],[Gewinn aus Zinsen]]+anleihenkäufe[[#This Row],[Gewinn aus Währungseffekten]])</f>
        <v/>
      </c>
      <c r="Z136" s="156" t="str">
        <f>IF(anleihenkäufe[[#This Row],[Verkauft am]]="","",anleihenkäufe[[#This Row],[Gewinn gesamt]]/anleihenkäufe[[#This Row],[Dirty Kaufpreis]])</f>
        <v/>
      </c>
    </row>
    <row r="137" spans="1:26" ht="14.25" x14ac:dyDescent="0.2">
      <c r="A137" s="9">
        <v>45385</v>
      </c>
      <c r="B137" s="1" t="s">
        <v>539</v>
      </c>
      <c r="C137" s="1" t="s">
        <v>9</v>
      </c>
      <c r="D137" s="4">
        <f t="shared" si="6"/>
        <v>1131.2273972602741</v>
      </c>
      <c r="E137" s="4">
        <f t="shared" si="7"/>
        <v>1115.2</v>
      </c>
      <c r="F137" s="1">
        <v>2</v>
      </c>
      <c r="G137" s="1">
        <v>1000</v>
      </c>
      <c r="H137" s="7">
        <v>0.55759999999999998</v>
      </c>
      <c r="I137" s="4">
        <f t="shared" si="8"/>
        <v>16.027397260273972</v>
      </c>
      <c r="J137" s="7">
        <v>7.4999999999999997E-2</v>
      </c>
      <c r="K137" s="58">
        <v>1</v>
      </c>
      <c r="L137" s="1" t="s">
        <v>925</v>
      </c>
      <c r="M137" s="1">
        <v>1</v>
      </c>
      <c r="N137" s="9">
        <v>45346</v>
      </c>
      <c r="O137" s="1" t="s">
        <v>56</v>
      </c>
      <c r="P137" s="1" t="s">
        <v>81</v>
      </c>
      <c r="Q137" s="1" t="s">
        <v>540</v>
      </c>
      <c r="R137" s="1" t="s">
        <v>541</v>
      </c>
      <c r="S137" s="1" t="b">
        <v>1</v>
      </c>
      <c r="T137" s="9"/>
      <c r="U137" s="4"/>
      <c r="V137" s="4"/>
      <c r="W137" s="4"/>
      <c r="X137" s="4"/>
      <c r="Y137" s="4" t="str">
        <f>IF(anleihenkäufe[[#This Row],[Verkauft am]]="","",anleihenkäufe[[#This Row],[Gewinn aus Kursänderung]]+anleihenkäufe[[#This Row],[Gewinn aus Zinsen]]+anleihenkäufe[[#This Row],[Gewinn aus Währungseffekten]])</f>
        <v/>
      </c>
      <c r="Z137" s="156" t="str">
        <f>IF(anleihenkäufe[[#This Row],[Verkauft am]]="","",anleihenkäufe[[#This Row],[Gewinn gesamt]]/anleihenkäufe[[#This Row],[Dirty Kaufpreis]])</f>
        <v/>
      </c>
    </row>
    <row r="138" spans="1:26" ht="14.25" x14ac:dyDescent="0.2">
      <c r="A138" s="9">
        <v>45385</v>
      </c>
      <c r="B138" s="1" t="s">
        <v>573</v>
      </c>
      <c r="C138" s="1" t="s">
        <v>0</v>
      </c>
      <c r="D138" s="4">
        <f t="shared" si="6"/>
        <v>1876.9150684931506</v>
      </c>
      <c r="E138" s="4">
        <f t="shared" si="7"/>
        <v>1857.6</v>
      </c>
      <c r="F138" s="1">
        <v>2</v>
      </c>
      <c r="G138" s="1">
        <v>1000</v>
      </c>
      <c r="H138" s="7">
        <v>0.92879999999999996</v>
      </c>
      <c r="I138" s="4">
        <f t="shared" si="8"/>
        <v>19.315068493150687</v>
      </c>
      <c r="J138" s="7">
        <v>7.4999999999999997E-2</v>
      </c>
      <c r="K138" s="58">
        <v>1</v>
      </c>
      <c r="L138" s="1" t="s">
        <v>925</v>
      </c>
      <c r="M138" s="1">
        <v>1</v>
      </c>
      <c r="N138" s="9">
        <v>45338</v>
      </c>
      <c r="O138" s="1" t="s">
        <v>51</v>
      </c>
      <c r="P138" s="1" t="s">
        <v>39</v>
      </c>
      <c r="Q138" s="1" t="s">
        <v>574</v>
      </c>
      <c r="R138" s="1" t="s">
        <v>575</v>
      </c>
      <c r="S138" s="1" t="b">
        <v>1</v>
      </c>
      <c r="T138" s="9"/>
      <c r="U138" s="4"/>
      <c r="V138" s="4"/>
      <c r="W138" s="4"/>
      <c r="X138" s="4"/>
      <c r="Y138" s="4" t="str">
        <f>IF(anleihenkäufe[[#This Row],[Verkauft am]]="","",anleihenkäufe[[#This Row],[Gewinn aus Kursänderung]]+anleihenkäufe[[#This Row],[Gewinn aus Zinsen]]+anleihenkäufe[[#This Row],[Gewinn aus Währungseffekten]])</f>
        <v/>
      </c>
      <c r="Z138" s="156" t="str">
        <f>IF(anleihenkäufe[[#This Row],[Verkauft am]]="","",anleihenkäufe[[#This Row],[Gewinn gesamt]]/anleihenkäufe[[#This Row],[Dirty Kaufpreis]])</f>
        <v/>
      </c>
    </row>
    <row r="139" spans="1:26" ht="14.25" x14ac:dyDescent="0.2">
      <c r="A139" s="9">
        <v>45385</v>
      </c>
      <c r="B139" s="1" t="s">
        <v>566</v>
      </c>
      <c r="C139" s="1" t="s">
        <v>2</v>
      </c>
      <c r="D139" s="4">
        <f t="shared" si="6"/>
        <v>2016.6904109589043</v>
      </c>
      <c r="E139" s="4">
        <f t="shared" si="7"/>
        <v>1990.8000000000002</v>
      </c>
      <c r="F139" s="1">
        <v>2</v>
      </c>
      <c r="G139" s="1">
        <v>1000</v>
      </c>
      <c r="H139" s="7">
        <v>0.99540000000000006</v>
      </c>
      <c r="I139" s="4">
        <f t="shared" si="8"/>
        <v>25.890410958904109</v>
      </c>
      <c r="J139" s="7">
        <v>7.4999999999999997E-2</v>
      </c>
      <c r="K139" s="58">
        <v>1</v>
      </c>
      <c r="L139" s="1" t="s">
        <v>925</v>
      </c>
      <c r="M139" s="1">
        <v>2</v>
      </c>
      <c r="N139" s="9">
        <v>45322</v>
      </c>
      <c r="O139" s="1" t="s">
        <v>567</v>
      </c>
      <c r="P139" s="1" t="s">
        <v>44</v>
      </c>
      <c r="Q139" s="1" t="s">
        <v>568</v>
      </c>
      <c r="R139" s="1" t="s">
        <v>569</v>
      </c>
      <c r="S139" s="1" t="b">
        <v>1</v>
      </c>
      <c r="T139" s="9"/>
      <c r="U139" s="4"/>
      <c r="V139" s="4"/>
      <c r="W139" s="4"/>
      <c r="X139" s="4"/>
      <c r="Y139" s="4" t="str">
        <f>IF(anleihenkäufe[[#This Row],[Verkauft am]]="","",anleihenkäufe[[#This Row],[Gewinn aus Kursänderung]]+anleihenkäufe[[#This Row],[Gewinn aus Zinsen]]+anleihenkäufe[[#This Row],[Gewinn aus Währungseffekten]])</f>
        <v/>
      </c>
      <c r="Z139" s="156" t="str">
        <f>IF(anleihenkäufe[[#This Row],[Verkauft am]]="","",anleihenkäufe[[#This Row],[Gewinn gesamt]]/anleihenkäufe[[#This Row],[Dirty Kaufpreis]])</f>
        <v/>
      </c>
    </row>
    <row r="140" spans="1:26" ht="14.25" x14ac:dyDescent="0.2">
      <c r="A140" s="9">
        <v>45385</v>
      </c>
      <c r="B140" s="1" t="s">
        <v>560</v>
      </c>
      <c r="C140" s="1" t="s">
        <v>8</v>
      </c>
      <c r="D140" s="4">
        <f t="shared" si="6"/>
        <v>2620.9671232876717</v>
      </c>
      <c r="E140" s="4">
        <f t="shared" si="7"/>
        <v>2592.2000000000003</v>
      </c>
      <c r="F140" s="1">
        <v>2</v>
      </c>
      <c r="G140" s="1">
        <v>1000</v>
      </c>
      <c r="H140" s="7">
        <v>1.2961</v>
      </c>
      <c r="I140" s="4">
        <f t="shared" si="8"/>
        <v>28.767123287671232</v>
      </c>
      <c r="J140" s="7">
        <v>7.4999999999999997E-2</v>
      </c>
      <c r="K140" s="58">
        <v>1</v>
      </c>
      <c r="L140" s="1" t="s">
        <v>925</v>
      </c>
      <c r="M140" s="1">
        <v>1</v>
      </c>
      <c r="N140" s="9">
        <v>45315</v>
      </c>
      <c r="O140" s="1" t="s">
        <v>51</v>
      </c>
      <c r="P140" s="1" t="s">
        <v>57</v>
      </c>
      <c r="Q140" s="1" t="s">
        <v>561</v>
      </c>
      <c r="R140" s="1" t="s">
        <v>562</v>
      </c>
      <c r="S140" s="1" t="b">
        <v>1</v>
      </c>
      <c r="T140" s="9"/>
      <c r="U140" s="4"/>
      <c r="V140" s="4"/>
      <c r="W140" s="4"/>
      <c r="X140" s="4"/>
      <c r="Y140" s="4" t="str">
        <f>IF(anleihenkäufe[[#This Row],[Verkauft am]]="","",anleihenkäufe[[#This Row],[Gewinn aus Kursänderung]]+anleihenkäufe[[#This Row],[Gewinn aus Zinsen]]+anleihenkäufe[[#This Row],[Gewinn aus Währungseffekten]])</f>
        <v/>
      </c>
      <c r="Z140" s="156" t="str">
        <f>IF(anleihenkäufe[[#This Row],[Verkauft am]]="","",anleihenkäufe[[#This Row],[Gewinn gesamt]]/anleihenkäufe[[#This Row],[Dirty Kaufpreis]])</f>
        <v/>
      </c>
    </row>
    <row r="141" spans="1:26" ht="14.25" x14ac:dyDescent="0.2">
      <c r="A141" s="9">
        <v>45385</v>
      </c>
      <c r="B141" s="1" t="s">
        <v>542</v>
      </c>
      <c r="C141" s="1" t="s">
        <v>3</v>
      </c>
      <c r="D141" s="4">
        <f t="shared" si="6"/>
        <v>1683.972602739726</v>
      </c>
      <c r="E141" s="4">
        <f t="shared" si="7"/>
        <v>1640</v>
      </c>
      <c r="F141" s="1">
        <v>2</v>
      </c>
      <c r="G141" s="1">
        <v>1000</v>
      </c>
      <c r="H141" s="7">
        <v>0.82</v>
      </c>
      <c r="I141" s="4">
        <f t="shared" si="8"/>
        <v>43.972602739726028</v>
      </c>
      <c r="J141" s="7">
        <v>7.4999999999999997E-2</v>
      </c>
      <c r="K141" s="58">
        <v>1</v>
      </c>
      <c r="L141" s="1" t="s">
        <v>925</v>
      </c>
      <c r="M141" s="1">
        <v>1</v>
      </c>
      <c r="N141" s="9">
        <v>45278</v>
      </c>
      <c r="O141" s="1" t="s">
        <v>51</v>
      </c>
      <c r="P141" s="1" t="s">
        <v>81</v>
      </c>
      <c r="Q141" s="1" t="s">
        <v>543</v>
      </c>
      <c r="R141" s="1" t="s">
        <v>544</v>
      </c>
      <c r="S141" s="1" t="b">
        <v>1</v>
      </c>
      <c r="T141" s="9"/>
      <c r="U141" s="4"/>
      <c r="V141" s="4"/>
      <c r="W141" s="4"/>
      <c r="X141" s="4"/>
      <c r="Y141" s="4" t="str">
        <f>IF(anleihenkäufe[[#This Row],[Verkauft am]]="","",anleihenkäufe[[#This Row],[Gewinn aus Kursänderung]]+anleihenkäufe[[#This Row],[Gewinn aus Zinsen]]+anleihenkäufe[[#This Row],[Gewinn aus Währungseffekten]])</f>
        <v/>
      </c>
      <c r="Z141" s="156" t="str">
        <f>IF(anleihenkäufe[[#This Row],[Verkauft am]]="","",anleihenkäufe[[#This Row],[Gewinn gesamt]]/anleihenkäufe[[#This Row],[Dirty Kaufpreis]])</f>
        <v/>
      </c>
    </row>
    <row r="142" spans="1:26" ht="14.25" x14ac:dyDescent="0.2">
      <c r="A142" s="9">
        <v>45385</v>
      </c>
      <c r="B142" s="1" t="s">
        <v>563</v>
      </c>
      <c r="C142" s="1" t="s">
        <v>0</v>
      </c>
      <c r="D142" s="4">
        <f t="shared" si="6"/>
        <v>2074.5369863013698</v>
      </c>
      <c r="E142" s="4">
        <f t="shared" si="7"/>
        <v>2024.4</v>
      </c>
      <c r="F142" s="1">
        <v>2</v>
      </c>
      <c r="G142" s="1">
        <v>1000</v>
      </c>
      <c r="H142" s="7">
        <v>1.0122</v>
      </c>
      <c r="I142" s="4">
        <f t="shared" si="8"/>
        <v>50.136986301369866</v>
      </c>
      <c r="J142" s="7">
        <v>7.4999999999999997E-2</v>
      </c>
      <c r="K142" s="58">
        <v>1</v>
      </c>
      <c r="L142" s="1" t="s">
        <v>925</v>
      </c>
      <c r="M142" s="1">
        <v>2</v>
      </c>
      <c r="N142" s="9">
        <v>45263</v>
      </c>
      <c r="O142" s="1" t="s">
        <v>170</v>
      </c>
      <c r="P142" s="1" t="s">
        <v>44</v>
      </c>
      <c r="Q142" s="1" t="s">
        <v>564</v>
      </c>
      <c r="R142" s="1" t="s">
        <v>565</v>
      </c>
      <c r="S142" s="1" t="b">
        <v>1</v>
      </c>
      <c r="T142" s="9"/>
      <c r="U142" s="4"/>
      <c r="V142" s="4"/>
      <c r="W142" s="4"/>
      <c r="X142" s="4"/>
      <c r="Y142" s="4" t="str">
        <f>IF(anleihenkäufe[[#This Row],[Verkauft am]]="","",anleihenkäufe[[#This Row],[Gewinn aus Kursänderung]]+anleihenkäufe[[#This Row],[Gewinn aus Zinsen]]+anleihenkäufe[[#This Row],[Gewinn aus Währungseffekten]])</f>
        <v/>
      </c>
      <c r="Z142" s="156" t="str">
        <f>IF(anleihenkäufe[[#This Row],[Verkauft am]]="","",anleihenkäufe[[#This Row],[Gewinn gesamt]]/anleihenkäufe[[#This Row],[Dirty Kaufpreis]])</f>
        <v/>
      </c>
    </row>
    <row r="143" spans="1:26" ht="14.25" x14ac:dyDescent="0.2">
      <c r="A143" s="9">
        <v>45385</v>
      </c>
      <c r="B143" s="1" t="s">
        <v>551</v>
      </c>
      <c r="C143" s="1" t="s">
        <v>4</v>
      </c>
      <c r="D143" s="4">
        <f t="shared" si="6"/>
        <v>1954.3013698630139</v>
      </c>
      <c r="E143" s="4">
        <f t="shared" si="7"/>
        <v>1898.0000000000002</v>
      </c>
      <c r="F143" s="1">
        <v>2</v>
      </c>
      <c r="G143" s="1">
        <v>1000</v>
      </c>
      <c r="H143" s="7">
        <v>0.94900000000000007</v>
      </c>
      <c r="I143" s="4">
        <f t="shared" si="8"/>
        <v>56.301369863013697</v>
      </c>
      <c r="J143" s="7">
        <v>7.4999999999999997E-2</v>
      </c>
      <c r="K143" s="58">
        <v>1</v>
      </c>
      <c r="L143" s="1" t="s">
        <v>925</v>
      </c>
      <c r="M143" s="1">
        <v>2</v>
      </c>
      <c r="N143" s="9">
        <v>45248</v>
      </c>
      <c r="O143" s="1" t="s">
        <v>56</v>
      </c>
      <c r="P143" s="1" t="s">
        <v>52</v>
      </c>
      <c r="Q143" s="1" t="s">
        <v>552</v>
      </c>
      <c r="R143" s="1" t="s">
        <v>553</v>
      </c>
      <c r="S143" s="1" t="b">
        <v>1</v>
      </c>
      <c r="T143" s="9"/>
      <c r="U143" s="4"/>
      <c r="V143" s="4"/>
      <c r="W143" s="4"/>
      <c r="X143" s="4"/>
      <c r="Y143" s="4" t="str">
        <f>IF(anleihenkäufe[[#This Row],[Verkauft am]]="","",anleihenkäufe[[#This Row],[Gewinn aus Kursänderung]]+anleihenkäufe[[#This Row],[Gewinn aus Zinsen]]+anleihenkäufe[[#This Row],[Gewinn aus Währungseffekten]])</f>
        <v/>
      </c>
      <c r="Z143" s="156" t="str">
        <f>IF(anleihenkäufe[[#This Row],[Verkauft am]]="","",anleihenkäufe[[#This Row],[Gewinn gesamt]]/anleihenkäufe[[#This Row],[Dirty Kaufpreis]])</f>
        <v/>
      </c>
    </row>
    <row r="144" spans="1:26" ht="14.25" x14ac:dyDescent="0.2">
      <c r="A144" s="9">
        <v>45385</v>
      </c>
      <c r="B144" s="1" t="s">
        <v>576</v>
      </c>
      <c r="C144" s="1" t="s">
        <v>6</v>
      </c>
      <c r="D144" s="4">
        <f t="shared" si="6"/>
        <v>2086.7095890410956</v>
      </c>
      <c r="E144" s="4">
        <f t="shared" si="7"/>
        <v>2022.5999999999997</v>
      </c>
      <c r="F144" s="1">
        <v>2</v>
      </c>
      <c r="G144" s="1">
        <v>1000</v>
      </c>
      <c r="H144" s="7">
        <v>1.0112999999999999</v>
      </c>
      <c r="I144" s="4">
        <f t="shared" si="8"/>
        <v>64.109589041095887</v>
      </c>
      <c r="J144" s="7">
        <v>7.4999999999999997E-2</v>
      </c>
      <c r="K144" s="58">
        <v>1</v>
      </c>
      <c r="L144" s="1" t="s">
        <v>925</v>
      </c>
      <c r="M144" s="1">
        <v>2</v>
      </c>
      <c r="N144" s="9">
        <v>45229</v>
      </c>
      <c r="O144" s="1" t="s">
        <v>56</v>
      </c>
      <c r="P144" s="1" t="s">
        <v>39</v>
      </c>
      <c r="Q144" s="1" t="s">
        <v>577</v>
      </c>
      <c r="R144" s="1" t="s">
        <v>578</v>
      </c>
      <c r="S144" s="1" t="b">
        <v>1</v>
      </c>
      <c r="T144" s="9"/>
      <c r="U144" s="4"/>
      <c r="V144" s="4"/>
      <c r="W144" s="4"/>
      <c r="X144" s="4"/>
      <c r="Y144" s="4" t="str">
        <f>IF(anleihenkäufe[[#This Row],[Verkauft am]]="","",anleihenkäufe[[#This Row],[Gewinn aus Kursänderung]]+anleihenkäufe[[#This Row],[Gewinn aus Zinsen]]+anleihenkäufe[[#This Row],[Gewinn aus Währungseffekten]])</f>
        <v/>
      </c>
      <c r="Z144" s="156" t="str">
        <f>IF(anleihenkäufe[[#This Row],[Verkauft am]]="","",anleihenkäufe[[#This Row],[Gewinn gesamt]]/anleihenkäufe[[#This Row],[Dirty Kaufpreis]])</f>
        <v/>
      </c>
    </row>
    <row r="145" spans="1:26" ht="14.25" x14ac:dyDescent="0.2">
      <c r="A145" s="9">
        <v>45385</v>
      </c>
      <c r="B145" s="1" t="s">
        <v>570</v>
      </c>
      <c r="C145" s="1" t="s">
        <v>0</v>
      </c>
      <c r="D145" s="4">
        <f t="shared" si="6"/>
        <v>2093.3095890410959</v>
      </c>
      <c r="E145" s="4">
        <f t="shared" si="7"/>
        <v>2029.1999999999998</v>
      </c>
      <c r="F145" s="1">
        <v>2</v>
      </c>
      <c r="G145" s="1">
        <v>1000</v>
      </c>
      <c r="H145" s="7">
        <v>1.0145999999999999</v>
      </c>
      <c r="I145" s="4">
        <f t="shared" si="8"/>
        <v>64.109589041095887</v>
      </c>
      <c r="J145" s="7">
        <v>7.4999999999999997E-2</v>
      </c>
      <c r="K145" s="58">
        <v>1</v>
      </c>
      <c r="L145" s="1" t="s">
        <v>925</v>
      </c>
      <c r="M145" s="1">
        <v>2</v>
      </c>
      <c r="N145" s="9">
        <v>45229</v>
      </c>
      <c r="O145" s="1" t="s">
        <v>102</v>
      </c>
      <c r="P145" s="1" t="s">
        <v>61</v>
      </c>
      <c r="Q145" s="1" t="s">
        <v>571</v>
      </c>
      <c r="R145" s="1" t="s">
        <v>572</v>
      </c>
      <c r="S145" s="1" t="b">
        <v>1</v>
      </c>
      <c r="T145" s="9"/>
      <c r="U145" s="4"/>
      <c r="V145" s="4"/>
      <c r="W145" s="4"/>
      <c r="X145" s="4"/>
      <c r="Y145" s="4" t="str">
        <f>IF(anleihenkäufe[[#This Row],[Verkauft am]]="","",anleihenkäufe[[#This Row],[Gewinn aus Kursänderung]]+anleihenkäufe[[#This Row],[Gewinn aus Zinsen]]+anleihenkäufe[[#This Row],[Gewinn aus Währungseffekten]])</f>
        <v/>
      </c>
      <c r="Z145" s="156" t="str">
        <f>IF(anleihenkäufe[[#This Row],[Verkauft am]]="","",anleihenkäufe[[#This Row],[Gewinn gesamt]]/anleihenkäufe[[#This Row],[Dirty Kaufpreis]])</f>
        <v/>
      </c>
    </row>
    <row r="146" spans="1:26" ht="14.25" x14ac:dyDescent="0.2">
      <c r="A146" s="9">
        <v>45385</v>
      </c>
      <c r="B146" s="1" t="s">
        <v>557</v>
      </c>
      <c r="C146" s="1" t="s">
        <v>3</v>
      </c>
      <c r="D146" s="4">
        <f t="shared" si="6"/>
        <v>788.15068493150682</v>
      </c>
      <c r="E146" s="4">
        <f t="shared" si="7"/>
        <v>715</v>
      </c>
      <c r="F146" s="1">
        <v>2</v>
      </c>
      <c r="G146" s="1">
        <v>1000</v>
      </c>
      <c r="H146" s="7">
        <v>0.35749999999999998</v>
      </c>
      <c r="I146" s="4">
        <f t="shared" si="8"/>
        <v>73.150684931506845</v>
      </c>
      <c r="J146" s="7">
        <v>7.4999999999999997E-2</v>
      </c>
      <c r="K146" s="58">
        <v>1</v>
      </c>
      <c r="L146" s="1" t="s">
        <v>925</v>
      </c>
      <c r="M146" s="1">
        <v>2</v>
      </c>
      <c r="N146" s="9">
        <v>45207</v>
      </c>
      <c r="O146" s="1" t="s">
        <v>56</v>
      </c>
      <c r="P146" s="1" t="s">
        <v>57</v>
      </c>
      <c r="Q146" s="1" t="s">
        <v>558</v>
      </c>
      <c r="R146" s="1" t="s">
        <v>559</v>
      </c>
      <c r="S146" s="1" t="b">
        <v>1</v>
      </c>
      <c r="T146" s="9"/>
      <c r="U146" s="4"/>
      <c r="V146" s="4"/>
      <c r="W146" s="4"/>
      <c r="X146" s="4"/>
      <c r="Y146" s="4" t="str">
        <f>IF(anleihenkäufe[[#This Row],[Verkauft am]]="","",anleihenkäufe[[#This Row],[Gewinn aus Kursänderung]]+anleihenkäufe[[#This Row],[Gewinn aus Zinsen]]+anleihenkäufe[[#This Row],[Gewinn aus Währungseffekten]])</f>
        <v/>
      </c>
      <c r="Z146" s="156" t="str">
        <f>IF(anleihenkäufe[[#This Row],[Verkauft am]]="","",anleihenkäufe[[#This Row],[Gewinn gesamt]]/anleihenkäufe[[#This Row],[Dirty Kaufpreis]])</f>
        <v/>
      </c>
    </row>
    <row r="147" spans="1:26" ht="14.25" x14ac:dyDescent="0.2">
      <c r="A147" s="9">
        <v>45385</v>
      </c>
      <c r="B147" s="1" t="s">
        <v>536</v>
      </c>
      <c r="C147" s="1" t="s">
        <v>0</v>
      </c>
      <c r="D147" s="4">
        <f t="shared" si="6"/>
        <v>2132.4299178082192</v>
      </c>
      <c r="E147" s="4">
        <f t="shared" si="7"/>
        <v>2062.1999999999998</v>
      </c>
      <c r="F147" s="1">
        <v>2</v>
      </c>
      <c r="G147" s="1">
        <v>1000</v>
      </c>
      <c r="H147" s="7">
        <v>1.0310999999999999</v>
      </c>
      <c r="I147" s="4">
        <f t="shared" si="8"/>
        <v>70.22991780821917</v>
      </c>
      <c r="J147" s="7">
        <v>7.5839999999999991E-2</v>
      </c>
      <c r="K147" s="58">
        <v>1</v>
      </c>
      <c r="L147" s="1" t="s">
        <v>925</v>
      </c>
      <c r="M147" s="1">
        <v>1</v>
      </c>
      <c r="N147" s="9">
        <v>45216</v>
      </c>
      <c r="O147" s="1" t="s">
        <v>170</v>
      </c>
      <c r="P147" s="1" t="s">
        <v>81</v>
      </c>
      <c r="Q147" s="1" t="s">
        <v>537</v>
      </c>
      <c r="R147" s="1" t="s">
        <v>538</v>
      </c>
      <c r="S147" s="1" t="b">
        <v>1</v>
      </c>
      <c r="T147" s="9"/>
      <c r="U147" s="4"/>
      <c r="V147" s="4"/>
      <c r="W147" s="4"/>
      <c r="X147" s="4"/>
      <c r="Y147" s="4" t="str">
        <f>IF(anleihenkäufe[[#This Row],[Verkauft am]]="","",anleihenkäufe[[#This Row],[Gewinn aus Kursänderung]]+anleihenkäufe[[#This Row],[Gewinn aus Zinsen]]+anleihenkäufe[[#This Row],[Gewinn aus Währungseffekten]])</f>
        <v/>
      </c>
      <c r="Z147" s="156" t="str">
        <f>IF(anleihenkäufe[[#This Row],[Verkauft am]]="","",anleihenkäufe[[#This Row],[Gewinn gesamt]]/anleihenkäufe[[#This Row],[Dirty Kaufpreis]])</f>
        <v/>
      </c>
    </row>
    <row r="148" spans="1:26" ht="14.25" x14ac:dyDescent="0.2">
      <c r="A148" s="9">
        <v>45385</v>
      </c>
      <c r="B148" s="1" t="s">
        <v>532</v>
      </c>
      <c r="C148" s="1" t="s">
        <v>10</v>
      </c>
      <c r="D148" s="4">
        <f t="shared" si="6"/>
        <v>2026.1876712328765</v>
      </c>
      <c r="E148" s="4">
        <f t="shared" si="7"/>
        <v>2012.3999999999999</v>
      </c>
      <c r="F148" s="1">
        <v>2</v>
      </c>
      <c r="G148" s="1">
        <v>1000</v>
      </c>
      <c r="H148" s="7">
        <v>1.0062</v>
      </c>
      <c r="I148" s="4">
        <f t="shared" si="8"/>
        <v>13.787671232876713</v>
      </c>
      <c r="J148" s="7">
        <v>7.6249999999999998E-2</v>
      </c>
      <c r="K148" s="58">
        <v>1</v>
      </c>
      <c r="L148" s="1" t="s">
        <v>925</v>
      </c>
      <c r="M148" s="1">
        <v>2</v>
      </c>
      <c r="N148" s="9">
        <v>45352</v>
      </c>
      <c r="O148" s="1" t="s">
        <v>533</v>
      </c>
      <c r="P148" s="1" t="s">
        <v>39</v>
      </c>
      <c r="Q148" s="1" t="s">
        <v>534</v>
      </c>
      <c r="R148" s="1" t="s">
        <v>535</v>
      </c>
      <c r="S148" s="1" t="b">
        <v>0</v>
      </c>
      <c r="T148" s="9">
        <v>45434</v>
      </c>
      <c r="U148" s="8">
        <v>2044.2602739726026</v>
      </c>
      <c r="V148" s="8">
        <v>-2.4000000000001798</v>
      </c>
      <c r="W148" s="8">
        <v>20.472573972602738</v>
      </c>
      <c r="X148" s="8">
        <v>8.1712414612411521E-14</v>
      </c>
      <c r="Y148" s="4">
        <f>IF(anleihenkäufe[[#This Row],[Verkauft am]]="","",anleihenkäufe[[#This Row],[Gewinn aus Kursänderung]]+anleihenkäufe[[#This Row],[Gewinn aus Zinsen]]+anleihenkäufe[[#This Row],[Gewinn aus Währungseffekten]])</f>
        <v>18.07257397260264</v>
      </c>
      <c r="Z148" s="156">
        <f>IF(anleihenkäufe[[#This Row],[Verkauft am]]="","",anleihenkäufe[[#This Row],[Gewinn gesamt]]/anleihenkäufe[[#This Row],[Dirty Kaufpreis]])</f>
        <v>8.9194965645043155E-3</v>
      </c>
    </row>
    <row r="149" spans="1:26" ht="14.25" x14ac:dyDescent="0.2">
      <c r="A149" s="9">
        <v>45385</v>
      </c>
      <c r="B149" s="1" t="s">
        <v>529</v>
      </c>
      <c r="C149" s="1" t="s">
        <v>2</v>
      </c>
      <c r="D149" s="4">
        <f t="shared" si="6"/>
        <v>2006.3231780821918</v>
      </c>
      <c r="E149" s="4">
        <f t="shared" si="7"/>
        <v>1986.2</v>
      </c>
      <c r="F149" s="1">
        <v>2</v>
      </c>
      <c r="G149" s="1">
        <v>1000</v>
      </c>
      <c r="H149" s="7">
        <v>0.99309999999999998</v>
      </c>
      <c r="I149" s="4">
        <f t="shared" si="8"/>
        <v>20.123178082191778</v>
      </c>
      <c r="J149" s="7">
        <v>7.6509999999999995E-2</v>
      </c>
      <c r="K149" s="58">
        <v>1</v>
      </c>
      <c r="L149" s="1" t="s">
        <v>925</v>
      </c>
      <c r="M149" s="1">
        <v>4</v>
      </c>
      <c r="N149" s="9">
        <v>45337</v>
      </c>
      <c r="O149" s="1" t="s">
        <v>51</v>
      </c>
      <c r="P149" s="1" t="s">
        <v>39</v>
      </c>
      <c r="Q149" s="1" t="s">
        <v>530</v>
      </c>
      <c r="R149" s="1" t="s">
        <v>531</v>
      </c>
      <c r="S149" s="1" t="b">
        <v>1</v>
      </c>
      <c r="T149" s="9"/>
      <c r="U149" s="4"/>
      <c r="V149" s="4"/>
      <c r="W149" s="4"/>
      <c r="X149" s="4"/>
      <c r="Y149" s="4" t="str">
        <f>IF(anleihenkäufe[[#This Row],[Verkauft am]]="","",anleihenkäufe[[#This Row],[Gewinn aus Kursänderung]]+anleihenkäufe[[#This Row],[Gewinn aus Zinsen]]+anleihenkäufe[[#This Row],[Gewinn aus Währungseffekten]])</f>
        <v/>
      </c>
      <c r="Z149" s="156" t="str">
        <f>IF(anleihenkäufe[[#This Row],[Verkauft am]]="","",anleihenkäufe[[#This Row],[Gewinn gesamt]]/anleihenkäufe[[#This Row],[Dirty Kaufpreis]])</f>
        <v/>
      </c>
    </row>
    <row r="150" spans="1:26" ht="14.25" x14ac:dyDescent="0.2">
      <c r="A150" s="9">
        <v>45385</v>
      </c>
      <c r="B150" s="1" t="s">
        <v>74</v>
      </c>
      <c r="C150" s="1" t="s">
        <v>4</v>
      </c>
      <c r="D150" s="4">
        <f t="shared" si="6"/>
        <v>1984.1728219178081</v>
      </c>
      <c r="E150" s="4">
        <f t="shared" si="7"/>
        <v>1976.6</v>
      </c>
      <c r="F150" s="1">
        <v>200000</v>
      </c>
      <c r="G150" s="1">
        <v>0.01</v>
      </c>
      <c r="H150" s="7">
        <v>0.98829999999999996</v>
      </c>
      <c r="I150" s="4">
        <f t="shared" si="8"/>
        <v>7.5728219178082199</v>
      </c>
      <c r="J150" s="7">
        <v>7.6780000000000001E-2</v>
      </c>
      <c r="K150" s="58">
        <v>1</v>
      </c>
      <c r="L150" s="1" t="s">
        <v>925</v>
      </c>
      <c r="M150" s="1">
        <v>4</v>
      </c>
      <c r="N150" s="9">
        <v>45367</v>
      </c>
      <c r="O150" s="1" t="s">
        <v>75</v>
      </c>
      <c r="P150" s="1" t="s">
        <v>39</v>
      </c>
      <c r="Q150" s="1" t="s">
        <v>527</v>
      </c>
      <c r="R150" s="1" t="s">
        <v>528</v>
      </c>
      <c r="S150" s="1" t="b">
        <v>0</v>
      </c>
      <c r="T150" s="9">
        <v>45412</v>
      </c>
      <c r="U150" s="4">
        <v>2014.352767123288</v>
      </c>
      <c r="V150" s="4">
        <v>18.400000000000194</v>
      </c>
      <c r="W150" s="4">
        <v>11.779967123287673</v>
      </c>
      <c r="X150" s="4">
        <v>8.5265128291212022E-14</v>
      </c>
      <c r="Y150" s="4">
        <f>IF(anleihenkäufe[[#This Row],[Verkauft am]]="","",anleihenkäufe[[#This Row],[Gewinn aus Kursänderung]]+anleihenkäufe[[#This Row],[Gewinn aus Zinsen]]+anleihenkäufe[[#This Row],[Gewinn aus Währungseffekten]])</f>
        <v>30.179967123287952</v>
      </c>
      <c r="Z150" s="156">
        <f>IF(anleihenkäufe[[#This Row],[Verkauft am]]="","",anleihenkäufe[[#This Row],[Gewinn gesamt]]/anleihenkäufe[[#This Row],[Dirty Kaufpreis]])</f>
        <v>1.5210352036833876E-2</v>
      </c>
    </row>
    <row r="151" spans="1:26" ht="14.25" x14ac:dyDescent="0.2">
      <c r="A151" s="9">
        <v>45385</v>
      </c>
      <c r="B151" s="1" t="s">
        <v>507</v>
      </c>
      <c r="C151" s="1" t="s">
        <v>0</v>
      </c>
      <c r="D151" s="4">
        <f t="shared" si="6"/>
        <v>2272.4136986301369</v>
      </c>
      <c r="E151" s="4">
        <f t="shared" si="7"/>
        <v>2258.4</v>
      </c>
      <c r="F151" s="1">
        <v>2</v>
      </c>
      <c r="G151" s="1">
        <v>1000</v>
      </c>
      <c r="H151" s="7">
        <v>1.1292</v>
      </c>
      <c r="I151" s="4">
        <f t="shared" si="8"/>
        <v>14.013698630136986</v>
      </c>
      <c r="J151" s="7">
        <v>7.7499999999999999E-2</v>
      </c>
      <c r="K151" s="58">
        <v>1</v>
      </c>
      <c r="L151" s="1" t="s">
        <v>925</v>
      </c>
      <c r="M151" s="1">
        <v>1</v>
      </c>
      <c r="N151" s="9">
        <v>45352</v>
      </c>
      <c r="O151" s="1" t="s">
        <v>508</v>
      </c>
      <c r="P151" s="1" t="s">
        <v>44</v>
      </c>
      <c r="Q151" s="1" t="s">
        <v>509</v>
      </c>
      <c r="R151" s="1" t="s">
        <v>510</v>
      </c>
      <c r="S151" s="1" t="b">
        <v>1</v>
      </c>
      <c r="T151" s="9"/>
      <c r="U151" s="4"/>
      <c r="V151" s="4"/>
      <c r="W151" s="4"/>
      <c r="X151" s="4"/>
      <c r="Y151" s="4" t="str">
        <f>IF(anleihenkäufe[[#This Row],[Verkauft am]]="","",anleihenkäufe[[#This Row],[Gewinn aus Kursänderung]]+anleihenkäufe[[#This Row],[Gewinn aus Zinsen]]+anleihenkäufe[[#This Row],[Gewinn aus Währungseffekten]])</f>
        <v/>
      </c>
      <c r="Z151" s="156" t="str">
        <f>IF(anleihenkäufe[[#This Row],[Verkauft am]]="","",anleihenkäufe[[#This Row],[Gewinn gesamt]]/anleihenkäufe[[#This Row],[Dirty Kaufpreis]])</f>
        <v/>
      </c>
    </row>
    <row r="152" spans="1:26" ht="14.25" x14ac:dyDescent="0.2">
      <c r="A152" s="9">
        <v>45385</v>
      </c>
      <c r="B152" s="1" t="s">
        <v>522</v>
      </c>
      <c r="C152" s="1" t="s">
        <v>3</v>
      </c>
      <c r="D152" s="4">
        <f t="shared" si="6"/>
        <v>1974.3424657534249</v>
      </c>
      <c r="E152" s="4">
        <f t="shared" si="7"/>
        <v>1934.0000000000002</v>
      </c>
      <c r="F152" s="1">
        <v>2</v>
      </c>
      <c r="G152" s="1">
        <v>1000</v>
      </c>
      <c r="H152" s="7">
        <v>0.96700000000000008</v>
      </c>
      <c r="I152" s="4">
        <f t="shared" si="8"/>
        <v>40.342465753424655</v>
      </c>
      <c r="J152" s="7">
        <v>7.7499999999999999E-2</v>
      </c>
      <c r="K152" s="58">
        <v>1</v>
      </c>
      <c r="L152" s="1" t="s">
        <v>925</v>
      </c>
      <c r="M152" s="1">
        <v>2</v>
      </c>
      <c r="N152" s="9">
        <v>45290</v>
      </c>
      <c r="O152" s="1" t="s">
        <v>102</v>
      </c>
      <c r="P152" s="1" t="s">
        <v>81</v>
      </c>
      <c r="Q152" s="1" t="s">
        <v>523</v>
      </c>
      <c r="R152" s="1" t="s">
        <v>524</v>
      </c>
      <c r="S152" s="1" t="b">
        <v>1</v>
      </c>
      <c r="T152" s="9"/>
      <c r="U152" s="4"/>
      <c r="V152" s="4"/>
      <c r="W152" s="4"/>
      <c r="X152" s="4"/>
      <c r="Y152" s="4" t="str">
        <f>IF(anleihenkäufe[[#This Row],[Verkauft am]]="","",anleihenkäufe[[#This Row],[Gewinn aus Kursänderung]]+anleihenkäufe[[#This Row],[Gewinn aus Zinsen]]+anleihenkäufe[[#This Row],[Gewinn aus Währungseffekten]])</f>
        <v/>
      </c>
      <c r="Z152" s="156" t="str">
        <f>IF(anleihenkäufe[[#This Row],[Verkauft am]]="","",anleihenkäufe[[#This Row],[Gewinn gesamt]]/anleihenkäufe[[#This Row],[Dirty Kaufpreis]])</f>
        <v/>
      </c>
    </row>
    <row r="153" spans="1:26" ht="14.25" x14ac:dyDescent="0.2">
      <c r="A153" s="9">
        <v>45385</v>
      </c>
      <c r="B153" s="1" t="s">
        <v>519</v>
      </c>
      <c r="C153" s="1" t="s">
        <v>10</v>
      </c>
      <c r="D153" s="4">
        <f t="shared" si="6"/>
        <v>1476.7123287671234</v>
      </c>
      <c r="E153" s="4">
        <f t="shared" si="7"/>
        <v>1430</v>
      </c>
      <c r="F153" s="1">
        <v>2</v>
      </c>
      <c r="G153" s="1">
        <v>1000</v>
      </c>
      <c r="H153" s="7">
        <v>0.71499999999999997</v>
      </c>
      <c r="I153" s="4">
        <f t="shared" si="8"/>
        <v>46.712328767123289</v>
      </c>
      <c r="J153" s="7">
        <v>7.7499999999999999E-2</v>
      </c>
      <c r="K153" s="58">
        <v>1</v>
      </c>
      <c r="L153" s="1" t="s">
        <v>925</v>
      </c>
      <c r="M153" s="1">
        <v>2</v>
      </c>
      <c r="N153" s="9">
        <v>45275</v>
      </c>
      <c r="O153" s="1" t="s">
        <v>56</v>
      </c>
      <c r="P153" s="1" t="s">
        <v>39</v>
      </c>
      <c r="Q153" s="1" t="s">
        <v>520</v>
      </c>
      <c r="R153" s="1" t="s">
        <v>521</v>
      </c>
      <c r="S153" s="1" t="b">
        <v>1</v>
      </c>
      <c r="T153" s="9"/>
      <c r="U153" s="4"/>
      <c r="V153" s="4"/>
      <c r="W153" s="4"/>
      <c r="X153" s="4"/>
      <c r="Y153" s="4" t="str">
        <f>IF(anleihenkäufe[[#This Row],[Verkauft am]]="","",anleihenkäufe[[#This Row],[Gewinn aus Kursänderung]]+anleihenkäufe[[#This Row],[Gewinn aus Zinsen]]+anleihenkäufe[[#This Row],[Gewinn aus Währungseffekten]])</f>
        <v/>
      </c>
      <c r="Z153" s="156" t="str">
        <f>IF(anleihenkäufe[[#This Row],[Verkauft am]]="","",anleihenkäufe[[#This Row],[Gewinn gesamt]]/anleihenkäufe[[#This Row],[Dirty Kaufpreis]])</f>
        <v/>
      </c>
    </row>
    <row r="154" spans="1:26" ht="14.25" x14ac:dyDescent="0.2">
      <c r="A154" s="9">
        <v>45385</v>
      </c>
      <c r="B154" s="1" t="s">
        <v>516</v>
      </c>
      <c r="C154" s="1" t="s">
        <v>9</v>
      </c>
      <c r="D154" s="4">
        <f t="shared" si="6"/>
        <v>2004.1972602739725</v>
      </c>
      <c r="E154" s="4">
        <f t="shared" si="7"/>
        <v>1938.8</v>
      </c>
      <c r="F154" s="1">
        <v>2</v>
      </c>
      <c r="G154" s="1">
        <v>1000</v>
      </c>
      <c r="H154" s="7">
        <v>0.96939999999999993</v>
      </c>
      <c r="I154" s="4">
        <f t="shared" si="8"/>
        <v>65.397260273972606</v>
      </c>
      <c r="J154" s="7">
        <v>7.7499999999999999E-2</v>
      </c>
      <c r="K154" s="58">
        <v>1</v>
      </c>
      <c r="L154" s="1" t="s">
        <v>925</v>
      </c>
      <c r="M154" s="1">
        <v>2</v>
      </c>
      <c r="N154" s="9">
        <v>45231</v>
      </c>
      <c r="O154" s="1" t="s">
        <v>102</v>
      </c>
      <c r="P154" s="1" t="s">
        <v>39</v>
      </c>
      <c r="Q154" s="1" t="s">
        <v>517</v>
      </c>
      <c r="R154" s="1" t="s">
        <v>518</v>
      </c>
      <c r="S154" s="1" t="b">
        <v>1</v>
      </c>
      <c r="T154" s="9"/>
      <c r="U154" s="4"/>
      <c r="V154" s="4"/>
      <c r="W154" s="4"/>
      <c r="X154" s="4"/>
      <c r="Y154" s="4" t="str">
        <f>IF(anleihenkäufe[[#This Row],[Verkauft am]]="","",anleihenkäufe[[#This Row],[Gewinn aus Kursänderung]]+anleihenkäufe[[#This Row],[Gewinn aus Zinsen]]+anleihenkäufe[[#This Row],[Gewinn aus Währungseffekten]])</f>
        <v/>
      </c>
      <c r="Z154" s="156" t="str">
        <f>IF(anleihenkäufe[[#This Row],[Verkauft am]]="","",anleihenkäufe[[#This Row],[Gewinn gesamt]]/anleihenkäufe[[#This Row],[Dirty Kaufpreis]])</f>
        <v/>
      </c>
    </row>
    <row r="155" spans="1:26" ht="14.25" x14ac:dyDescent="0.2">
      <c r="A155" s="9">
        <v>45385</v>
      </c>
      <c r="B155" s="1" t="s">
        <v>511</v>
      </c>
      <c r="C155" s="1" t="s">
        <v>2</v>
      </c>
      <c r="D155" s="4">
        <f t="shared" si="6"/>
        <v>1065.3972602739725</v>
      </c>
      <c r="E155" s="4">
        <f t="shared" si="7"/>
        <v>1000</v>
      </c>
      <c r="F155" s="1">
        <v>2</v>
      </c>
      <c r="G155" s="1">
        <v>1000</v>
      </c>
      <c r="H155" s="7">
        <v>0.5</v>
      </c>
      <c r="I155" s="4">
        <f t="shared" si="8"/>
        <v>65.397260273972606</v>
      </c>
      <c r="J155" s="7">
        <v>7.7499999999999999E-2</v>
      </c>
      <c r="K155" s="58">
        <v>1</v>
      </c>
      <c r="L155" s="1" t="s">
        <v>925</v>
      </c>
      <c r="M155" s="1">
        <v>1</v>
      </c>
      <c r="N155" s="9">
        <v>45231</v>
      </c>
      <c r="O155" s="1" t="s">
        <v>56</v>
      </c>
      <c r="P155" s="1" t="s">
        <v>52</v>
      </c>
      <c r="Q155" s="1" t="s">
        <v>512</v>
      </c>
      <c r="R155" s="1" t="s">
        <v>513</v>
      </c>
      <c r="S155" s="1" t="b">
        <v>1</v>
      </c>
      <c r="T155" s="9"/>
      <c r="U155" s="4"/>
      <c r="V155" s="4"/>
      <c r="W155" s="4"/>
      <c r="X155" s="4"/>
      <c r="Y155" s="4" t="str">
        <f>IF(anleihenkäufe[[#This Row],[Verkauft am]]="","",anleihenkäufe[[#This Row],[Gewinn aus Kursänderung]]+anleihenkäufe[[#This Row],[Gewinn aus Zinsen]]+anleihenkäufe[[#This Row],[Gewinn aus Währungseffekten]])</f>
        <v/>
      </c>
      <c r="Z155" s="156" t="str">
        <f>IF(anleihenkäufe[[#This Row],[Verkauft am]]="","",anleihenkäufe[[#This Row],[Gewinn gesamt]]/anleihenkäufe[[#This Row],[Dirty Kaufpreis]])</f>
        <v/>
      </c>
    </row>
    <row r="156" spans="1:26" ht="14.25" x14ac:dyDescent="0.2">
      <c r="A156" s="9">
        <v>45385</v>
      </c>
      <c r="B156" s="1" t="s">
        <v>1852</v>
      </c>
      <c r="C156" s="1" t="s">
        <v>5</v>
      </c>
      <c r="D156" s="4">
        <f t="shared" si="6"/>
        <v>1853.2164383561642</v>
      </c>
      <c r="E156" s="4">
        <f t="shared" si="7"/>
        <v>1780.6</v>
      </c>
      <c r="F156" s="1">
        <v>2</v>
      </c>
      <c r="G156" s="1">
        <v>1000</v>
      </c>
      <c r="H156" s="7">
        <v>0.89029999999999998</v>
      </c>
      <c r="I156" s="4">
        <f t="shared" si="8"/>
        <v>72.61643835616438</v>
      </c>
      <c r="J156" s="7">
        <v>7.7499999999999999E-2</v>
      </c>
      <c r="K156" s="58">
        <v>1</v>
      </c>
      <c r="L156" s="1" t="s">
        <v>925</v>
      </c>
      <c r="M156" s="1">
        <v>2</v>
      </c>
      <c r="N156" s="9">
        <v>45214</v>
      </c>
      <c r="O156" s="1" t="s">
        <v>102</v>
      </c>
      <c r="P156" s="1" t="s">
        <v>44</v>
      </c>
      <c r="Q156" s="1" t="s">
        <v>515</v>
      </c>
      <c r="R156" s="56" t="s">
        <v>1851</v>
      </c>
      <c r="S156" s="1" t="b">
        <v>1</v>
      </c>
      <c r="T156" s="9"/>
      <c r="U156" s="4"/>
      <c r="V156" s="4"/>
      <c r="W156" s="4"/>
      <c r="X156" s="4"/>
      <c r="Y156" s="4" t="str">
        <f>IF(anleihenkäufe[[#This Row],[Verkauft am]]="","",anleihenkäufe[[#This Row],[Gewinn aus Kursänderung]]+anleihenkäufe[[#This Row],[Gewinn aus Zinsen]]+anleihenkäufe[[#This Row],[Gewinn aus Währungseffekten]])</f>
        <v/>
      </c>
      <c r="Z156" s="156" t="str">
        <f>IF(anleihenkäufe[[#This Row],[Verkauft am]]="","",anleihenkäufe[[#This Row],[Gewinn gesamt]]/anleihenkäufe[[#This Row],[Dirty Kaufpreis]])</f>
        <v/>
      </c>
    </row>
    <row r="157" spans="1:26" ht="14.25" x14ac:dyDescent="0.2">
      <c r="A157" s="9">
        <v>45385</v>
      </c>
      <c r="B157" s="1" t="s">
        <v>525</v>
      </c>
      <c r="C157" s="1" t="s">
        <v>0</v>
      </c>
      <c r="D157" s="4">
        <f t="shared" si="6"/>
        <v>2264.1972602739729</v>
      </c>
      <c r="E157" s="4">
        <f t="shared" si="7"/>
        <v>2136.8000000000002</v>
      </c>
      <c r="F157" s="1">
        <v>2</v>
      </c>
      <c r="G157" s="1">
        <v>1000</v>
      </c>
      <c r="H157" s="7">
        <v>1.0684</v>
      </c>
      <c r="I157" s="4">
        <f t="shared" si="8"/>
        <v>127.39726027397261</v>
      </c>
      <c r="J157" s="7">
        <v>7.7499999999999999E-2</v>
      </c>
      <c r="K157" s="58">
        <v>1</v>
      </c>
      <c r="L157" s="1" t="s">
        <v>925</v>
      </c>
      <c r="M157" s="1">
        <v>1</v>
      </c>
      <c r="N157" s="9">
        <v>45085</v>
      </c>
      <c r="O157" s="1" t="s">
        <v>526</v>
      </c>
      <c r="P157" s="1" t="s">
        <v>61</v>
      </c>
      <c r="Q157" s="1" t="s">
        <v>878</v>
      </c>
      <c r="R157" s="1" t="s">
        <v>879</v>
      </c>
      <c r="S157" s="1" t="b">
        <v>1</v>
      </c>
      <c r="T157" s="9"/>
      <c r="U157" s="4"/>
      <c r="V157" s="4"/>
      <c r="W157" s="4"/>
      <c r="X157" s="4"/>
      <c r="Y157" s="4" t="str">
        <f>IF(anleihenkäufe[[#This Row],[Verkauft am]]="","",anleihenkäufe[[#This Row],[Gewinn aus Kursänderung]]+anleihenkäufe[[#This Row],[Gewinn aus Zinsen]]+anleihenkäufe[[#This Row],[Gewinn aus Währungseffekten]])</f>
        <v/>
      </c>
      <c r="Z157" s="156" t="str">
        <f>IF(anleihenkäufe[[#This Row],[Verkauft am]]="","",anleihenkäufe[[#This Row],[Gewinn gesamt]]/anleihenkäufe[[#This Row],[Dirty Kaufpreis]])</f>
        <v/>
      </c>
    </row>
    <row r="158" spans="1:26" ht="14.25" x14ac:dyDescent="0.2">
      <c r="A158" s="9">
        <v>45385</v>
      </c>
      <c r="B158" s="1" t="s">
        <v>504</v>
      </c>
      <c r="C158" s="1" t="s">
        <v>6</v>
      </c>
      <c r="D158" s="4">
        <f t="shared" si="6"/>
        <v>2022.0201643835617</v>
      </c>
      <c r="E158" s="4">
        <f t="shared" si="7"/>
        <v>1994.8</v>
      </c>
      <c r="F158" s="1">
        <v>2</v>
      </c>
      <c r="G158" s="1">
        <v>1000</v>
      </c>
      <c r="H158" s="7">
        <v>0.99739999999999995</v>
      </c>
      <c r="I158" s="4">
        <f t="shared" si="8"/>
        <v>27.220164383561642</v>
      </c>
      <c r="J158" s="7">
        <v>7.7619999999999995E-2</v>
      </c>
      <c r="K158" s="58">
        <v>1</v>
      </c>
      <c r="L158" s="1" t="s">
        <v>925</v>
      </c>
      <c r="M158" s="1">
        <v>4</v>
      </c>
      <c r="N158" s="9">
        <v>45321</v>
      </c>
      <c r="O158" s="1" t="s">
        <v>35</v>
      </c>
      <c r="P158" s="1" t="s">
        <v>39</v>
      </c>
      <c r="Q158" s="1" t="s">
        <v>505</v>
      </c>
      <c r="R158" s="1" t="s">
        <v>506</v>
      </c>
      <c r="S158" s="1" t="b">
        <v>1</v>
      </c>
      <c r="T158" s="9"/>
      <c r="U158" s="4"/>
      <c r="V158" s="4"/>
      <c r="W158" s="4"/>
      <c r="X158" s="4"/>
      <c r="Y158" s="4" t="str">
        <f>IF(anleihenkäufe[[#This Row],[Verkauft am]]="","",anleihenkäufe[[#This Row],[Gewinn aus Kursänderung]]+anleihenkäufe[[#This Row],[Gewinn aus Zinsen]]+anleihenkäufe[[#This Row],[Gewinn aus Währungseffekten]])</f>
        <v/>
      </c>
      <c r="Z158" s="156" t="str">
        <f>IF(anleihenkäufe[[#This Row],[Verkauft am]]="","",anleihenkäufe[[#This Row],[Gewinn gesamt]]/anleihenkäufe[[#This Row],[Dirty Kaufpreis]])</f>
        <v/>
      </c>
    </row>
    <row r="159" spans="1:26" ht="14.25" x14ac:dyDescent="0.2">
      <c r="A159" s="9">
        <v>45385</v>
      </c>
      <c r="B159" s="1" t="s">
        <v>501</v>
      </c>
      <c r="C159" s="1" t="s">
        <v>1</v>
      </c>
      <c r="D159" s="4">
        <f t="shared" si="6"/>
        <v>1914.8630136986301</v>
      </c>
      <c r="E159" s="4">
        <f t="shared" si="7"/>
        <v>1868</v>
      </c>
      <c r="F159" s="1">
        <v>2</v>
      </c>
      <c r="G159" s="1">
        <v>1000</v>
      </c>
      <c r="H159" s="7">
        <v>0.93400000000000005</v>
      </c>
      <c r="I159" s="4">
        <f t="shared" si="8"/>
        <v>46.863013698630134</v>
      </c>
      <c r="J159" s="7">
        <v>7.775E-2</v>
      </c>
      <c r="K159" s="58">
        <v>1</v>
      </c>
      <c r="L159" s="1" t="s">
        <v>925</v>
      </c>
      <c r="M159" s="1">
        <v>2</v>
      </c>
      <c r="N159" s="9">
        <v>45275</v>
      </c>
      <c r="O159" s="1" t="s">
        <v>35</v>
      </c>
      <c r="P159" s="1" t="s">
        <v>52</v>
      </c>
      <c r="Q159" s="1" t="s">
        <v>502</v>
      </c>
      <c r="R159" s="1" t="s">
        <v>503</v>
      </c>
      <c r="S159" s="1" t="b">
        <v>1</v>
      </c>
      <c r="T159" s="9"/>
      <c r="U159" s="4"/>
      <c r="V159" s="4"/>
      <c r="W159" s="4"/>
      <c r="X159" s="4"/>
      <c r="Y159" s="4" t="str">
        <f>IF(anleihenkäufe[[#This Row],[Verkauft am]]="","",anleihenkäufe[[#This Row],[Gewinn aus Kursänderung]]+anleihenkäufe[[#This Row],[Gewinn aus Zinsen]]+anleihenkäufe[[#This Row],[Gewinn aus Währungseffekten]])</f>
        <v/>
      </c>
      <c r="Z159" s="156" t="str">
        <f>IF(anleihenkäufe[[#This Row],[Verkauft am]]="","",anleihenkäufe[[#This Row],[Gewinn gesamt]]/anleihenkäufe[[#This Row],[Dirty Kaufpreis]])</f>
        <v/>
      </c>
    </row>
    <row r="160" spans="1:26" ht="14.25" x14ac:dyDescent="0.2">
      <c r="A160" s="9">
        <v>45385</v>
      </c>
      <c r="B160" s="1" t="s">
        <v>498</v>
      </c>
      <c r="C160" s="1" t="s">
        <v>4</v>
      </c>
      <c r="D160" s="4">
        <f t="shared" si="6"/>
        <v>2166.2781369863014</v>
      </c>
      <c r="E160" s="4">
        <f t="shared" si="7"/>
        <v>2145.6</v>
      </c>
      <c r="F160" s="1">
        <v>2</v>
      </c>
      <c r="G160" s="1">
        <v>1000</v>
      </c>
      <c r="H160" s="7">
        <v>1.0728</v>
      </c>
      <c r="I160" s="4">
        <f t="shared" si="8"/>
        <v>20.678136986301364</v>
      </c>
      <c r="J160" s="7">
        <v>7.8619999999999995E-2</v>
      </c>
      <c r="K160" s="58">
        <v>1</v>
      </c>
      <c r="L160" s="1" t="s">
        <v>925</v>
      </c>
      <c r="M160" s="1">
        <v>1</v>
      </c>
      <c r="N160" s="9">
        <v>45337</v>
      </c>
      <c r="O160" s="1" t="s">
        <v>78</v>
      </c>
      <c r="P160" s="1" t="s">
        <v>39</v>
      </c>
      <c r="Q160" s="1" t="s">
        <v>499</v>
      </c>
      <c r="R160" s="1" t="s">
        <v>500</v>
      </c>
      <c r="S160" s="1" t="b">
        <v>1</v>
      </c>
      <c r="T160" s="9"/>
      <c r="U160" s="4"/>
      <c r="V160" s="4"/>
      <c r="W160" s="4"/>
      <c r="X160" s="4"/>
      <c r="Y160" s="4" t="str">
        <f>IF(anleihenkäufe[[#This Row],[Verkauft am]]="","",anleihenkäufe[[#This Row],[Gewinn aus Kursänderung]]+anleihenkäufe[[#This Row],[Gewinn aus Zinsen]]+anleihenkäufe[[#This Row],[Gewinn aus Währungseffekten]])</f>
        <v/>
      </c>
      <c r="Z160" s="156" t="str">
        <f>IF(anleihenkäufe[[#This Row],[Verkauft am]]="","",anleihenkäufe[[#This Row],[Gewinn gesamt]]/anleihenkäufe[[#This Row],[Dirty Kaufpreis]])</f>
        <v/>
      </c>
    </row>
    <row r="161" spans="1:26" ht="14.25" x14ac:dyDescent="0.2">
      <c r="A161" s="9">
        <v>45385</v>
      </c>
      <c r="B161" s="1" t="s">
        <v>486</v>
      </c>
      <c r="C161" s="1" t="s">
        <v>6</v>
      </c>
      <c r="D161" s="4">
        <f t="shared" si="6"/>
        <v>2271.5986301369858</v>
      </c>
      <c r="E161" s="4">
        <f t="shared" si="7"/>
        <v>2263.3999999999996</v>
      </c>
      <c r="F161" s="1">
        <v>2</v>
      </c>
      <c r="G161" s="1">
        <v>1000</v>
      </c>
      <c r="H161" s="7">
        <v>1.1316999999999999</v>
      </c>
      <c r="I161" s="4">
        <f t="shared" si="8"/>
        <v>8.1986301369863011</v>
      </c>
      <c r="J161" s="7">
        <v>7.8750000000000001E-2</v>
      </c>
      <c r="K161" s="58">
        <v>1</v>
      </c>
      <c r="L161" s="1" t="s">
        <v>925</v>
      </c>
      <c r="M161" s="1">
        <v>2</v>
      </c>
      <c r="N161" s="9">
        <v>45366</v>
      </c>
      <c r="O161" s="1" t="s">
        <v>51</v>
      </c>
      <c r="P161" s="1" t="s">
        <v>44</v>
      </c>
      <c r="Q161" s="1" t="s">
        <v>487</v>
      </c>
      <c r="R161" s="1" t="s">
        <v>488</v>
      </c>
      <c r="S161" s="1" t="b">
        <v>1</v>
      </c>
      <c r="T161" s="9"/>
      <c r="U161" s="4"/>
      <c r="V161" s="4"/>
      <c r="W161" s="4"/>
      <c r="X161" s="4"/>
      <c r="Y161" s="4" t="str">
        <f>IF(anleihenkäufe[[#This Row],[Verkauft am]]="","",anleihenkäufe[[#This Row],[Gewinn aus Kursänderung]]+anleihenkäufe[[#This Row],[Gewinn aus Zinsen]]+anleihenkäufe[[#This Row],[Gewinn aus Währungseffekten]])</f>
        <v/>
      </c>
      <c r="Z161" s="156" t="str">
        <f>IF(anleihenkäufe[[#This Row],[Verkauft am]]="","",anleihenkäufe[[#This Row],[Gewinn gesamt]]/anleihenkäufe[[#This Row],[Dirty Kaufpreis]])</f>
        <v/>
      </c>
    </row>
    <row r="162" spans="1:26" ht="14.25" x14ac:dyDescent="0.2">
      <c r="A162" s="9">
        <v>45385</v>
      </c>
      <c r="B162" s="1" t="s">
        <v>489</v>
      </c>
      <c r="C162" s="1" t="s">
        <v>8</v>
      </c>
      <c r="D162" s="4">
        <f t="shared" si="6"/>
        <v>2200.5849315068494</v>
      </c>
      <c r="E162" s="4">
        <f t="shared" si="7"/>
        <v>2173.4</v>
      </c>
      <c r="F162" s="1">
        <v>2</v>
      </c>
      <c r="G162" s="1">
        <v>1000</v>
      </c>
      <c r="H162" s="7">
        <v>1.0867</v>
      </c>
      <c r="I162" s="4">
        <f t="shared" si="8"/>
        <v>27.184931506849313</v>
      </c>
      <c r="J162" s="7">
        <v>7.8750000000000001E-2</v>
      </c>
      <c r="K162" s="58">
        <v>1</v>
      </c>
      <c r="L162" s="1" t="s">
        <v>925</v>
      </c>
      <c r="M162" s="1">
        <v>2</v>
      </c>
      <c r="N162" s="9">
        <v>45322</v>
      </c>
      <c r="O162" s="1" t="s">
        <v>170</v>
      </c>
      <c r="P162" s="1" t="s">
        <v>57</v>
      </c>
      <c r="Q162" s="1" t="s">
        <v>490</v>
      </c>
      <c r="R162" s="1" t="s">
        <v>491</v>
      </c>
      <c r="S162" s="1" t="b">
        <v>1</v>
      </c>
      <c r="T162" s="9"/>
      <c r="U162" s="4"/>
      <c r="V162" s="4"/>
      <c r="W162" s="4"/>
      <c r="X162" s="4"/>
      <c r="Y162" s="4" t="str">
        <f>IF(anleihenkäufe[[#This Row],[Verkauft am]]="","",anleihenkäufe[[#This Row],[Gewinn aus Kursänderung]]+anleihenkäufe[[#This Row],[Gewinn aus Zinsen]]+anleihenkäufe[[#This Row],[Gewinn aus Währungseffekten]])</f>
        <v/>
      </c>
      <c r="Z162" s="156" t="str">
        <f>IF(anleihenkäufe[[#This Row],[Verkauft am]]="","",anleihenkäufe[[#This Row],[Gewinn gesamt]]/anleihenkäufe[[#This Row],[Dirty Kaufpreis]])</f>
        <v/>
      </c>
    </row>
    <row r="163" spans="1:26" ht="14.25" x14ac:dyDescent="0.2">
      <c r="A163" s="9">
        <v>45385</v>
      </c>
      <c r="B163" s="1" t="s">
        <v>495</v>
      </c>
      <c r="C163" s="1" t="s">
        <v>6</v>
      </c>
      <c r="D163" s="4">
        <f t="shared" si="6"/>
        <v>2127.4657534246576</v>
      </c>
      <c r="E163" s="4">
        <f t="shared" si="7"/>
        <v>2080</v>
      </c>
      <c r="F163" s="1">
        <v>2</v>
      </c>
      <c r="G163" s="1">
        <v>1000</v>
      </c>
      <c r="H163" s="7">
        <v>1.04</v>
      </c>
      <c r="I163" s="4">
        <f t="shared" si="8"/>
        <v>47.465753424657535</v>
      </c>
      <c r="J163" s="7">
        <v>7.8750000000000001E-2</v>
      </c>
      <c r="K163" s="58">
        <v>1</v>
      </c>
      <c r="L163" s="1" t="s">
        <v>925</v>
      </c>
      <c r="M163" s="1">
        <v>2</v>
      </c>
      <c r="N163" s="9">
        <v>45275</v>
      </c>
      <c r="O163" s="1" t="s">
        <v>35</v>
      </c>
      <c r="P163" s="1" t="s">
        <v>52</v>
      </c>
      <c r="Q163" s="1" t="s">
        <v>496</v>
      </c>
      <c r="R163" s="1" t="s">
        <v>497</v>
      </c>
      <c r="S163" s="1" t="b">
        <v>1</v>
      </c>
      <c r="T163" s="9"/>
      <c r="U163" s="4"/>
      <c r="V163" s="4"/>
      <c r="W163" s="4"/>
      <c r="X163" s="4"/>
      <c r="Y163" s="4" t="str">
        <f>IF(anleihenkäufe[[#This Row],[Verkauft am]]="","",anleihenkäufe[[#This Row],[Gewinn aus Kursänderung]]+anleihenkäufe[[#This Row],[Gewinn aus Zinsen]]+anleihenkäufe[[#This Row],[Gewinn aus Währungseffekten]])</f>
        <v/>
      </c>
      <c r="Z163" s="156" t="str">
        <f>IF(anleihenkäufe[[#This Row],[Verkauft am]]="","",anleihenkäufe[[#This Row],[Gewinn gesamt]]/anleihenkäufe[[#This Row],[Dirty Kaufpreis]])</f>
        <v/>
      </c>
    </row>
    <row r="164" spans="1:26" ht="14.25" x14ac:dyDescent="0.2">
      <c r="A164" s="9">
        <v>45385</v>
      </c>
      <c r="B164" s="1" t="s">
        <v>492</v>
      </c>
      <c r="C164" s="1" t="s">
        <v>0</v>
      </c>
      <c r="D164" s="4">
        <f t="shared" si="6"/>
        <v>2303.6369863013697</v>
      </c>
      <c r="E164" s="4">
        <f t="shared" si="7"/>
        <v>2147</v>
      </c>
      <c r="F164" s="1">
        <v>2</v>
      </c>
      <c r="G164" s="1">
        <v>1000</v>
      </c>
      <c r="H164" s="7">
        <v>1.0734999999999999</v>
      </c>
      <c r="I164" s="4">
        <f t="shared" si="8"/>
        <v>156.63698630136986</v>
      </c>
      <c r="J164" s="7">
        <v>7.8750000000000001E-2</v>
      </c>
      <c r="K164" s="58">
        <v>1</v>
      </c>
      <c r="L164" s="1" t="s">
        <v>925</v>
      </c>
      <c r="M164" s="1">
        <v>1</v>
      </c>
      <c r="N164" s="9">
        <v>45022</v>
      </c>
      <c r="O164" s="1" t="s">
        <v>176</v>
      </c>
      <c r="P164" s="1" t="s">
        <v>61</v>
      </c>
      <c r="Q164" s="1" t="s">
        <v>493</v>
      </c>
      <c r="R164" s="1" t="s">
        <v>494</v>
      </c>
      <c r="S164" s="1" t="b">
        <v>1</v>
      </c>
      <c r="T164" s="9"/>
      <c r="U164" s="4"/>
      <c r="V164" s="4"/>
      <c r="W164" s="4"/>
      <c r="X164" s="4"/>
      <c r="Y164" s="4" t="str">
        <f>IF(anleihenkäufe[[#This Row],[Verkauft am]]="","",anleihenkäufe[[#This Row],[Gewinn aus Kursänderung]]+anleihenkäufe[[#This Row],[Gewinn aus Zinsen]]+anleihenkäufe[[#This Row],[Gewinn aus Währungseffekten]])</f>
        <v/>
      </c>
      <c r="Z164" s="156" t="str">
        <f>IF(anleihenkäufe[[#This Row],[Verkauft am]]="","",anleihenkäufe[[#This Row],[Gewinn gesamt]]/anleihenkäufe[[#This Row],[Dirty Kaufpreis]])</f>
        <v/>
      </c>
    </row>
    <row r="165" spans="1:26" ht="14.25" x14ac:dyDescent="0.2">
      <c r="A165" s="9">
        <v>45385</v>
      </c>
      <c r="B165" s="1" t="s">
        <v>483</v>
      </c>
      <c r="C165" s="1" t="s">
        <v>3</v>
      </c>
      <c r="D165" s="4">
        <f t="shared" si="6"/>
        <v>1661.3178082191782</v>
      </c>
      <c r="E165" s="4">
        <f t="shared" si="7"/>
        <v>1646.6000000000001</v>
      </c>
      <c r="F165" s="1">
        <v>2000</v>
      </c>
      <c r="G165" s="1">
        <v>1</v>
      </c>
      <c r="H165" s="7">
        <v>0.82330000000000003</v>
      </c>
      <c r="I165" s="4">
        <f t="shared" si="8"/>
        <v>14.717808219178082</v>
      </c>
      <c r="J165" s="7">
        <v>7.9000000000000001E-2</v>
      </c>
      <c r="K165" s="58">
        <v>1</v>
      </c>
      <c r="L165" s="1" t="s">
        <v>925</v>
      </c>
      <c r="M165" s="1">
        <v>2</v>
      </c>
      <c r="N165" s="9">
        <v>45351</v>
      </c>
      <c r="O165" s="1" t="s">
        <v>35</v>
      </c>
      <c r="P165" s="1" t="s">
        <v>61</v>
      </c>
      <c r="Q165" s="1" t="s">
        <v>484</v>
      </c>
      <c r="R165" s="1" t="s">
        <v>485</v>
      </c>
      <c r="S165" s="1" t="b">
        <v>1</v>
      </c>
      <c r="T165" s="9"/>
      <c r="U165" s="4"/>
      <c r="V165" s="4"/>
      <c r="W165" s="4"/>
      <c r="X165" s="4"/>
      <c r="Y165" s="4" t="str">
        <f>IF(anleihenkäufe[[#This Row],[Verkauft am]]="","",anleihenkäufe[[#This Row],[Gewinn aus Kursänderung]]+anleihenkäufe[[#This Row],[Gewinn aus Zinsen]]+anleihenkäufe[[#This Row],[Gewinn aus Währungseffekten]])</f>
        <v/>
      </c>
      <c r="Z165" s="156" t="str">
        <f>IF(anleihenkäufe[[#This Row],[Verkauft am]]="","",anleihenkäufe[[#This Row],[Gewinn gesamt]]/anleihenkäufe[[#This Row],[Dirty Kaufpreis]])</f>
        <v/>
      </c>
    </row>
    <row r="166" spans="1:26" ht="14.25" x14ac:dyDescent="0.2">
      <c r="A166" s="9">
        <v>45385</v>
      </c>
      <c r="B166" s="1" t="s">
        <v>480</v>
      </c>
      <c r="C166" s="1" t="s">
        <v>10</v>
      </c>
      <c r="D166" s="4">
        <f t="shared" si="6"/>
        <v>2037.4455890410961</v>
      </c>
      <c r="E166" s="4">
        <f t="shared" si="7"/>
        <v>2011.0000000000002</v>
      </c>
      <c r="F166" s="1">
        <v>2</v>
      </c>
      <c r="G166" s="1">
        <v>1000</v>
      </c>
      <c r="H166" s="7">
        <v>1.0055000000000001</v>
      </c>
      <c r="I166" s="4">
        <f t="shared" si="8"/>
        <v>26.445589041095889</v>
      </c>
      <c r="J166" s="7">
        <v>7.9119999999999996E-2</v>
      </c>
      <c r="K166" s="58">
        <v>1</v>
      </c>
      <c r="L166" s="1" t="s">
        <v>925</v>
      </c>
      <c r="M166" s="1">
        <v>4</v>
      </c>
      <c r="N166" s="9">
        <v>45324</v>
      </c>
      <c r="O166" s="1" t="s">
        <v>102</v>
      </c>
      <c r="P166" s="1" t="s">
        <v>109</v>
      </c>
      <c r="Q166" s="1" t="s">
        <v>481</v>
      </c>
      <c r="R166" s="1" t="s">
        <v>482</v>
      </c>
      <c r="S166" s="1" t="b">
        <v>1</v>
      </c>
      <c r="T166" s="9"/>
      <c r="U166" s="4"/>
      <c r="V166" s="4"/>
      <c r="W166" s="4"/>
      <c r="X166" s="4"/>
      <c r="Y166" s="4" t="str">
        <f>IF(anleihenkäufe[[#This Row],[Verkauft am]]="","",anleihenkäufe[[#This Row],[Gewinn aus Kursänderung]]+anleihenkäufe[[#This Row],[Gewinn aus Zinsen]]+anleihenkäufe[[#This Row],[Gewinn aus Währungseffekten]])</f>
        <v/>
      </c>
      <c r="Z166" s="156" t="str">
        <f>IF(anleihenkäufe[[#This Row],[Verkauft am]]="","",anleihenkäufe[[#This Row],[Gewinn gesamt]]/anleihenkäufe[[#This Row],[Dirty Kaufpreis]])</f>
        <v/>
      </c>
    </row>
    <row r="167" spans="1:26" ht="14.25" x14ac:dyDescent="0.2">
      <c r="A167" s="9">
        <v>45385</v>
      </c>
      <c r="B167" s="1" t="s">
        <v>477</v>
      </c>
      <c r="C167" s="1" t="s">
        <v>1</v>
      </c>
      <c r="D167" s="4">
        <f t="shared" si="6"/>
        <v>2007.8025205479455</v>
      </c>
      <c r="E167" s="4">
        <f t="shared" si="7"/>
        <v>2005.2000000000003</v>
      </c>
      <c r="F167" s="1">
        <v>2</v>
      </c>
      <c r="G167" s="1">
        <v>1000</v>
      </c>
      <c r="H167" s="7">
        <v>1.0026000000000002</v>
      </c>
      <c r="I167" s="4">
        <f t="shared" si="8"/>
        <v>2.6025205479452058</v>
      </c>
      <c r="J167" s="7">
        <v>7.9160000000000008E-2</v>
      </c>
      <c r="K167" s="58">
        <v>1</v>
      </c>
      <c r="L167" s="1" t="s">
        <v>925</v>
      </c>
      <c r="M167" s="1">
        <v>4</v>
      </c>
      <c r="N167" s="9">
        <v>45379</v>
      </c>
      <c r="O167" s="1" t="s">
        <v>170</v>
      </c>
      <c r="P167" s="1" t="s">
        <v>61</v>
      </c>
      <c r="Q167" s="1" t="s">
        <v>478</v>
      </c>
      <c r="R167" s="1" t="s">
        <v>479</v>
      </c>
      <c r="S167" s="1" t="b">
        <v>1</v>
      </c>
      <c r="T167" s="9"/>
      <c r="U167" s="4"/>
      <c r="V167" s="4"/>
      <c r="W167" s="4"/>
      <c r="X167" s="4"/>
      <c r="Y167" s="4" t="str">
        <f>IF(anleihenkäufe[[#This Row],[Verkauft am]]="","",anleihenkäufe[[#This Row],[Gewinn aus Kursänderung]]+anleihenkäufe[[#This Row],[Gewinn aus Zinsen]]+anleihenkäufe[[#This Row],[Gewinn aus Währungseffekten]])</f>
        <v/>
      </c>
      <c r="Z167" s="156" t="str">
        <f>IF(anleihenkäufe[[#This Row],[Verkauft am]]="","",anleihenkäufe[[#This Row],[Gewinn gesamt]]/anleihenkäufe[[#This Row],[Dirty Kaufpreis]])</f>
        <v/>
      </c>
    </row>
    <row r="168" spans="1:26" ht="14.25" x14ac:dyDescent="0.2">
      <c r="A168" s="9">
        <v>45385</v>
      </c>
      <c r="B168" s="1" t="s">
        <v>474</v>
      </c>
      <c r="C168" s="1" t="s">
        <v>9</v>
      </c>
      <c r="D168" s="4">
        <f t="shared" si="6"/>
        <v>2009.0663013698629</v>
      </c>
      <c r="E168" s="4">
        <f t="shared" si="7"/>
        <v>2000.8</v>
      </c>
      <c r="F168" s="1">
        <v>2</v>
      </c>
      <c r="G168" s="1">
        <v>1000</v>
      </c>
      <c r="H168" s="7">
        <v>1.0004</v>
      </c>
      <c r="I168" s="4">
        <f t="shared" si="8"/>
        <v>8.2663013698630134</v>
      </c>
      <c r="J168" s="7">
        <v>7.9399999999999998E-2</v>
      </c>
      <c r="K168" s="58">
        <v>1</v>
      </c>
      <c r="L168" s="1" t="s">
        <v>925</v>
      </c>
      <c r="M168" s="1">
        <v>4</v>
      </c>
      <c r="N168" s="9">
        <v>45366</v>
      </c>
      <c r="O168" s="1" t="s">
        <v>35</v>
      </c>
      <c r="P168" s="1" t="s">
        <v>57</v>
      </c>
      <c r="Q168" s="1" t="s">
        <v>475</v>
      </c>
      <c r="R168" s="1" t="s">
        <v>476</v>
      </c>
      <c r="S168" s="1" t="b">
        <v>1</v>
      </c>
      <c r="T168" s="9"/>
      <c r="U168" s="4"/>
      <c r="V168" s="4"/>
      <c r="W168" s="4"/>
      <c r="X168" s="4"/>
      <c r="Y168" s="4" t="str">
        <f>IF(anleihenkäufe[[#This Row],[Verkauft am]]="","",anleihenkäufe[[#This Row],[Gewinn aus Kursänderung]]+anleihenkäufe[[#This Row],[Gewinn aus Zinsen]]+anleihenkäufe[[#This Row],[Gewinn aus Währungseffekten]])</f>
        <v/>
      </c>
      <c r="Z168" s="156" t="str">
        <f>IF(anleihenkäufe[[#This Row],[Verkauft am]]="","",anleihenkäufe[[#This Row],[Gewinn gesamt]]/anleihenkäufe[[#This Row],[Dirty Kaufpreis]])</f>
        <v/>
      </c>
    </row>
    <row r="169" spans="1:26" ht="14.25" x14ac:dyDescent="0.2">
      <c r="A169" s="9">
        <v>45385</v>
      </c>
      <c r="B169" s="1" t="s">
        <v>471</v>
      </c>
      <c r="C169" s="1" t="s">
        <v>10</v>
      </c>
      <c r="D169" s="4">
        <f t="shared" si="6"/>
        <v>839.96087671232874</v>
      </c>
      <c r="E169" s="4">
        <f t="shared" si="7"/>
        <v>825.6</v>
      </c>
      <c r="F169" s="1">
        <v>2</v>
      </c>
      <c r="G169" s="1">
        <v>1000</v>
      </c>
      <c r="H169" s="7">
        <v>0.4128</v>
      </c>
      <c r="I169" s="4">
        <f t="shared" si="8"/>
        <v>14.360876712328768</v>
      </c>
      <c r="J169" s="7">
        <v>7.9420000000000004E-2</v>
      </c>
      <c r="K169" s="58">
        <v>1</v>
      </c>
      <c r="L169" s="1" t="s">
        <v>925</v>
      </c>
      <c r="M169" s="1">
        <v>4</v>
      </c>
      <c r="N169" s="9">
        <v>45352</v>
      </c>
      <c r="O169" s="1" t="s">
        <v>170</v>
      </c>
      <c r="P169" s="1" t="s">
        <v>91</v>
      </c>
      <c r="Q169" s="1" t="s">
        <v>472</v>
      </c>
      <c r="R169" s="1" t="s">
        <v>473</v>
      </c>
      <c r="S169" s="1" t="b">
        <v>1</v>
      </c>
      <c r="T169" s="9"/>
      <c r="U169" s="4"/>
      <c r="V169" s="4"/>
      <c r="W169" s="4"/>
      <c r="X169" s="4"/>
      <c r="Y169" s="4" t="str">
        <f>IF(anleihenkäufe[[#This Row],[Verkauft am]]="","",anleihenkäufe[[#This Row],[Gewinn aus Kursänderung]]+anleihenkäufe[[#This Row],[Gewinn aus Zinsen]]+anleihenkäufe[[#This Row],[Gewinn aus Währungseffekten]])</f>
        <v/>
      </c>
      <c r="Z169" s="156" t="str">
        <f>IF(anleihenkäufe[[#This Row],[Verkauft am]]="","",anleihenkäufe[[#This Row],[Gewinn gesamt]]/anleihenkäufe[[#This Row],[Dirty Kaufpreis]])</f>
        <v/>
      </c>
    </row>
    <row r="170" spans="1:26" ht="14.25" x14ac:dyDescent="0.2">
      <c r="A170" s="9">
        <v>45385</v>
      </c>
      <c r="B170" s="1" t="s">
        <v>60</v>
      </c>
      <c r="C170" s="1" t="s">
        <v>8</v>
      </c>
      <c r="D170" s="4">
        <f t="shared" si="6"/>
        <v>2015.7260273972602</v>
      </c>
      <c r="E170" s="4">
        <f t="shared" si="7"/>
        <v>1900</v>
      </c>
      <c r="F170" s="1">
        <v>2</v>
      </c>
      <c r="G170" s="1">
        <v>1000</v>
      </c>
      <c r="H170" s="7">
        <v>0.95</v>
      </c>
      <c r="I170" s="4">
        <f t="shared" si="8"/>
        <v>115.72602739726027</v>
      </c>
      <c r="J170" s="7">
        <v>0.08</v>
      </c>
      <c r="K170" s="58">
        <v>1</v>
      </c>
      <c r="L170" s="1" t="s">
        <v>925</v>
      </c>
      <c r="M170" s="1">
        <v>1</v>
      </c>
      <c r="N170" s="9">
        <v>45121</v>
      </c>
      <c r="O170" s="1" t="s">
        <v>56</v>
      </c>
      <c r="P170" s="1" t="s">
        <v>39</v>
      </c>
      <c r="Q170" s="1" t="s">
        <v>439</v>
      </c>
      <c r="R170" s="1" t="s">
        <v>440</v>
      </c>
      <c r="S170" s="1" t="b">
        <v>0</v>
      </c>
      <c r="T170" s="9">
        <v>45412</v>
      </c>
      <c r="U170" s="4">
        <v>2028</v>
      </c>
      <c r="V170" s="4">
        <v>0</v>
      </c>
      <c r="W170" s="4">
        <v>12.274000000000001</v>
      </c>
      <c r="X170" s="4">
        <v>-1.1368683772161603E-13</v>
      </c>
      <c r="Y170" s="4">
        <f>IF(anleihenkäufe[[#This Row],[Verkauft am]]="","",anleihenkäufe[[#This Row],[Gewinn aus Kursänderung]]+anleihenkäufe[[#This Row],[Gewinn aus Zinsen]]+anleihenkäufe[[#This Row],[Gewinn aus Währungseffekten]])</f>
        <v>12.273999999999887</v>
      </c>
      <c r="Z170" s="156">
        <f>IF(anleihenkäufe[[#This Row],[Verkauft am]]="","",anleihenkäufe[[#This Row],[Gewinn gesamt]]/anleihenkäufe[[#This Row],[Dirty Kaufpreis]])</f>
        <v>6.0891211569303822E-3</v>
      </c>
    </row>
    <row r="171" spans="1:26" ht="14.25" x14ac:dyDescent="0.2">
      <c r="A171" s="9">
        <v>45385</v>
      </c>
      <c r="B171" s="1" t="s">
        <v>465</v>
      </c>
      <c r="C171" s="1" t="s">
        <v>10</v>
      </c>
      <c r="D171" s="4">
        <f t="shared" si="6"/>
        <v>1432.5287671232875</v>
      </c>
      <c r="E171" s="4">
        <f t="shared" si="7"/>
        <v>1424.1999999999998</v>
      </c>
      <c r="F171" s="1">
        <v>2</v>
      </c>
      <c r="G171" s="1">
        <v>1000</v>
      </c>
      <c r="H171" s="7">
        <v>0.71209999999999996</v>
      </c>
      <c r="I171" s="4">
        <f t="shared" si="8"/>
        <v>8.3287671232876708</v>
      </c>
      <c r="J171" s="7">
        <v>0.08</v>
      </c>
      <c r="K171" s="58">
        <v>1</v>
      </c>
      <c r="L171" s="1" t="s">
        <v>925</v>
      </c>
      <c r="M171" s="1">
        <v>2</v>
      </c>
      <c r="N171" s="9">
        <v>45366</v>
      </c>
      <c r="O171" s="1" t="s">
        <v>102</v>
      </c>
      <c r="P171" s="1" t="s">
        <v>52</v>
      </c>
      <c r="Q171" s="1" t="s">
        <v>466</v>
      </c>
      <c r="R171" s="1" t="s">
        <v>467</v>
      </c>
      <c r="S171" s="1" t="b">
        <v>1</v>
      </c>
      <c r="T171" s="9"/>
      <c r="U171" s="4"/>
      <c r="V171" s="4"/>
      <c r="W171" s="4"/>
      <c r="X171" s="4"/>
      <c r="Y171" s="4" t="str">
        <f>IF(anleihenkäufe[[#This Row],[Verkauft am]]="","",anleihenkäufe[[#This Row],[Gewinn aus Kursänderung]]+anleihenkäufe[[#This Row],[Gewinn aus Zinsen]]+anleihenkäufe[[#This Row],[Gewinn aus Währungseffekten]])</f>
        <v/>
      </c>
      <c r="Z171" s="156" t="str">
        <f>IF(anleihenkäufe[[#This Row],[Verkauft am]]="","",anleihenkäufe[[#This Row],[Gewinn gesamt]]/anleihenkäufe[[#This Row],[Dirty Kaufpreis]])</f>
        <v/>
      </c>
    </row>
    <row r="172" spans="1:26" ht="14.25" x14ac:dyDescent="0.2">
      <c r="A172" s="9">
        <v>45385</v>
      </c>
      <c r="B172" s="1" t="s">
        <v>450</v>
      </c>
      <c r="C172" s="1" t="s">
        <v>0</v>
      </c>
      <c r="D172" s="4">
        <f t="shared" si="6"/>
        <v>2074.1369863013697</v>
      </c>
      <c r="E172" s="4">
        <f t="shared" si="7"/>
        <v>2036</v>
      </c>
      <c r="F172" s="1">
        <v>2</v>
      </c>
      <c r="G172" s="1">
        <v>1000</v>
      </c>
      <c r="H172" s="7">
        <v>1.018</v>
      </c>
      <c r="I172" s="4">
        <f t="shared" si="8"/>
        <v>38.136986301369866</v>
      </c>
      <c r="J172" s="7">
        <v>0.08</v>
      </c>
      <c r="K172" s="58">
        <v>1</v>
      </c>
      <c r="L172" s="1" t="s">
        <v>925</v>
      </c>
      <c r="M172" s="1">
        <v>4</v>
      </c>
      <c r="N172" s="9">
        <v>45298</v>
      </c>
      <c r="O172" s="1" t="s">
        <v>35</v>
      </c>
      <c r="P172" s="1" t="s">
        <v>81</v>
      </c>
      <c r="Q172" s="1" t="s">
        <v>451</v>
      </c>
      <c r="R172" s="1" t="s">
        <v>452</v>
      </c>
      <c r="S172" s="1" t="b">
        <v>1</v>
      </c>
      <c r="T172" s="9"/>
      <c r="U172" s="4"/>
      <c r="V172" s="4"/>
      <c r="W172" s="4"/>
      <c r="X172" s="4"/>
      <c r="Y172" s="4" t="str">
        <f>IF(anleihenkäufe[[#This Row],[Verkauft am]]="","",anleihenkäufe[[#This Row],[Gewinn aus Kursänderung]]+anleihenkäufe[[#This Row],[Gewinn aus Zinsen]]+anleihenkäufe[[#This Row],[Gewinn aus Währungseffekten]])</f>
        <v/>
      </c>
      <c r="Z172" s="156" t="str">
        <f>IF(anleihenkäufe[[#This Row],[Verkauft am]]="","",anleihenkäufe[[#This Row],[Gewinn gesamt]]/anleihenkäufe[[#This Row],[Dirty Kaufpreis]])</f>
        <v/>
      </c>
    </row>
    <row r="173" spans="1:26" ht="14.25" x14ac:dyDescent="0.2">
      <c r="A173" s="9">
        <v>45385</v>
      </c>
      <c r="B173" s="1" t="s">
        <v>459</v>
      </c>
      <c r="C173" s="1" t="s">
        <v>10</v>
      </c>
      <c r="D173" s="4">
        <f t="shared" si="6"/>
        <v>2098.6438356164385</v>
      </c>
      <c r="E173" s="4">
        <f t="shared" si="7"/>
        <v>2057</v>
      </c>
      <c r="F173" s="1">
        <v>2</v>
      </c>
      <c r="G173" s="1">
        <v>1000</v>
      </c>
      <c r="H173" s="7">
        <v>1.0285</v>
      </c>
      <c r="I173" s="4">
        <f t="shared" si="8"/>
        <v>41.643835616438359</v>
      </c>
      <c r="J173" s="7">
        <v>0.08</v>
      </c>
      <c r="K173" s="58">
        <v>1</v>
      </c>
      <c r="L173" s="1" t="s">
        <v>925</v>
      </c>
      <c r="M173" s="1">
        <v>2</v>
      </c>
      <c r="N173" s="9">
        <v>45290</v>
      </c>
      <c r="O173" s="1" t="s">
        <v>56</v>
      </c>
      <c r="P173" s="1" t="s">
        <v>81</v>
      </c>
      <c r="Q173" s="1" t="s">
        <v>460</v>
      </c>
      <c r="R173" s="1" t="s">
        <v>461</v>
      </c>
      <c r="S173" s="1" t="b">
        <v>1</v>
      </c>
      <c r="T173" s="9"/>
      <c r="U173" s="4"/>
      <c r="V173" s="4"/>
      <c r="W173" s="4"/>
      <c r="X173" s="4"/>
      <c r="Y173" s="4" t="str">
        <f>IF(anleihenkäufe[[#This Row],[Verkauft am]]="","",anleihenkäufe[[#This Row],[Gewinn aus Kursänderung]]+anleihenkäufe[[#This Row],[Gewinn aus Zinsen]]+anleihenkäufe[[#This Row],[Gewinn aus Währungseffekten]])</f>
        <v/>
      </c>
      <c r="Z173" s="156" t="str">
        <f>IF(anleihenkäufe[[#This Row],[Verkauft am]]="","",anleihenkäufe[[#This Row],[Gewinn gesamt]]/anleihenkäufe[[#This Row],[Dirty Kaufpreis]])</f>
        <v/>
      </c>
    </row>
    <row r="174" spans="1:26" ht="14.25" x14ac:dyDescent="0.2">
      <c r="A174" s="9">
        <v>45385</v>
      </c>
      <c r="B174" s="1" t="s">
        <v>444</v>
      </c>
      <c r="C174" s="1" t="s">
        <v>0</v>
      </c>
      <c r="D174" s="4">
        <f t="shared" si="6"/>
        <v>2185.2328767123286</v>
      </c>
      <c r="E174" s="4">
        <f t="shared" si="7"/>
        <v>2130</v>
      </c>
      <c r="F174" s="1">
        <v>2</v>
      </c>
      <c r="G174" s="1">
        <v>1000</v>
      </c>
      <c r="H174" s="7">
        <v>1.0649999999999999</v>
      </c>
      <c r="I174" s="4">
        <f t="shared" si="8"/>
        <v>55.232876712328768</v>
      </c>
      <c r="J174" s="7">
        <v>0.08</v>
      </c>
      <c r="K174" s="58">
        <v>1</v>
      </c>
      <c r="L174" s="1" t="s">
        <v>925</v>
      </c>
      <c r="M174" s="1">
        <v>1</v>
      </c>
      <c r="N174" s="9">
        <v>45259</v>
      </c>
      <c r="O174" s="1" t="s">
        <v>56</v>
      </c>
      <c r="P174" s="1" t="s">
        <v>81</v>
      </c>
      <c r="Q174" s="1" t="s">
        <v>445</v>
      </c>
      <c r="R174" s="1" t="s">
        <v>446</v>
      </c>
      <c r="S174" s="1" t="b">
        <v>1</v>
      </c>
      <c r="T174" s="9"/>
      <c r="U174" s="4"/>
      <c r="V174" s="4"/>
      <c r="W174" s="4"/>
      <c r="X174" s="4"/>
      <c r="Y174" s="4" t="str">
        <f>IF(anleihenkäufe[[#This Row],[Verkauft am]]="","",anleihenkäufe[[#This Row],[Gewinn aus Kursänderung]]+anleihenkäufe[[#This Row],[Gewinn aus Zinsen]]+anleihenkäufe[[#This Row],[Gewinn aus Währungseffekten]])</f>
        <v/>
      </c>
      <c r="Z174" s="156" t="str">
        <f>IF(anleihenkäufe[[#This Row],[Verkauft am]]="","",anleihenkäufe[[#This Row],[Gewinn gesamt]]/anleihenkäufe[[#This Row],[Dirty Kaufpreis]])</f>
        <v/>
      </c>
    </row>
    <row r="175" spans="1:26" ht="14.25" x14ac:dyDescent="0.2">
      <c r="A175" s="9">
        <v>45385</v>
      </c>
      <c r="B175" s="1" t="s">
        <v>462</v>
      </c>
      <c r="C175" s="1" t="s">
        <v>8</v>
      </c>
      <c r="D175" s="4">
        <f t="shared" si="6"/>
        <v>700.96986301369861</v>
      </c>
      <c r="E175" s="4">
        <f t="shared" si="7"/>
        <v>639.6</v>
      </c>
      <c r="F175" s="1">
        <v>2</v>
      </c>
      <c r="G175" s="1">
        <v>1000</v>
      </c>
      <c r="H175" s="7">
        <v>0.31980000000000003</v>
      </c>
      <c r="I175" s="4">
        <f t="shared" si="8"/>
        <v>61.369863013698627</v>
      </c>
      <c r="J175" s="7">
        <v>0.08</v>
      </c>
      <c r="K175" s="58">
        <v>1</v>
      </c>
      <c r="L175" s="1" t="s">
        <v>925</v>
      </c>
      <c r="M175" s="1">
        <v>2</v>
      </c>
      <c r="N175" s="9">
        <v>45245</v>
      </c>
      <c r="O175" s="1" t="s">
        <v>35</v>
      </c>
      <c r="P175" s="1" t="s">
        <v>81</v>
      </c>
      <c r="Q175" s="1" t="s">
        <v>463</v>
      </c>
      <c r="R175" s="1" t="s">
        <v>464</v>
      </c>
      <c r="S175" s="1" t="b">
        <v>1</v>
      </c>
      <c r="T175" s="9"/>
      <c r="U175" s="4"/>
      <c r="V175" s="4"/>
      <c r="W175" s="4"/>
      <c r="X175" s="4"/>
      <c r="Y175" s="4" t="str">
        <f>IF(anleihenkäufe[[#This Row],[Verkauft am]]="","",anleihenkäufe[[#This Row],[Gewinn aus Kursänderung]]+anleihenkäufe[[#This Row],[Gewinn aus Zinsen]]+anleihenkäufe[[#This Row],[Gewinn aus Währungseffekten]])</f>
        <v/>
      </c>
      <c r="Z175" s="156" t="str">
        <f>IF(anleihenkäufe[[#This Row],[Verkauft am]]="","",anleihenkäufe[[#This Row],[Gewinn gesamt]]/anleihenkäufe[[#This Row],[Dirty Kaufpreis]])</f>
        <v/>
      </c>
    </row>
    <row r="176" spans="1:26" ht="14.25" x14ac:dyDescent="0.2">
      <c r="A176" s="9">
        <v>45385</v>
      </c>
      <c r="B176" s="1" t="s">
        <v>441</v>
      </c>
      <c r="C176" s="1" t="s">
        <v>7</v>
      </c>
      <c r="D176" s="4">
        <f t="shared" si="6"/>
        <v>1704.4383561643835</v>
      </c>
      <c r="E176" s="4">
        <f t="shared" si="7"/>
        <v>1640</v>
      </c>
      <c r="F176" s="1">
        <v>2</v>
      </c>
      <c r="G176" s="1">
        <v>1000</v>
      </c>
      <c r="H176" s="7">
        <v>0.82</v>
      </c>
      <c r="I176" s="4">
        <f t="shared" si="8"/>
        <v>64.438356164383563</v>
      </c>
      <c r="J176" s="7">
        <v>0.08</v>
      </c>
      <c r="K176" s="58">
        <v>1</v>
      </c>
      <c r="L176" s="1" t="s">
        <v>925</v>
      </c>
      <c r="M176" s="1">
        <v>1</v>
      </c>
      <c r="N176" s="9">
        <v>45238</v>
      </c>
      <c r="O176" s="1" t="s">
        <v>56</v>
      </c>
      <c r="P176" s="1" t="s">
        <v>39</v>
      </c>
      <c r="Q176" s="1" t="s">
        <v>442</v>
      </c>
      <c r="R176" s="1" t="s">
        <v>443</v>
      </c>
      <c r="S176" s="1" t="b">
        <v>1</v>
      </c>
      <c r="T176" s="9"/>
      <c r="U176" s="4"/>
      <c r="V176" s="4"/>
      <c r="W176" s="4"/>
      <c r="X176" s="4"/>
      <c r="Y176" s="4" t="str">
        <f>IF(anleihenkäufe[[#This Row],[Verkauft am]]="","",anleihenkäufe[[#This Row],[Gewinn aus Kursänderung]]+anleihenkäufe[[#This Row],[Gewinn aus Zinsen]]+anleihenkäufe[[#This Row],[Gewinn aus Währungseffekten]])</f>
        <v/>
      </c>
      <c r="Z176" s="156" t="str">
        <f>IF(anleihenkäufe[[#This Row],[Verkauft am]]="","",anleihenkäufe[[#This Row],[Gewinn gesamt]]/anleihenkäufe[[#This Row],[Dirty Kaufpreis]])</f>
        <v/>
      </c>
    </row>
    <row r="177" spans="1:26" ht="14.25" x14ac:dyDescent="0.2">
      <c r="A177" s="9">
        <v>45385</v>
      </c>
      <c r="B177" s="1" t="s">
        <v>453</v>
      </c>
      <c r="C177" s="1" t="s">
        <v>7</v>
      </c>
      <c r="D177" s="4">
        <f t="shared" si="6"/>
        <v>2081.8630136986303</v>
      </c>
      <c r="E177" s="4">
        <f t="shared" si="7"/>
        <v>1960</v>
      </c>
      <c r="F177" s="1">
        <v>2</v>
      </c>
      <c r="G177" s="1">
        <v>1000</v>
      </c>
      <c r="H177" s="7">
        <v>0.98</v>
      </c>
      <c r="I177" s="4">
        <f t="shared" si="8"/>
        <v>121.86301369863014</v>
      </c>
      <c r="J177" s="7">
        <v>0.08</v>
      </c>
      <c r="K177" s="58">
        <v>1</v>
      </c>
      <c r="L177" s="1" t="s">
        <v>925</v>
      </c>
      <c r="M177" s="1">
        <v>1</v>
      </c>
      <c r="N177" s="9">
        <v>45107</v>
      </c>
      <c r="O177" s="1" t="s">
        <v>43</v>
      </c>
      <c r="P177" s="1" t="s">
        <v>39</v>
      </c>
      <c r="Q177" s="1" t="s">
        <v>454</v>
      </c>
      <c r="R177" s="1" t="s">
        <v>455</v>
      </c>
      <c r="S177" s="1" t="b">
        <v>1</v>
      </c>
      <c r="T177" s="9"/>
      <c r="U177" s="4"/>
      <c r="V177" s="4"/>
      <c r="W177" s="4"/>
      <c r="X177" s="4"/>
      <c r="Y177" s="4" t="str">
        <f>IF(anleihenkäufe[[#This Row],[Verkauft am]]="","",anleihenkäufe[[#This Row],[Gewinn aus Kursänderung]]+anleihenkäufe[[#This Row],[Gewinn aus Zinsen]]+anleihenkäufe[[#This Row],[Gewinn aus Währungseffekten]])</f>
        <v/>
      </c>
      <c r="Z177" s="156" t="str">
        <f>IF(anleihenkäufe[[#This Row],[Verkauft am]]="","",anleihenkäufe[[#This Row],[Gewinn gesamt]]/anleihenkäufe[[#This Row],[Dirty Kaufpreis]])</f>
        <v/>
      </c>
    </row>
    <row r="178" spans="1:26" ht="14.25" x14ac:dyDescent="0.2">
      <c r="A178" s="9">
        <v>45385</v>
      </c>
      <c r="B178" s="1" t="s">
        <v>447</v>
      </c>
      <c r="C178" s="1" t="s">
        <v>0</v>
      </c>
      <c r="D178" s="4">
        <f t="shared" si="6"/>
        <v>2088.4383561643835</v>
      </c>
      <c r="E178" s="4">
        <f t="shared" si="7"/>
        <v>1960</v>
      </c>
      <c r="F178" s="1">
        <v>2</v>
      </c>
      <c r="G178" s="1">
        <v>1000</v>
      </c>
      <c r="H178" s="7">
        <v>0.98</v>
      </c>
      <c r="I178" s="4">
        <f t="shared" si="8"/>
        <v>128.43835616438355</v>
      </c>
      <c r="J178" s="7">
        <v>0.08</v>
      </c>
      <c r="K178" s="58">
        <v>1</v>
      </c>
      <c r="L178" s="1" t="s">
        <v>925</v>
      </c>
      <c r="M178" s="1">
        <v>1</v>
      </c>
      <c r="N178" s="9">
        <v>45092</v>
      </c>
      <c r="O178" s="1" t="s">
        <v>56</v>
      </c>
      <c r="P178" s="1" t="s">
        <v>57</v>
      </c>
      <c r="Q178" s="1" t="s">
        <v>448</v>
      </c>
      <c r="R178" s="1" t="s">
        <v>449</v>
      </c>
      <c r="S178" s="1" t="b">
        <v>1</v>
      </c>
      <c r="T178" s="9"/>
      <c r="U178" s="4"/>
      <c r="V178" s="4"/>
      <c r="W178" s="4"/>
      <c r="X178" s="4"/>
      <c r="Y178" s="4" t="str">
        <f>IF(anleihenkäufe[[#This Row],[Verkauft am]]="","",anleihenkäufe[[#This Row],[Gewinn aus Kursänderung]]+anleihenkäufe[[#This Row],[Gewinn aus Zinsen]]+anleihenkäufe[[#This Row],[Gewinn aus Währungseffekten]])</f>
        <v/>
      </c>
      <c r="Z178" s="156" t="str">
        <f>IF(anleihenkäufe[[#This Row],[Verkauft am]]="","",anleihenkäufe[[#This Row],[Gewinn gesamt]]/anleihenkäufe[[#This Row],[Dirty Kaufpreis]])</f>
        <v/>
      </c>
    </row>
    <row r="179" spans="1:26" ht="14.25" x14ac:dyDescent="0.2">
      <c r="A179" s="9">
        <v>45385</v>
      </c>
      <c r="B179" s="1" t="s">
        <v>456</v>
      </c>
      <c r="C179" s="1" t="s">
        <v>0</v>
      </c>
      <c r="D179" s="4">
        <f t="shared" si="6"/>
        <v>1531.0684931506848</v>
      </c>
      <c r="E179" s="4">
        <f t="shared" si="7"/>
        <v>1400</v>
      </c>
      <c r="F179" s="1">
        <v>2000</v>
      </c>
      <c r="G179" s="1">
        <v>1</v>
      </c>
      <c r="H179" s="7">
        <v>0.7</v>
      </c>
      <c r="I179" s="4">
        <f t="shared" si="8"/>
        <v>131.06849315068496</v>
      </c>
      <c r="J179" s="7">
        <v>0.08</v>
      </c>
      <c r="K179" s="58">
        <v>1</v>
      </c>
      <c r="L179" s="1" t="s">
        <v>925</v>
      </c>
      <c r="M179" s="1">
        <v>1</v>
      </c>
      <c r="N179" s="9">
        <v>45086</v>
      </c>
      <c r="O179" s="1" t="s">
        <v>65</v>
      </c>
      <c r="P179" s="1" t="s">
        <v>39</v>
      </c>
      <c r="Q179" s="1" t="s">
        <v>457</v>
      </c>
      <c r="R179" s="1" t="s">
        <v>458</v>
      </c>
      <c r="S179" s="1" t="b">
        <v>1</v>
      </c>
      <c r="T179" s="9"/>
      <c r="U179" s="4"/>
      <c r="V179" s="4"/>
      <c r="W179" s="4"/>
      <c r="X179" s="4"/>
      <c r="Y179" s="4" t="str">
        <f>IF(anleihenkäufe[[#This Row],[Verkauft am]]="","",anleihenkäufe[[#This Row],[Gewinn aus Kursänderung]]+anleihenkäufe[[#This Row],[Gewinn aus Zinsen]]+anleihenkäufe[[#This Row],[Gewinn aus Währungseffekten]])</f>
        <v/>
      </c>
      <c r="Z179" s="156" t="str">
        <f>IF(anleihenkäufe[[#This Row],[Verkauft am]]="","",anleihenkäufe[[#This Row],[Gewinn gesamt]]/anleihenkäufe[[#This Row],[Dirty Kaufpreis]])</f>
        <v/>
      </c>
    </row>
    <row r="180" spans="1:26" ht="14.25" x14ac:dyDescent="0.2">
      <c r="A180" s="9">
        <v>45385</v>
      </c>
      <c r="B180" s="1" t="s">
        <v>468</v>
      </c>
      <c r="C180" s="1" t="s">
        <v>0</v>
      </c>
      <c r="D180" s="4">
        <f t="shared" si="6"/>
        <v>2088.6027397260273</v>
      </c>
      <c r="E180" s="4">
        <f t="shared" si="7"/>
        <v>1940</v>
      </c>
      <c r="F180" s="1">
        <v>2</v>
      </c>
      <c r="G180" s="1">
        <v>1000</v>
      </c>
      <c r="H180" s="7">
        <v>0.97</v>
      </c>
      <c r="I180" s="4">
        <f t="shared" si="8"/>
        <v>148.60273972602741</v>
      </c>
      <c r="J180" s="7">
        <v>0.08</v>
      </c>
      <c r="K180" s="58">
        <v>1</v>
      </c>
      <c r="L180" s="1" t="s">
        <v>925</v>
      </c>
      <c r="M180" s="1">
        <v>1</v>
      </c>
      <c r="N180" s="9">
        <v>45046</v>
      </c>
      <c r="O180" s="1" t="s">
        <v>35</v>
      </c>
      <c r="P180" s="1" t="s">
        <v>61</v>
      </c>
      <c r="Q180" s="1" t="s">
        <v>469</v>
      </c>
      <c r="R180" s="1" t="s">
        <v>470</v>
      </c>
      <c r="S180" s="1" t="b">
        <v>1</v>
      </c>
      <c r="T180" s="9"/>
      <c r="U180" s="4"/>
      <c r="V180" s="4"/>
      <c r="W180" s="4"/>
      <c r="X180" s="4"/>
      <c r="Y180" s="4" t="str">
        <f>IF(anleihenkäufe[[#This Row],[Verkauft am]]="","",anleihenkäufe[[#This Row],[Gewinn aus Kursänderung]]+anleihenkäufe[[#This Row],[Gewinn aus Zinsen]]+anleihenkäufe[[#This Row],[Gewinn aus Währungseffekten]])</f>
        <v/>
      </c>
      <c r="Z180" s="156" t="str">
        <f>IF(anleihenkäufe[[#This Row],[Verkauft am]]="","",anleihenkäufe[[#This Row],[Gewinn gesamt]]/anleihenkäufe[[#This Row],[Dirty Kaufpreis]])</f>
        <v/>
      </c>
    </row>
    <row r="181" spans="1:26" ht="14.25" x14ac:dyDescent="0.2">
      <c r="A181" s="9">
        <v>45385</v>
      </c>
      <c r="B181" s="1" t="s">
        <v>435</v>
      </c>
      <c r="C181" s="1" t="s">
        <v>10</v>
      </c>
      <c r="D181" s="4">
        <f t="shared" si="6"/>
        <v>2020.4696986301367</v>
      </c>
      <c r="E181" s="4">
        <f t="shared" si="7"/>
        <v>1999.7999999999997</v>
      </c>
      <c r="F181" s="1">
        <v>2</v>
      </c>
      <c r="G181" s="1">
        <v>1000</v>
      </c>
      <c r="H181" s="7">
        <v>0.9998999999999999</v>
      </c>
      <c r="I181" s="4">
        <f t="shared" si="8"/>
        <v>20.669698630136981</v>
      </c>
      <c r="J181" s="7">
        <v>8.0259999999999998E-2</v>
      </c>
      <c r="K181" s="58">
        <v>1</v>
      </c>
      <c r="L181" s="1" t="s">
        <v>925</v>
      </c>
      <c r="M181" s="1">
        <v>4</v>
      </c>
      <c r="N181" s="9">
        <v>45338</v>
      </c>
      <c r="O181" s="1" t="s">
        <v>65</v>
      </c>
      <c r="P181" s="1" t="s">
        <v>39</v>
      </c>
      <c r="Q181" s="1" t="s">
        <v>436</v>
      </c>
      <c r="R181" s="1" t="s">
        <v>437</v>
      </c>
      <c r="S181" s="1" t="b">
        <v>1</v>
      </c>
      <c r="T181" s="9"/>
      <c r="U181" s="4"/>
      <c r="V181" s="4"/>
      <c r="W181" s="4"/>
      <c r="X181" s="4"/>
      <c r="Y181" s="4" t="str">
        <f>IF(anleihenkäufe[[#This Row],[Verkauft am]]="","",anleihenkäufe[[#This Row],[Gewinn aus Kursänderung]]+anleihenkäufe[[#This Row],[Gewinn aus Zinsen]]+anleihenkäufe[[#This Row],[Gewinn aus Währungseffekten]])</f>
        <v/>
      </c>
      <c r="Z181" s="156" t="str">
        <f>IF(anleihenkäufe[[#This Row],[Verkauft am]]="","",anleihenkäufe[[#This Row],[Gewinn gesamt]]/anleihenkäufe[[#This Row],[Dirty Kaufpreis]])</f>
        <v/>
      </c>
    </row>
    <row r="182" spans="1:26" ht="14.25" x14ac:dyDescent="0.2">
      <c r="A182" s="9">
        <v>45385</v>
      </c>
      <c r="B182" s="1" t="s">
        <v>432</v>
      </c>
      <c r="C182" s="1" t="s">
        <v>0</v>
      </c>
      <c r="D182" s="4">
        <f t="shared" si="6"/>
        <v>1951.7753424657535</v>
      </c>
      <c r="E182" s="4">
        <f t="shared" si="7"/>
        <v>1950</v>
      </c>
      <c r="F182" s="1">
        <v>20</v>
      </c>
      <c r="G182" s="1">
        <v>100</v>
      </c>
      <c r="H182" s="7">
        <v>0.97499999999999998</v>
      </c>
      <c r="I182" s="4">
        <f t="shared" si="8"/>
        <v>1.7753424657534245</v>
      </c>
      <c r="J182" s="7">
        <v>8.1000000000000003E-2</v>
      </c>
      <c r="K182" s="58">
        <v>1</v>
      </c>
      <c r="L182" s="1" t="s">
        <v>925</v>
      </c>
      <c r="M182" s="1">
        <v>4</v>
      </c>
      <c r="N182" s="9">
        <v>45381</v>
      </c>
      <c r="O182" s="1" t="s">
        <v>65</v>
      </c>
      <c r="P182" s="1" t="s">
        <v>39</v>
      </c>
      <c r="Q182" s="1" t="s">
        <v>433</v>
      </c>
      <c r="R182" s="1" t="s">
        <v>434</v>
      </c>
      <c r="S182" s="1" t="b">
        <v>1</v>
      </c>
      <c r="T182" s="9"/>
      <c r="U182" s="4"/>
      <c r="V182" s="4"/>
      <c r="W182" s="4"/>
      <c r="X182" s="4"/>
      <c r="Y182" s="4" t="str">
        <f>IF(anleihenkäufe[[#This Row],[Verkauft am]]="","",anleihenkäufe[[#This Row],[Gewinn aus Kursänderung]]+anleihenkäufe[[#This Row],[Gewinn aus Zinsen]]+anleihenkäufe[[#This Row],[Gewinn aus Währungseffekten]])</f>
        <v/>
      </c>
      <c r="Z182" s="156" t="str">
        <f>IF(anleihenkäufe[[#This Row],[Verkauft am]]="","",anleihenkäufe[[#This Row],[Gewinn gesamt]]/anleihenkäufe[[#This Row],[Dirty Kaufpreis]])</f>
        <v/>
      </c>
    </row>
    <row r="183" spans="1:26" ht="14.25" x14ac:dyDescent="0.2">
      <c r="A183" s="9">
        <v>45385</v>
      </c>
      <c r="B183" s="1" t="s">
        <v>429</v>
      </c>
      <c r="C183" s="1" t="s">
        <v>7</v>
      </c>
      <c r="D183" s="4">
        <f t="shared" si="6"/>
        <v>902.22164383561642</v>
      </c>
      <c r="E183" s="4">
        <f t="shared" si="7"/>
        <v>860</v>
      </c>
      <c r="F183" s="1">
        <v>2</v>
      </c>
      <c r="G183" s="1">
        <v>1000</v>
      </c>
      <c r="H183" s="7">
        <v>0.43</v>
      </c>
      <c r="I183" s="4">
        <f t="shared" si="8"/>
        <v>42.22164383561644</v>
      </c>
      <c r="J183" s="7">
        <v>8.1110000000000002E-2</v>
      </c>
      <c r="K183" s="58">
        <v>1</v>
      </c>
      <c r="L183" s="1" t="s">
        <v>925</v>
      </c>
      <c r="M183" s="1">
        <v>2</v>
      </c>
      <c r="N183" s="9">
        <v>45290</v>
      </c>
      <c r="O183" s="1" t="s">
        <v>56</v>
      </c>
      <c r="P183" s="1" t="s">
        <v>39</v>
      </c>
      <c r="Q183" s="1" t="s">
        <v>430</v>
      </c>
      <c r="R183" s="1" t="s">
        <v>431</v>
      </c>
      <c r="S183" s="1" t="b">
        <v>1</v>
      </c>
      <c r="T183" s="9"/>
      <c r="U183" s="4"/>
      <c r="V183" s="4"/>
      <c r="W183" s="4"/>
      <c r="X183" s="4"/>
      <c r="Y183" s="4" t="str">
        <f>IF(anleihenkäufe[[#This Row],[Verkauft am]]="","",anleihenkäufe[[#This Row],[Gewinn aus Kursänderung]]+anleihenkäufe[[#This Row],[Gewinn aus Zinsen]]+anleihenkäufe[[#This Row],[Gewinn aus Währungseffekten]])</f>
        <v/>
      </c>
      <c r="Z183" s="156" t="str">
        <f>IF(anleihenkäufe[[#This Row],[Verkauft am]]="","",anleihenkäufe[[#This Row],[Gewinn gesamt]]/anleihenkäufe[[#This Row],[Dirty Kaufpreis]])</f>
        <v/>
      </c>
    </row>
    <row r="184" spans="1:26" ht="14.25" x14ac:dyDescent="0.2">
      <c r="A184" s="9">
        <v>45385</v>
      </c>
      <c r="B184" s="1" t="s">
        <v>426</v>
      </c>
      <c r="C184" s="1" t="s">
        <v>8</v>
      </c>
      <c r="D184" s="4">
        <f t="shared" si="6"/>
        <v>2741.1835616438357</v>
      </c>
      <c r="E184" s="4">
        <f t="shared" si="7"/>
        <v>2711.8</v>
      </c>
      <c r="F184" s="1">
        <v>2</v>
      </c>
      <c r="G184" s="1">
        <v>1000</v>
      </c>
      <c r="H184" s="7">
        <v>1.3559000000000001</v>
      </c>
      <c r="I184" s="4">
        <f t="shared" si="8"/>
        <v>29.383561643835616</v>
      </c>
      <c r="J184" s="7">
        <v>8.1250000000000003E-2</v>
      </c>
      <c r="K184" s="58">
        <v>1</v>
      </c>
      <c r="L184" s="1" t="s">
        <v>925</v>
      </c>
      <c r="M184" s="1">
        <v>1</v>
      </c>
      <c r="N184" s="9">
        <v>45319</v>
      </c>
      <c r="O184" s="1" t="s">
        <v>102</v>
      </c>
      <c r="P184" s="1" t="s">
        <v>39</v>
      </c>
      <c r="Q184" s="1" t="s">
        <v>427</v>
      </c>
      <c r="R184" s="1" t="s">
        <v>428</v>
      </c>
      <c r="S184" s="1" t="b">
        <v>1</v>
      </c>
      <c r="T184" s="9"/>
      <c r="U184" s="4"/>
      <c r="V184" s="4"/>
      <c r="W184" s="4"/>
      <c r="X184" s="4"/>
      <c r="Y184" s="4" t="str">
        <f>IF(anleihenkäufe[[#This Row],[Verkauft am]]="","",anleihenkäufe[[#This Row],[Gewinn aus Kursänderung]]+anleihenkäufe[[#This Row],[Gewinn aus Zinsen]]+anleihenkäufe[[#This Row],[Gewinn aus Währungseffekten]])</f>
        <v/>
      </c>
      <c r="Z184" s="156" t="str">
        <f>IF(anleihenkäufe[[#This Row],[Verkauft am]]="","",anleihenkäufe[[#This Row],[Gewinn gesamt]]/anleihenkäufe[[#This Row],[Dirty Kaufpreis]])</f>
        <v/>
      </c>
    </row>
    <row r="185" spans="1:26" ht="14.25" x14ac:dyDescent="0.2">
      <c r="A185" s="9">
        <v>45385</v>
      </c>
      <c r="B185" s="1" t="s">
        <v>423</v>
      </c>
      <c r="C185" s="1" t="s">
        <v>8</v>
      </c>
      <c r="D185" s="4">
        <f t="shared" si="6"/>
        <v>2017.3935342465754</v>
      </c>
      <c r="E185" s="4">
        <f t="shared" si="7"/>
        <v>1996</v>
      </c>
      <c r="F185" s="1">
        <v>2</v>
      </c>
      <c r="G185" s="1">
        <v>1000</v>
      </c>
      <c r="H185" s="7">
        <v>0.998</v>
      </c>
      <c r="I185" s="4">
        <f t="shared" si="8"/>
        <v>21.393534246575342</v>
      </c>
      <c r="J185" s="7">
        <v>8.134000000000001E-2</v>
      </c>
      <c r="K185" s="58">
        <v>1</v>
      </c>
      <c r="L185" s="1" t="s">
        <v>925</v>
      </c>
      <c r="M185" s="1">
        <v>4</v>
      </c>
      <c r="N185" s="9">
        <v>45337</v>
      </c>
      <c r="O185" s="1" t="s">
        <v>51</v>
      </c>
      <c r="P185" s="1" t="s">
        <v>39</v>
      </c>
      <c r="Q185" s="1" t="s">
        <v>424</v>
      </c>
      <c r="R185" s="1" t="s">
        <v>425</v>
      </c>
      <c r="S185" s="1" t="b">
        <v>1</v>
      </c>
      <c r="T185" s="9"/>
      <c r="U185" s="4"/>
      <c r="V185" s="4"/>
      <c r="W185" s="4"/>
      <c r="X185" s="4"/>
      <c r="Y185" s="4" t="str">
        <f>IF(anleihenkäufe[[#This Row],[Verkauft am]]="","",anleihenkäufe[[#This Row],[Gewinn aus Kursänderung]]+anleihenkäufe[[#This Row],[Gewinn aus Zinsen]]+anleihenkäufe[[#This Row],[Gewinn aus Währungseffekten]])</f>
        <v/>
      </c>
      <c r="Z185" s="156" t="str">
        <f>IF(anleihenkäufe[[#This Row],[Verkauft am]]="","",anleihenkäufe[[#This Row],[Gewinn gesamt]]/anleihenkäufe[[#This Row],[Dirty Kaufpreis]])</f>
        <v/>
      </c>
    </row>
    <row r="186" spans="1:26" ht="14.25" x14ac:dyDescent="0.2">
      <c r="A186" s="9">
        <v>45385</v>
      </c>
      <c r="B186" s="1" t="s">
        <v>420</v>
      </c>
      <c r="C186" s="1" t="s">
        <v>1</v>
      </c>
      <c r="D186" s="4">
        <f t="shared" si="6"/>
        <v>2037.1635068493147</v>
      </c>
      <c r="E186" s="4">
        <f t="shared" si="7"/>
        <v>2002.5999999999997</v>
      </c>
      <c r="F186" s="1">
        <v>2</v>
      </c>
      <c r="G186" s="1">
        <v>1000</v>
      </c>
      <c r="H186" s="7">
        <v>1.0012999999999999</v>
      </c>
      <c r="I186" s="4">
        <f t="shared" si="8"/>
        <v>34.563506849315068</v>
      </c>
      <c r="J186" s="7">
        <v>8.1920000000000007E-2</v>
      </c>
      <c r="K186" s="58">
        <v>1</v>
      </c>
      <c r="L186" s="1" t="s">
        <v>925</v>
      </c>
      <c r="M186" s="1">
        <v>4</v>
      </c>
      <c r="N186" s="9">
        <v>45308</v>
      </c>
      <c r="O186" s="1" t="s">
        <v>170</v>
      </c>
      <c r="P186" s="1" t="s">
        <v>52</v>
      </c>
      <c r="Q186" s="1" t="s">
        <v>421</v>
      </c>
      <c r="R186" s="1" t="s">
        <v>422</v>
      </c>
      <c r="S186" s="1" t="b">
        <v>1</v>
      </c>
      <c r="T186" s="9"/>
      <c r="U186" s="4"/>
      <c r="V186" s="4"/>
      <c r="W186" s="4"/>
      <c r="X186" s="4"/>
      <c r="Y186" s="4" t="str">
        <f>IF(anleihenkäufe[[#This Row],[Verkauft am]]="","",anleihenkäufe[[#This Row],[Gewinn aus Kursänderung]]+anleihenkäufe[[#This Row],[Gewinn aus Zinsen]]+anleihenkäufe[[#This Row],[Gewinn aus Währungseffekten]])</f>
        <v/>
      </c>
      <c r="Z186" s="156" t="str">
        <f>IF(anleihenkäufe[[#This Row],[Verkauft am]]="","",anleihenkäufe[[#This Row],[Gewinn gesamt]]/anleihenkäufe[[#This Row],[Dirty Kaufpreis]])</f>
        <v/>
      </c>
    </row>
    <row r="187" spans="1:26" ht="14.25" x14ac:dyDescent="0.2">
      <c r="A187" s="9">
        <v>45385</v>
      </c>
      <c r="B187" s="1" t="s">
        <v>417</v>
      </c>
      <c r="C187" s="1" t="s">
        <v>0</v>
      </c>
      <c r="D187" s="4">
        <f t="shared" si="6"/>
        <v>2016.4612602739724</v>
      </c>
      <c r="E187" s="4">
        <f t="shared" si="7"/>
        <v>1980.9999999999998</v>
      </c>
      <c r="F187" s="1">
        <v>2</v>
      </c>
      <c r="G187" s="1">
        <v>1000</v>
      </c>
      <c r="H187" s="7">
        <v>0.99049999999999994</v>
      </c>
      <c r="I187" s="4">
        <f t="shared" si="8"/>
        <v>35.461260273972606</v>
      </c>
      <c r="J187" s="7">
        <v>8.1920000000000007E-2</v>
      </c>
      <c r="K187" s="58">
        <v>1</v>
      </c>
      <c r="L187" s="1" t="s">
        <v>925</v>
      </c>
      <c r="M187" s="1">
        <v>4</v>
      </c>
      <c r="N187" s="9">
        <v>45306</v>
      </c>
      <c r="O187" s="1" t="s">
        <v>276</v>
      </c>
      <c r="P187" s="1" t="s">
        <v>39</v>
      </c>
      <c r="Q187" s="1" t="s">
        <v>418</v>
      </c>
      <c r="R187" s="1" t="s">
        <v>419</v>
      </c>
      <c r="S187" s="1" t="b">
        <v>1</v>
      </c>
      <c r="T187" s="9"/>
      <c r="U187" s="4"/>
      <c r="V187" s="4"/>
      <c r="W187" s="4"/>
      <c r="X187" s="4"/>
      <c r="Y187" s="4" t="str">
        <f>IF(anleihenkäufe[[#This Row],[Verkauft am]]="","",anleihenkäufe[[#This Row],[Gewinn aus Kursänderung]]+anleihenkäufe[[#This Row],[Gewinn aus Zinsen]]+anleihenkäufe[[#This Row],[Gewinn aus Währungseffekten]])</f>
        <v/>
      </c>
      <c r="Z187" s="156" t="str">
        <f>IF(anleihenkäufe[[#This Row],[Verkauft am]]="","",anleihenkäufe[[#This Row],[Gewinn gesamt]]/anleihenkäufe[[#This Row],[Dirty Kaufpreis]])</f>
        <v/>
      </c>
    </row>
    <row r="188" spans="1:26" ht="14.25" x14ac:dyDescent="0.2">
      <c r="A188" s="9">
        <v>45385</v>
      </c>
      <c r="B188" s="1" t="s">
        <v>411</v>
      </c>
      <c r="C188" s="1" t="s">
        <v>9</v>
      </c>
      <c r="D188" s="4">
        <f t="shared" si="6"/>
        <v>2113.5013698630137</v>
      </c>
      <c r="E188" s="4">
        <f t="shared" si="7"/>
        <v>2036.2</v>
      </c>
      <c r="F188" s="1">
        <v>2</v>
      </c>
      <c r="G188" s="1">
        <v>1000</v>
      </c>
      <c r="H188" s="7">
        <v>1.0181</v>
      </c>
      <c r="I188" s="4">
        <f t="shared" si="8"/>
        <v>77.301369863013704</v>
      </c>
      <c r="J188" s="7">
        <v>8.2500000000000004E-2</v>
      </c>
      <c r="K188" s="58">
        <v>1</v>
      </c>
      <c r="L188" s="1" t="s">
        <v>925</v>
      </c>
      <c r="M188" s="1">
        <v>2</v>
      </c>
      <c r="N188" s="9">
        <v>45214</v>
      </c>
      <c r="O188" s="1" t="s">
        <v>56</v>
      </c>
      <c r="P188" s="1" t="s">
        <v>52</v>
      </c>
      <c r="Q188" s="1" t="s">
        <v>412</v>
      </c>
      <c r="R188" s="56" t="s">
        <v>413</v>
      </c>
      <c r="S188" s="1" t="b">
        <v>0</v>
      </c>
      <c r="T188" s="9">
        <v>45419</v>
      </c>
      <c r="U188" s="4">
        <v>2046.3972602739725</v>
      </c>
      <c r="V188" s="4">
        <v>-0.19999999999997797</v>
      </c>
      <c r="W188" s="4">
        <v>15.595860273972605</v>
      </c>
      <c r="X188" s="4">
        <v>-2.2382096176443156E-13</v>
      </c>
      <c r="Y188" s="4">
        <f>IF(anleihenkäufe[[#This Row],[Verkauft am]]="","",anleihenkäufe[[#This Row],[Gewinn aus Kursänderung]]+anleihenkäufe[[#This Row],[Gewinn aus Zinsen]]+anleihenkäufe[[#This Row],[Gewinn aus Währungseffekten]])</f>
        <v>15.395860273972403</v>
      </c>
      <c r="Z188" s="156">
        <f>IF(anleihenkäufe[[#This Row],[Verkauft am]]="","",anleihenkäufe[[#This Row],[Gewinn gesamt]]/anleihenkäufe[[#This Row],[Dirty Kaufpreis]])</f>
        <v>7.2845281737244786E-3</v>
      </c>
    </row>
    <row r="189" spans="1:26" ht="14.25" x14ac:dyDescent="0.2">
      <c r="A189" s="9">
        <v>45385</v>
      </c>
      <c r="B189" s="1" t="s">
        <v>414</v>
      </c>
      <c r="C189" s="1" t="s">
        <v>10</v>
      </c>
      <c r="D189" s="4">
        <f t="shared" si="6"/>
        <v>2114.3315068493152</v>
      </c>
      <c r="E189" s="4">
        <f t="shared" si="7"/>
        <v>2085.4</v>
      </c>
      <c r="F189" s="1">
        <v>2</v>
      </c>
      <c r="G189" s="1">
        <v>1000</v>
      </c>
      <c r="H189" s="7">
        <v>1.0427</v>
      </c>
      <c r="I189" s="4">
        <f t="shared" si="8"/>
        <v>28.931506849315067</v>
      </c>
      <c r="J189" s="7">
        <v>8.2500000000000004E-2</v>
      </c>
      <c r="K189" s="58">
        <v>1</v>
      </c>
      <c r="L189" s="1" t="s">
        <v>925</v>
      </c>
      <c r="M189" s="1">
        <v>2</v>
      </c>
      <c r="N189" s="9">
        <v>45321</v>
      </c>
      <c r="O189" s="1" t="s">
        <v>65</v>
      </c>
      <c r="P189" s="1" t="s">
        <v>61</v>
      </c>
      <c r="Q189" s="1" t="s">
        <v>415</v>
      </c>
      <c r="R189" s="1" t="s">
        <v>416</v>
      </c>
      <c r="S189" s="1" t="b">
        <v>1</v>
      </c>
      <c r="T189" s="9"/>
      <c r="U189" s="4"/>
      <c r="V189" s="4"/>
      <c r="W189" s="4"/>
      <c r="X189" s="4"/>
      <c r="Y189" s="4" t="str">
        <f>IF(anleihenkäufe[[#This Row],[Verkauft am]]="","",anleihenkäufe[[#This Row],[Gewinn aus Kursänderung]]+anleihenkäufe[[#This Row],[Gewinn aus Zinsen]]+anleihenkäufe[[#This Row],[Gewinn aus Währungseffekten]])</f>
        <v/>
      </c>
      <c r="Z189" s="156" t="str">
        <f>IF(anleihenkäufe[[#This Row],[Verkauft am]]="","",anleihenkäufe[[#This Row],[Gewinn gesamt]]/anleihenkäufe[[#This Row],[Dirty Kaufpreis]])</f>
        <v/>
      </c>
    </row>
    <row r="190" spans="1:26" ht="14.25" x14ac:dyDescent="0.2">
      <c r="A190" s="9">
        <v>45385</v>
      </c>
      <c r="B190" s="1" t="s">
        <v>408</v>
      </c>
      <c r="C190" s="1" t="s">
        <v>0</v>
      </c>
      <c r="D190" s="4">
        <f t="shared" si="6"/>
        <v>2131.1342465753428</v>
      </c>
      <c r="E190" s="4">
        <f t="shared" si="7"/>
        <v>2013.6000000000004</v>
      </c>
      <c r="F190" s="1">
        <v>2</v>
      </c>
      <c r="G190" s="1">
        <v>1000</v>
      </c>
      <c r="H190" s="7">
        <v>1.0068000000000001</v>
      </c>
      <c r="I190" s="4">
        <f t="shared" si="8"/>
        <v>117.53424657534246</v>
      </c>
      <c r="J190" s="7">
        <v>8.2500000000000004E-2</v>
      </c>
      <c r="K190" s="58">
        <v>1</v>
      </c>
      <c r="L190" s="1" t="s">
        <v>925</v>
      </c>
      <c r="M190" s="1">
        <v>1</v>
      </c>
      <c r="N190" s="9">
        <v>45125</v>
      </c>
      <c r="O190" s="1" t="s">
        <v>183</v>
      </c>
      <c r="P190" s="1" t="s">
        <v>61</v>
      </c>
      <c r="Q190" s="1" t="s">
        <v>409</v>
      </c>
      <c r="R190" s="1" t="s">
        <v>410</v>
      </c>
      <c r="S190" s="1" t="b">
        <v>1</v>
      </c>
      <c r="T190" s="9"/>
      <c r="U190" s="4"/>
      <c r="V190" s="4"/>
      <c r="W190" s="4"/>
      <c r="X190" s="4"/>
      <c r="Y190" s="4" t="str">
        <f>IF(anleihenkäufe[[#This Row],[Verkauft am]]="","",anleihenkäufe[[#This Row],[Gewinn aus Kursänderung]]+anleihenkäufe[[#This Row],[Gewinn aus Zinsen]]+anleihenkäufe[[#This Row],[Gewinn aus Währungseffekten]])</f>
        <v/>
      </c>
      <c r="Z190" s="156" t="str">
        <f>IF(anleihenkäufe[[#This Row],[Verkauft am]]="","",anleihenkäufe[[#This Row],[Gewinn gesamt]]/anleihenkäufe[[#This Row],[Dirty Kaufpreis]])</f>
        <v/>
      </c>
    </row>
    <row r="191" spans="1:26" ht="14.25" x14ac:dyDescent="0.2">
      <c r="A191" s="9">
        <v>45385</v>
      </c>
      <c r="B191" s="1" t="s">
        <v>402</v>
      </c>
      <c r="C191" s="1" t="s">
        <v>5</v>
      </c>
      <c r="D191" s="4">
        <f t="shared" si="6"/>
        <v>1955.9438356164385</v>
      </c>
      <c r="E191" s="4">
        <f t="shared" si="7"/>
        <v>1940.8000000000002</v>
      </c>
      <c r="F191" s="1">
        <v>2</v>
      </c>
      <c r="G191" s="1">
        <v>1000</v>
      </c>
      <c r="H191" s="7">
        <v>0.97040000000000004</v>
      </c>
      <c r="I191" s="4">
        <f t="shared" si="8"/>
        <v>15.143835616438356</v>
      </c>
      <c r="J191" s="7">
        <v>8.3750000000000005E-2</v>
      </c>
      <c r="K191" s="58">
        <v>1</v>
      </c>
      <c r="L191" s="1" t="s">
        <v>925</v>
      </c>
      <c r="M191" s="1">
        <v>2</v>
      </c>
      <c r="N191" s="9">
        <v>45352</v>
      </c>
      <c r="O191" s="1" t="s">
        <v>276</v>
      </c>
      <c r="P191" s="1" t="s">
        <v>52</v>
      </c>
      <c r="Q191" s="1" t="s">
        <v>403</v>
      </c>
      <c r="R191" s="1" t="s">
        <v>404</v>
      </c>
      <c r="S191" s="1" t="b">
        <v>1</v>
      </c>
      <c r="T191" s="9"/>
      <c r="U191" s="4"/>
      <c r="V191" s="4"/>
      <c r="W191" s="4"/>
      <c r="X191" s="4"/>
      <c r="Y191" s="4" t="str">
        <f>IF(anleihenkäufe[[#This Row],[Verkauft am]]="","",anleihenkäufe[[#This Row],[Gewinn aus Kursänderung]]+anleihenkäufe[[#This Row],[Gewinn aus Zinsen]]+anleihenkäufe[[#This Row],[Gewinn aus Währungseffekten]])</f>
        <v/>
      </c>
      <c r="Z191" s="156" t="str">
        <f>IF(anleihenkäufe[[#This Row],[Verkauft am]]="","",anleihenkäufe[[#This Row],[Gewinn gesamt]]/anleihenkäufe[[#This Row],[Dirty Kaufpreis]])</f>
        <v/>
      </c>
    </row>
    <row r="192" spans="1:26" ht="14.25" x14ac:dyDescent="0.2">
      <c r="A192" s="9">
        <v>45385</v>
      </c>
      <c r="B192" s="1" t="s">
        <v>405</v>
      </c>
      <c r="C192" s="1" t="s">
        <v>0</v>
      </c>
      <c r="D192" s="4">
        <f t="shared" si="6"/>
        <v>2173.9931506849316</v>
      </c>
      <c r="E192" s="4">
        <f t="shared" si="7"/>
        <v>2146</v>
      </c>
      <c r="F192" s="1">
        <v>2</v>
      </c>
      <c r="G192" s="1">
        <v>1000</v>
      </c>
      <c r="H192" s="7">
        <v>1.073</v>
      </c>
      <c r="I192" s="4">
        <f t="shared" si="8"/>
        <v>27.993150684931507</v>
      </c>
      <c r="J192" s="7">
        <v>8.3750000000000005E-2</v>
      </c>
      <c r="K192" s="58">
        <v>1</v>
      </c>
      <c r="L192" s="1" t="s">
        <v>925</v>
      </c>
      <c r="M192" s="1">
        <v>1</v>
      </c>
      <c r="N192" s="9">
        <v>45324</v>
      </c>
      <c r="O192" s="1" t="s">
        <v>65</v>
      </c>
      <c r="P192" s="1" t="s">
        <v>81</v>
      </c>
      <c r="Q192" s="1" t="s">
        <v>406</v>
      </c>
      <c r="R192" s="1" t="s">
        <v>407</v>
      </c>
      <c r="S192" s="1" t="b">
        <v>1</v>
      </c>
      <c r="T192" s="9"/>
      <c r="U192" s="4"/>
      <c r="V192" s="4"/>
      <c r="W192" s="4"/>
      <c r="X192" s="4"/>
      <c r="Y192" s="4" t="str">
        <f>IF(anleihenkäufe[[#This Row],[Verkauft am]]="","",anleihenkäufe[[#This Row],[Gewinn aus Kursänderung]]+anleihenkäufe[[#This Row],[Gewinn aus Zinsen]]+anleihenkäufe[[#This Row],[Gewinn aus Währungseffekten]])</f>
        <v/>
      </c>
      <c r="Z192" s="156" t="str">
        <f>IF(anleihenkäufe[[#This Row],[Verkauft am]]="","",anleihenkäufe[[#This Row],[Gewinn gesamt]]/anleihenkäufe[[#This Row],[Dirty Kaufpreis]])</f>
        <v/>
      </c>
    </row>
    <row r="193" spans="1:26" ht="14.25" x14ac:dyDescent="0.2">
      <c r="A193" s="9">
        <v>45385</v>
      </c>
      <c r="B193" s="1" t="s">
        <v>399</v>
      </c>
      <c r="C193" s="1" t="s">
        <v>0</v>
      </c>
      <c r="D193" s="4">
        <f t="shared" si="6"/>
        <v>2125.5945205479447</v>
      </c>
      <c r="E193" s="4">
        <f t="shared" si="7"/>
        <v>2089.7999999999997</v>
      </c>
      <c r="F193" s="1">
        <v>2</v>
      </c>
      <c r="G193" s="1">
        <v>1000</v>
      </c>
      <c r="H193" s="7">
        <v>1.0448999999999999</v>
      </c>
      <c r="I193" s="4">
        <f t="shared" si="8"/>
        <v>35.794520547945204</v>
      </c>
      <c r="J193" s="7">
        <v>8.3750000000000005E-2</v>
      </c>
      <c r="K193" s="58">
        <v>1</v>
      </c>
      <c r="L193" s="1" t="s">
        <v>925</v>
      </c>
      <c r="M193" s="1">
        <v>2</v>
      </c>
      <c r="N193" s="9">
        <v>45307</v>
      </c>
      <c r="O193" s="1" t="s">
        <v>170</v>
      </c>
      <c r="P193" s="1" t="s">
        <v>52</v>
      </c>
      <c r="Q193" s="1" t="s">
        <v>400</v>
      </c>
      <c r="R193" s="1" t="s">
        <v>401</v>
      </c>
      <c r="S193" s="1" t="b">
        <v>1</v>
      </c>
      <c r="T193" s="9"/>
      <c r="U193" s="4"/>
      <c r="V193" s="4"/>
      <c r="W193" s="4"/>
      <c r="X193" s="4"/>
      <c r="Y193" s="4" t="str">
        <f>IF(anleihenkäufe[[#This Row],[Verkauft am]]="","",anleihenkäufe[[#This Row],[Gewinn aus Kursänderung]]+anleihenkäufe[[#This Row],[Gewinn aus Zinsen]]+anleihenkäufe[[#This Row],[Gewinn aus Währungseffekten]])</f>
        <v/>
      </c>
      <c r="Z193" s="156" t="str">
        <f>IF(anleihenkäufe[[#This Row],[Verkauft am]]="","",anleihenkäufe[[#This Row],[Gewinn gesamt]]/anleihenkäufe[[#This Row],[Dirty Kaufpreis]])</f>
        <v/>
      </c>
    </row>
    <row r="194" spans="1:26" ht="14.25" x14ac:dyDescent="0.2">
      <c r="A194" s="9">
        <v>45385</v>
      </c>
      <c r="B194" s="1" t="s">
        <v>396</v>
      </c>
      <c r="C194" s="1" t="s">
        <v>10</v>
      </c>
      <c r="D194" s="4">
        <f t="shared" ref="D194:D257" si="9">E194+I194</f>
        <v>1967.4395616438355</v>
      </c>
      <c r="E194" s="4">
        <f t="shared" ref="E194:E257" si="10">G194*H194*F194/K194</f>
        <v>1965.6</v>
      </c>
      <c r="F194" s="1">
        <v>2</v>
      </c>
      <c r="G194" s="1">
        <v>1000</v>
      </c>
      <c r="H194" s="7">
        <v>0.98280000000000001</v>
      </c>
      <c r="I194" s="4">
        <f t="shared" ref="I194:I257" si="11">G194*J194*(A194-N194)/365*F194/K194</f>
        <v>1.8395616438356166</v>
      </c>
      <c r="J194" s="7">
        <v>8.3930000000000005E-2</v>
      </c>
      <c r="K194" s="58">
        <v>1</v>
      </c>
      <c r="L194" s="1" t="s">
        <v>925</v>
      </c>
      <c r="M194" s="1">
        <v>4</v>
      </c>
      <c r="N194" s="9">
        <v>45381</v>
      </c>
      <c r="O194" s="1" t="s">
        <v>170</v>
      </c>
      <c r="P194" s="1" t="s">
        <v>44</v>
      </c>
      <c r="Q194" s="1" t="s">
        <v>397</v>
      </c>
      <c r="R194" s="1" t="s">
        <v>398</v>
      </c>
      <c r="S194" s="1" t="b">
        <v>1</v>
      </c>
      <c r="T194" s="9"/>
      <c r="U194" s="4"/>
      <c r="V194" s="4"/>
      <c r="W194" s="4"/>
      <c r="X194" s="4"/>
      <c r="Y194" s="4" t="str">
        <f>IF(anleihenkäufe[[#This Row],[Verkauft am]]="","",anleihenkäufe[[#This Row],[Gewinn aus Kursänderung]]+anleihenkäufe[[#This Row],[Gewinn aus Zinsen]]+anleihenkäufe[[#This Row],[Gewinn aus Währungseffekten]])</f>
        <v/>
      </c>
      <c r="Z194" s="156" t="str">
        <f>IF(anleihenkäufe[[#This Row],[Verkauft am]]="","",anleihenkäufe[[#This Row],[Gewinn gesamt]]/anleihenkäufe[[#This Row],[Dirty Kaufpreis]])</f>
        <v/>
      </c>
    </row>
    <row r="195" spans="1:26" ht="14.25" x14ac:dyDescent="0.2">
      <c r="A195" s="9">
        <v>45385</v>
      </c>
      <c r="B195" s="1" t="s">
        <v>393</v>
      </c>
      <c r="C195" s="1" t="s">
        <v>3</v>
      </c>
      <c r="D195" s="4">
        <f t="shared" si="9"/>
        <v>2021.6328767123287</v>
      </c>
      <c r="E195" s="4">
        <f t="shared" si="10"/>
        <v>2000</v>
      </c>
      <c r="F195" s="1">
        <v>2</v>
      </c>
      <c r="G195" s="1">
        <v>1000</v>
      </c>
      <c r="H195" s="7">
        <v>1</v>
      </c>
      <c r="I195" s="4">
        <f t="shared" si="11"/>
        <v>21.632876712328766</v>
      </c>
      <c r="J195" s="7">
        <v>8.4000000000000005E-2</v>
      </c>
      <c r="K195" s="58">
        <v>1</v>
      </c>
      <c r="L195" s="1" t="s">
        <v>925</v>
      </c>
      <c r="M195" s="1">
        <v>4</v>
      </c>
      <c r="N195" s="9">
        <v>45338</v>
      </c>
      <c r="O195" s="1" t="s">
        <v>65</v>
      </c>
      <c r="P195" s="1" t="s">
        <v>39</v>
      </c>
      <c r="Q195" s="1" t="s">
        <v>394</v>
      </c>
      <c r="R195" s="1" t="s">
        <v>395</v>
      </c>
      <c r="S195" s="1" t="b">
        <v>1</v>
      </c>
      <c r="T195" s="9"/>
      <c r="U195" s="4"/>
      <c r="V195" s="4"/>
      <c r="W195" s="4"/>
      <c r="X195" s="4"/>
      <c r="Y195" s="4" t="str">
        <f>IF(anleihenkäufe[[#This Row],[Verkauft am]]="","",anleihenkäufe[[#This Row],[Gewinn aus Kursänderung]]+anleihenkäufe[[#This Row],[Gewinn aus Zinsen]]+anleihenkäufe[[#This Row],[Gewinn aus Währungseffekten]])</f>
        <v/>
      </c>
      <c r="Z195" s="156" t="str">
        <f>IF(anleihenkäufe[[#This Row],[Verkauft am]]="","",anleihenkäufe[[#This Row],[Gewinn gesamt]]/anleihenkäufe[[#This Row],[Dirty Kaufpreis]])</f>
        <v/>
      </c>
    </row>
    <row r="196" spans="1:26" ht="14.25" x14ac:dyDescent="0.2">
      <c r="A196" s="9">
        <v>45385</v>
      </c>
      <c r="B196" s="1" t="s">
        <v>381</v>
      </c>
      <c r="C196" s="1" t="s">
        <v>1</v>
      </c>
      <c r="D196" s="4">
        <f t="shared" si="9"/>
        <v>2095.0438356164386</v>
      </c>
      <c r="E196" s="4">
        <f t="shared" si="10"/>
        <v>2015.4</v>
      </c>
      <c r="F196" s="1">
        <v>2000</v>
      </c>
      <c r="G196" s="1">
        <v>1</v>
      </c>
      <c r="H196" s="7">
        <v>1.0077</v>
      </c>
      <c r="I196" s="4">
        <f t="shared" si="11"/>
        <v>79.643835616438366</v>
      </c>
      <c r="J196" s="7">
        <v>8.5000000000000006E-2</v>
      </c>
      <c r="K196" s="58">
        <v>1</v>
      </c>
      <c r="L196" s="1" t="s">
        <v>925</v>
      </c>
      <c r="M196" s="1">
        <v>2</v>
      </c>
      <c r="N196" s="9">
        <v>45214</v>
      </c>
      <c r="O196" s="1" t="s">
        <v>102</v>
      </c>
      <c r="P196" s="1" t="s">
        <v>61</v>
      </c>
      <c r="Q196" s="1" t="s">
        <v>382</v>
      </c>
      <c r="R196" s="1" t="s">
        <v>383</v>
      </c>
      <c r="S196" s="1" t="b">
        <v>0</v>
      </c>
      <c r="T196" s="9">
        <v>45427</v>
      </c>
      <c r="U196" s="4">
        <v>2009.972602739726</v>
      </c>
      <c r="V196" s="4">
        <v>-19.400000000000084</v>
      </c>
      <c r="W196" s="4">
        <v>19.328802739726029</v>
      </c>
      <c r="X196" s="4">
        <v>1.0658141036401503E-13</v>
      </c>
      <c r="Y196" s="4">
        <f>IF(anleihenkäufe[[#This Row],[Verkauft am]]="","",anleihenkäufe[[#This Row],[Gewinn aus Kursänderung]]+anleihenkäufe[[#This Row],[Gewinn aus Zinsen]]+anleihenkäufe[[#This Row],[Gewinn aus Währungseffekten]])</f>
        <v>-7.1197260273947904E-2</v>
      </c>
      <c r="Z196" s="156">
        <f>IF(anleihenkäufe[[#This Row],[Verkauft am]]="","",anleihenkäufe[[#This Row],[Gewinn gesamt]]/anleihenkäufe[[#This Row],[Dirty Kaufpreis]])</f>
        <v>-3.398366137432111E-5</v>
      </c>
    </row>
    <row r="197" spans="1:26" ht="14.25" x14ac:dyDescent="0.2">
      <c r="A197" s="9">
        <v>45385</v>
      </c>
      <c r="B197" s="1" t="s">
        <v>390</v>
      </c>
      <c r="C197" s="1" t="s">
        <v>1</v>
      </c>
      <c r="D197" s="4">
        <f t="shared" si="9"/>
        <v>1373.1890410958904</v>
      </c>
      <c r="E197" s="4">
        <f t="shared" si="10"/>
        <v>1367.6</v>
      </c>
      <c r="F197" s="1">
        <v>2</v>
      </c>
      <c r="G197" s="1">
        <v>1000</v>
      </c>
      <c r="H197" s="7">
        <v>0.68379999999999996</v>
      </c>
      <c r="I197" s="4">
        <f t="shared" si="11"/>
        <v>5.5890410958904111</v>
      </c>
      <c r="J197" s="7">
        <v>8.5000000000000006E-2</v>
      </c>
      <c r="K197" s="58">
        <v>1</v>
      </c>
      <c r="L197" s="1" t="s">
        <v>925</v>
      </c>
      <c r="M197" s="1">
        <v>2</v>
      </c>
      <c r="N197" s="9">
        <v>45373</v>
      </c>
      <c r="O197" s="1" t="s">
        <v>102</v>
      </c>
      <c r="P197" s="1" t="s">
        <v>39</v>
      </c>
      <c r="Q197" s="1" t="s">
        <v>391</v>
      </c>
      <c r="R197" s="1" t="s">
        <v>392</v>
      </c>
      <c r="S197" s="1" t="b">
        <v>1</v>
      </c>
      <c r="T197" s="9"/>
      <c r="U197" s="4"/>
      <c r="V197" s="4"/>
      <c r="W197" s="4"/>
      <c r="X197" s="4"/>
      <c r="Y197" s="4" t="str">
        <f>IF(anleihenkäufe[[#This Row],[Verkauft am]]="","",anleihenkäufe[[#This Row],[Gewinn aus Kursänderung]]+anleihenkäufe[[#This Row],[Gewinn aus Zinsen]]+anleihenkäufe[[#This Row],[Gewinn aus Währungseffekten]])</f>
        <v/>
      </c>
      <c r="Z197" s="156" t="str">
        <f>IF(anleihenkäufe[[#This Row],[Verkauft am]]="","",anleihenkäufe[[#This Row],[Gewinn gesamt]]/anleihenkäufe[[#This Row],[Dirty Kaufpreis]])</f>
        <v/>
      </c>
    </row>
    <row r="198" spans="1:26" ht="14.25" x14ac:dyDescent="0.2">
      <c r="A198" s="9">
        <v>45385</v>
      </c>
      <c r="B198" s="1" t="s">
        <v>384</v>
      </c>
      <c r="C198" s="1" t="s">
        <v>10</v>
      </c>
      <c r="D198" s="4">
        <f t="shared" si="9"/>
        <v>2228.9945205479453</v>
      </c>
      <c r="E198" s="4">
        <f t="shared" si="10"/>
        <v>2192.2000000000003</v>
      </c>
      <c r="F198" s="1">
        <v>2</v>
      </c>
      <c r="G198" s="1">
        <v>1000</v>
      </c>
      <c r="H198" s="7">
        <v>1.0961000000000001</v>
      </c>
      <c r="I198" s="4">
        <f t="shared" si="11"/>
        <v>36.794520547945204</v>
      </c>
      <c r="J198" s="7">
        <v>8.5000000000000006E-2</v>
      </c>
      <c r="K198" s="58">
        <v>1</v>
      </c>
      <c r="L198" s="1" t="s">
        <v>925</v>
      </c>
      <c r="M198" s="1">
        <v>2</v>
      </c>
      <c r="N198" s="9">
        <v>45306</v>
      </c>
      <c r="O198" s="1" t="s">
        <v>35</v>
      </c>
      <c r="P198" s="1" t="s">
        <v>61</v>
      </c>
      <c r="Q198" s="1" t="s">
        <v>385</v>
      </c>
      <c r="R198" s="1" t="s">
        <v>386</v>
      </c>
      <c r="S198" s="1" t="b">
        <v>1</v>
      </c>
      <c r="T198" s="9"/>
      <c r="U198" s="4"/>
      <c r="V198" s="4"/>
      <c r="W198" s="4"/>
      <c r="X198" s="4"/>
      <c r="Y198" s="4" t="str">
        <f>IF(anleihenkäufe[[#This Row],[Verkauft am]]="","",anleihenkäufe[[#This Row],[Gewinn aus Kursänderung]]+anleihenkäufe[[#This Row],[Gewinn aus Zinsen]]+anleihenkäufe[[#This Row],[Gewinn aus Währungseffekten]])</f>
        <v/>
      </c>
      <c r="Z198" s="156" t="str">
        <f>IF(anleihenkäufe[[#This Row],[Verkauft am]]="","",anleihenkäufe[[#This Row],[Gewinn gesamt]]/anleihenkäufe[[#This Row],[Dirty Kaufpreis]])</f>
        <v/>
      </c>
    </row>
    <row r="199" spans="1:26" ht="14.25" x14ac:dyDescent="0.2">
      <c r="A199" s="9">
        <v>45385</v>
      </c>
      <c r="B199" s="1" t="s">
        <v>387</v>
      </c>
      <c r="C199" s="1" t="s">
        <v>2</v>
      </c>
      <c r="D199" s="4">
        <f t="shared" si="9"/>
        <v>2165.6054794520551</v>
      </c>
      <c r="E199" s="4">
        <f t="shared" si="10"/>
        <v>2100.4</v>
      </c>
      <c r="F199" s="1">
        <v>2</v>
      </c>
      <c r="G199" s="1">
        <v>1000</v>
      </c>
      <c r="H199" s="7">
        <v>1.0502</v>
      </c>
      <c r="I199" s="4">
        <f t="shared" si="11"/>
        <v>65.205479452054789</v>
      </c>
      <c r="J199" s="7">
        <v>8.5000000000000006E-2</v>
      </c>
      <c r="K199" s="58">
        <v>1</v>
      </c>
      <c r="L199" s="1" t="s">
        <v>925</v>
      </c>
      <c r="M199" s="1">
        <v>2</v>
      </c>
      <c r="N199" s="9">
        <v>45245</v>
      </c>
      <c r="O199" s="1" t="s">
        <v>65</v>
      </c>
      <c r="P199" s="1" t="s">
        <v>44</v>
      </c>
      <c r="Q199" s="1" t="s">
        <v>388</v>
      </c>
      <c r="R199" s="1" t="s">
        <v>389</v>
      </c>
      <c r="S199" s="1" t="b">
        <v>1</v>
      </c>
      <c r="T199" s="9"/>
      <c r="U199" s="4"/>
      <c r="V199" s="4"/>
      <c r="W199" s="4"/>
      <c r="X199" s="4"/>
      <c r="Y199" s="4" t="str">
        <f>IF(anleihenkäufe[[#This Row],[Verkauft am]]="","",anleihenkäufe[[#This Row],[Gewinn aus Kursänderung]]+anleihenkäufe[[#This Row],[Gewinn aus Zinsen]]+anleihenkäufe[[#This Row],[Gewinn aus Währungseffekten]])</f>
        <v/>
      </c>
      <c r="Z199" s="156" t="str">
        <f>IF(anleihenkäufe[[#This Row],[Verkauft am]]="","",anleihenkäufe[[#This Row],[Gewinn gesamt]]/anleihenkäufe[[#This Row],[Dirty Kaufpreis]])</f>
        <v/>
      </c>
    </row>
    <row r="200" spans="1:26" ht="14.25" x14ac:dyDescent="0.2">
      <c r="A200" s="9">
        <v>45385</v>
      </c>
      <c r="B200" s="1" t="s">
        <v>378</v>
      </c>
      <c r="C200" s="1" t="s">
        <v>7</v>
      </c>
      <c r="D200" s="4">
        <f t="shared" si="9"/>
        <v>1248.0027397260276</v>
      </c>
      <c r="E200" s="4">
        <f t="shared" si="10"/>
        <v>1181.4000000000001</v>
      </c>
      <c r="F200" s="1">
        <v>2</v>
      </c>
      <c r="G200" s="1">
        <v>1000</v>
      </c>
      <c r="H200" s="7">
        <v>0.5907</v>
      </c>
      <c r="I200" s="4">
        <f t="shared" si="11"/>
        <v>66.602739726027394</v>
      </c>
      <c r="J200" s="7">
        <v>8.5000000000000006E-2</v>
      </c>
      <c r="K200" s="58">
        <v>1</v>
      </c>
      <c r="L200" s="1" t="s">
        <v>925</v>
      </c>
      <c r="M200" s="1">
        <v>2</v>
      </c>
      <c r="N200" s="9">
        <v>45242</v>
      </c>
      <c r="O200" s="1" t="s">
        <v>51</v>
      </c>
      <c r="P200" s="1" t="s">
        <v>268</v>
      </c>
      <c r="Q200" s="1" t="s">
        <v>379</v>
      </c>
      <c r="R200" s="1" t="s">
        <v>380</v>
      </c>
      <c r="S200" s="1" t="b">
        <v>1</v>
      </c>
      <c r="T200" s="9"/>
      <c r="U200" s="4"/>
      <c r="V200" s="4"/>
      <c r="W200" s="4"/>
      <c r="X200" s="4"/>
      <c r="Y200" s="4" t="str">
        <f>IF(anleihenkäufe[[#This Row],[Verkauft am]]="","",anleihenkäufe[[#This Row],[Gewinn aus Kursänderung]]+anleihenkäufe[[#This Row],[Gewinn aus Zinsen]]+anleihenkäufe[[#This Row],[Gewinn aus Währungseffekten]])</f>
        <v/>
      </c>
      <c r="Z200" s="156" t="str">
        <f>IF(anleihenkäufe[[#This Row],[Verkauft am]]="","",anleihenkäufe[[#This Row],[Gewinn gesamt]]/anleihenkäufe[[#This Row],[Dirty Kaufpreis]])</f>
        <v/>
      </c>
    </row>
    <row r="201" spans="1:26" ht="14.25" x14ac:dyDescent="0.2">
      <c r="A201" s="9">
        <v>45385</v>
      </c>
      <c r="B201" s="1" t="s">
        <v>375</v>
      </c>
      <c r="C201" s="1" t="s">
        <v>0</v>
      </c>
      <c r="D201" s="4">
        <f t="shared" si="9"/>
        <v>1936.4245479452056</v>
      </c>
      <c r="E201" s="4">
        <f t="shared" si="10"/>
        <v>1914.0000000000002</v>
      </c>
      <c r="F201" s="1">
        <v>2</v>
      </c>
      <c r="G201" s="1">
        <v>1000</v>
      </c>
      <c r="H201" s="7">
        <v>0.95700000000000007</v>
      </c>
      <c r="I201" s="4">
        <f t="shared" si="11"/>
        <v>22.424547945205482</v>
      </c>
      <c r="J201" s="7">
        <v>8.5260000000000002E-2</v>
      </c>
      <c r="K201" s="58">
        <v>1</v>
      </c>
      <c r="L201" s="1" t="s">
        <v>925</v>
      </c>
      <c r="M201" s="1">
        <v>4</v>
      </c>
      <c r="N201" s="9">
        <v>45337</v>
      </c>
      <c r="O201" s="1" t="s">
        <v>65</v>
      </c>
      <c r="P201" s="1" t="s">
        <v>39</v>
      </c>
      <c r="Q201" s="1" t="s">
        <v>376</v>
      </c>
      <c r="R201" s="1" t="s">
        <v>377</v>
      </c>
      <c r="S201" s="1" t="b">
        <v>1</v>
      </c>
      <c r="T201" s="9"/>
      <c r="U201" s="4"/>
      <c r="V201" s="4"/>
      <c r="W201" s="4"/>
      <c r="X201" s="4"/>
      <c r="Y201" s="4" t="str">
        <f>IF(anleihenkäufe[[#This Row],[Verkauft am]]="","",anleihenkäufe[[#This Row],[Gewinn aus Kursänderung]]+anleihenkäufe[[#This Row],[Gewinn aus Zinsen]]+anleihenkäufe[[#This Row],[Gewinn aus Währungseffekten]])</f>
        <v/>
      </c>
      <c r="Z201" s="156" t="str">
        <f>IF(anleihenkäufe[[#This Row],[Verkauft am]]="","",anleihenkäufe[[#This Row],[Gewinn gesamt]]/anleihenkäufe[[#This Row],[Dirty Kaufpreis]])</f>
        <v/>
      </c>
    </row>
    <row r="202" spans="1:26" ht="14.25" x14ac:dyDescent="0.2">
      <c r="A202" s="9">
        <v>45385</v>
      </c>
      <c r="B202" s="1" t="s">
        <v>372</v>
      </c>
      <c r="C202" s="1" t="s">
        <v>0</v>
      </c>
      <c r="D202" s="4">
        <f t="shared" si="9"/>
        <v>2037.8585753424657</v>
      </c>
      <c r="E202" s="4">
        <f t="shared" si="10"/>
        <v>2000.8</v>
      </c>
      <c r="F202" s="1">
        <v>2</v>
      </c>
      <c r="G202" s="1">
        <v>1000</v>
      </c>
      <c r="H202" s="7">
        <v>1.0004</v>
      </c>
      <c r="I202" s="4">
        <f t="shared" si="11"/>
        <v>37.058575342465751</v>
      </c>
      <c r="J202" s="7">
        <v>8.5610000000000006E-2</v>
      </c>
      <c r="K202" s="58">
        <v>1</v>
      </c>
      <c r="L202" s="1" t="s">
        <v>925</v>
      </c>
      <c r="M202" s="1">
        <v>4</v>
      </c>
      <c r="N202" s="9">
        <v>45306</v>
      </c>
      <c r="O202" s="1" t="s">
        <v>35</v>
      </c>
      <c r="P202" s="1" t="s">
        <v>61</v>
      </c>
      <c r="Q202" s="1" t="s">
        <v>373</v>
      </c>
      <c r="R202" s="1" t="s">
        <v>374</v>
      </c>
      <c r="S202" s="1" t="b">
        <v>1</v>
      </c>
      <c r="T202" s="9"/>
      <c r="U202" s="4"/>
      <c r="V202" s="4"/>
      <c r="W202" s="4"/>
      <c r="X202" s="4"/>
      <c r="Y202" s="4" t="str">
        <f>IF(anleihenkäufe[[#This Row],[Verkauft am]]="","",anleihenkäufe[[#This Row],[Gewinn aus Kursänderung]]+anleihenkäufe[[#This Row],[Gewinn aus Zinsen]]+anleihenkäufe[[#This Row],[Gewinn aus Währungseffekten]])</f>
        <v/>
      </c>
      <c r="Z202" s="156" t="str">
        <f>IF(anleihenkäufe[[#This Row],[Verkauft am]]="","",anleihenkäufe[[#This Row],[Gewinn gesamt]]/anleihenkäufe[[#This Row],[Dirty Kaufpreis]])</f>
        <v/>
      </c>
    </row>
    <row r="203" spans="1:26" ht="14.25" x14ac:dyDescent="0.2">
      <c r="A203" s="9">
        <v>45385</v>
      </c>
      <c r="B203" s="1" t="s">
        <v>368</v>
      </c>
      <c r="C203" s="1" t="s">
        <v>0</v>
      </c>
      <c r="D203" s="4">
        <f t="shared" si="9"/>
        <v>2183.3246575342469</v>
      </c>
      <c r="E203" s="4">
        <f t="shared" si="10"/>
        <v>2104.4</v>
      </c>
      <c r="F203" s="1">
        <v>2</v>
      </c>
      <c r="G203" s="1">
        <v>1000</v>
      </c>
      <c r="H203" s="7">
        <v>1.0522</v>
      </c>
      <c r="I203" s="4">
        <f t="shared" si="11"/>
        <v>78.924657534246577</v>
      </c>
      <c r="J203" s="7">
        <v>8.6249999999999993E-2</v>
      </c>
      <c r="K203" s="58">
        <v>1</v>
      </c>
      <c r="L203" s="1" t="s">
        <v>925</v>
      </c>
      <c r="M203" s="1">
        <v>1</v>
      </c>
      <c r="N203" s="9">
        <v>45218</v>
      </c>
      <c r="O203" s="1" t="s">
        <v>369</v>
      </c>
      <c r="P203" s="1" t="s">
        <v>61</v>
      </c>
      <c r="Q203" s="1" t="s">
        <v>370</v>
      </c>
      <c r="R203" s="1" t="s">
        <v>371</v>
      </c>
      <c r="S203" s="1" t="b">
        <v>1</v>
      </c>
      <c r="T203" s="9"/>
      <c r="U203" s="4"/>
      <c r="V203" s="4"/>
      <c r="W203" s="4"/>
      <c r="X203" s="4"/>
      <c r="Y203" s="4" t="str">
        <f>IF(anleihenkäufe[[#This Row],[Verkauft am]]="","",anleihenkäufe[[#This Row],[Gewinn aus Kursänderung]]+anleihenkäufe[[#This Row],[Gewinn aus Zinsen]]+anleihenkäufe[[#This Row],[Gewinn aus Währungseffekten]])</f>
        <v/>
      </c>
      <c r="Z203" s="156" t="str">
        <f>IF(anleihenkäufe[[#This Row],[Verkauft am]]="","",anleihenkäufe[[#This Row],[Gewinn gesamt]]/anleihenkäufe[[#This Row],[Dirty Kaufpreis]])</f>
        <v/>
      </c>
    </row>
    <row r="204" spans="1:26" ht="14.25" x14ac:dyDescent="0.2">
      <c r="A204" s="9">
        <v>45385</v>
      </c>
      <c r="B204" s="1" t="s">
        <v>365</v>
      </c>
      <c r="C204" s="1" t="s">
        <v>9</v>
      </c>
      <c r="D204" s="4">
        <f t="shared" si="9"/>
        <v>2039.5761095890414</v>
      </c>
      <c r="E204" s="4">
        <f t="shared" si="10"/>
        <v>2010.2000000000003</v>
      </c>
      <c r="F204" s="1">
        <v>2</v>
      </c>
      <c r="G204" s="1">
        <v>1000</v>
      </c>
      <c r="H204" s="7">
        <v>1.0051000000000001</v>
      </c>
      <c r="I204" s="4">
        <f t="shared" si="11"/>
        <v>29.376109589041096</v>
      </c>
      <c r="J204" s="7">
        <v>8.6470000000000005E-2</v>
      </c>
      <c r="K204" s="58">
        <v>1</v>
      </c>
      <c r="L204" s="1" t="s">
        <v>925</v>
      </c>
      <c r="M204" s="1">
        <v>4</v>
      </c>
      <c r="N204" s="9">
        <v>45323</v>
      </c>
      <c r="O204" s="1" t="s">
        <v>102</v>
      </c>
      <c r="P204" s="1" t="s">
        <v>61</v>
      </c>
      <c r="Q204" s="1" t="s">
        <v>366</v>
      </c>
      <c r="R204" s="1" t="s">
        <v>367</v>
      </c>
      <c r="S204" s="1" t="b">
        <v>1</v>
      </c>
      <c r="T204" s="9"/>
      <c r="U204" s="4"/>
      <c r="V204" s="4"/>
      <c r="W204" s="4"/>
      <c r="X204" s="4"/>
      <c r="Y204" s="4" t="str">
        <f>IF(anleihenkäufe[[#This Row],[Verkauft am]]="","",anleihenkäufe[[#This Row],[Gewinn aus Kursänderung]]+anleihenkäufe[[#This Row],[Gewinn aus Zinsen]]+anleihenkäufe[[#This Row],[Gewinn aus Währungseffekten]])</f>
        <v/>
      </c>
      <c r="Z204" s="156" t="str">
        <f>IF(anleihenkäufe[[#This Row],[Verkauft am]]="","",anleihenkäufe[[#This Row],[Gewinn gesamt]]/anleihenkäufe[[#This Row],[Dirty Kaufpreis]])</f>
        <v/>
      </c>
    </row>
    <row r="205" spans="1:26" ht="14.25" x14ac:dyDescent="0.2">
      <c r="A205" s="9">
        <v>45385</v>
      </c>
      <c r="B205" s="1" t="s">
        <v>362</v>
      </c>
      <c r="C205" s="1" t="s">
        <v>6</v>
      </c>
      <c r="D205" s="4">
        <f t="shared" si="9"/>
        <v>2046.553315068493</v>
      </c>
      <c r="E205" s="4">
        <f t="shared" si="10"/>
        <v>2023.8</v>
      </c>
      <c r="F205" s="1">
        <v>2</v>
      </c>
      <c r="G205" s="1">
        <v>1000</v>
      </c>
      <c r="H205" s="7">
        <v>1.0119</v>
      </c>
      <c r="I205" s="4">
        <f t="shared" si="11"/>
        <v>22.753315068493155</v>
      </c>
      <c r="J205" s="7">
        <v>8.6510000000000004E-2</v>
      </c>
      <c r="K205" s="58">
        <v>1</v>
      </c>
      <c r="L205" s="1" t="s">
        <v>925</v>
      </c>
      <c r="M205" s="1">
        <v>4</v>
      </c>
      <c r="N205" s="9">
        <v>45337</v>
      </c>
      <c r="O205" s="1" t="s">
        <v>56</v>
      </c>
      <c r="P205" s="1" t="s">
        <v>61</v>
      </c>
      <c r="Q205" s="1" t="s">
        <v>363</v>
      </c>
      <c r="R205" s="1" t="s">
        <v>364</v>
      </c>
      <c r="S205" s="1" t="b">
        <v>1</v>
      </c>
      <c r="T205" s="9"/>
      <c r="U205" s="4"/>
      <c r="V205" s="4"/>
      <c r="W205" s="4"/>
      <c r="X205" s="4"/>
      <c r="Y205" s="4" t="str">
        <f>IF(anleihenkäufe[[#This Row],[Verkauft am]]="","",anleihenkäufe[[#This Row],[Gewinn aus Kursänderung]]+anleihenkäufe[[#This Row],[Gewinn aus Zinsen]]+anleihenkäufe[[#This Row],[Gewinn aus Währungseffekten]])</f>
        <v/>
      </c>
      <c r="Z205" s="156" t="str">
        <f>IF(anleihenkäufe[[#This Row],[Verkauft am]]="","",anleihenkäufe[[#This Row],[Gewinn gesamt]]/anleihenkäufe[[#This Row],[Dirty Kaufpreis]])</f>
        <v/>
      </c>
    </row>
    <row r="206" spans="1:26" ht="14.25" x14ac:dyDescent="0.2">
      <c r="A206" s="9">
        <v>45385</v>
      </c>
      <c r="B206" s="1" t="s">
        <v>359</v>
      </c>
      <c r="C206" s="1" t="s">
        <v>2</v>
      </c>
      <c r="D206" s="4">
        <f t="shared" si="9"/>
        <v>1933.830904109589</v>
      </c>
      <c r="E206" s="4">
        <f t="shared" si="10"/>
        <v>1897.2</v>
      </c>
      <c r="F206" s="1">
        <v>2</v>
      </c>
      <c r="G206" s="1">
        <v>1000</v>
      </c>
      <c r="H206" s="7">
        <v>0.9486</v>
      </c>
      <c r="I206" s="4">
        <f t="shared" si="11"/>
        <v>36.630904109589046</v>
      </c>
      <c r="J206" s="7">
        <v>8.6820000000000008E-2</v>
      </c>
      <c r="K206" s="58">
        <v>1</v>
      </c>
      <c r="L206" s="1" t="s">
        <v>925</v>
      </c>
      <c r="M206" s="1">
        <v>4</v>
      </c>
      <c r="N206" s="9">
        <v>45308</v>
      </c>
      <c r="O206" s="1" t="s">
        <v>35</v>
      </c>
      <c r="P206" s="1" t="s">
        <v>39</v>
      </c>
      <c r="Q206" s="1" t="s">
        <v>360</v>
      </c>
      <c r="R206" s="1" t="s">
        <v>361</v>
      </c>
      <c r="S206" s="1" t="b">
        <v>1</v>
      </c>
      <c r="T206" s="9"/>
      <c r="U206" s="4"/>
      <c r="V206" s="4"/>
      <c r="W206" s="4"/>
      <c r="X206" s="4"/>
      <c r="Y206" s="4" t="str">
        <f>IF(anleihenkäufe[[#This Row],[Verkauft am]]="","",anleihenkäufe[[#This Row],[Gewinn aus Kursänderung]]+anleihenkäufe[[#This Row],[Gewinn aus Zinsen]]+anleihenkäufe[[#This Row],[Gewinn aus Währungseffekten]])</f>
        <v/>
      </c>
      <c r="Z206" s="156" t="str">
        <f>IF(anleihenkäufe[[#This Row],[Verkauft am]]="","",anleihenkäufe[[#This Row],[Gewinn gesamt]]/anleihenkäufe[[#This Row],[Dirty Kaufpreis]])</f>
        <v/>
      </c>
    </row>
    <row r="207" spans="1:26" ht="14.25" x14ac:dyDescent="0.2">
      <c r="A207" s="9">
        <v>45385</v>
      </c>
      <c r="B207" s="1" t="s">
        <v>353</v>
      </c>
      <c r="C207" s="1" t="s">
        <v>8</v>
      </c>
      <c r="D207" s="4">
        <f t="shared" si="9"/>
        <v>2014.0471232876712</v>
      </c>
      <c r="E207" s="4">
        <f t="shared" si="10"/>
        <v>2005</v>
      </c>
      <c r="F207" s="1">
        <v>2</v>
      </c>
      <c r="G207" s="1">
        <v>1000</v>
      </c>
      <c r="H207" s="7">
        <v>1.0024999999999999</v>
      </c>
      <c r="I207" s="4">
        <f t="shared" si="11"/>
        <v>9.0471232876712318</v>
      </c>
      <c r="J207" s="7">
        <v>8.6899999999999991E-2</v>
      </c>
      <c r="K207" s="58">
        <v>1</v>
      </c>
      <c r="L207" s="1" t="s">
        <v>925</v>
      </c>
      <c r="M207" s="1">
        <v>4</v>
      </c>
      <c r="N207" s="9">
        <v>45366</v>
      </c>
      <c r="O207" s="1" t="s">
        <v>65</v>
      </c>
      <c r="P207" s="1" t="s">
        <v>52</v>
      </c>
      <c r="Q207" s="1" t="s">
        <v>354</v>
      </c>
      <c r="R207" s="1" t="s">
        <v>355</v>
      </c>
      <c r="S207" s="1" t="b">
        <v>1</v>
      </c>
      <c r="T207" s="9"/>
      <c r="U207" s="4"/>
      <c r="V207" s="4"/>
      <c r="W207" s="4"/>
      <c r="X207" s="4"/>
      <c r="Y207" s="4" t="str">
        <f>IF(anleihenkäufe[[#This Row],[Verkauft am]]="","",anleihenkäufe[[#This Row],[Gewinn aus Kursänderung]]+anleihenkäufe[[#This Row],[Gewinn aus Zinsen]]+anleihenkäufe[[#This Row],[Gewinn aus Währungseffekten]])</f>
        <v/>
      </c>
      <c r="Z207" s="156" t="str">
        <f>IF(anleihenkäufe[[#This Row],[Verkauft am]]="","",anleihenkäufe[[#This Row],[Gewinn gesamt]]/anleihenkäufe[[#This Row],[Dirty Kaufpreis]])</f>
        <v/>
      </c>
    </row>
    <row r="208" spans="1:26" ht="14.25" x14ac:dyDescent="0.2">
      <c r="A208" s="9">
        <v>45385</v>
      </c>
      <c r="B208" s="1" t="s">
        <v>356</v>
      </c>
      <c r="C208" s="1" t="s">
        <v>0</v>
      </c>
      <c r="D208" s="4">
        <f t="shared" si="9"/>
        <v>2026.0471232876712</v>
      </c>
      <c r="E208" s="4">
        <f t="shared" si="10"/>
        <v>2017</v>
      </c>
      <c r="F208" s="1">
        <v>2</v>
      </c>
      <c r="G208" s="1">
        <v>1000</v>
      </c>
      <c r="H208" s="7">
        <v>1.0085</v>
      </c>
      <c r="I208" s="4">
        <f t="shared" si="11"/>
        <v>9.0471232876712318</v>
      </c>
      <c r="J208" s="7">
        <v>8.6899999999999991E-2</v>
      </c>
      <c r="K208" s="58">
        <v>1</v>
      </c>
      <c r="L208" s="1" t="s">
        <v>925</v>
      </c>
      <c r="M208" s="1">
        <v>4</v>
      </c>
      <c r="N208" s="9">
        <v>45366</v>
      </c>
      <c r="O208" s="1" t="s">
        <v>51</v>
      </c>
      <c r="P208" s="1" t="s">
        <v>61</v>
      </c>
      <c r="Q208" s="1" t="s">
        <v>357</v>
      </c>
      <c r="R208" s="1" t="s">
        <v>358</v>
      </c>
      <c r="S208" s="1" t="b">
        <v>1</v>
      </c>
      <c r="T208" s="9"/>
      <c r="U208" s="4"/>
      <c r="V208" s="4"/>
      <c r="W208" s="4"/>
      <c r="X208" s="4"/>
      <c r="Y208" s="4" t="str">
        <f>IF(anleihenkäufe[[#This Row],[Verkauft am]]="","",anleihenkäufe[[#This Row],[Gewinn aus Kursänderung]]+anleihenkäufe[[#This Row],[Gewinn aus Zinsen]]+anleihenkäufe[[#This Row],[Gewinn aus Währungseffekten]])</f>
        <v/>
      </c>
      <c r="Z208" s="156" t="str">
        <f>IF(anleihenkäufe[[#This Row],[Verkauft am]]="","",anleihenkäufe[[#This Row],[Gewinn gesamt]]/anleihenkäufe[[#This Row],[Dirty Kaufpreis]])</f>
        <v/>
      </c>
    </row>
    <row r="209" spans="1:26" ht="14.25" x14ac:dyDescent="0.2">
      <c r="A209" s="9">
        <v>45385</v>
      </c>
      <c r="B209" s="1" t="s">
        <v>875</v>
      </c>
      <c r="C209" s="1" t="s">
        <v>1</v>
      </c>
      <c r="D209" s="4">
        <f t="shared" si="9"/>
        <v>2037.2256438356167</v>
      </c>
      <c r="E209" s="4">
        <f t="shared" si="10"/>
        <v>1999.6000000000001</v>
      </c>
      <c r="F209" s="1">
        <v>2</v>
      </c>
      <c r="G209" s="1">
        <v>1000</v>
      </c>
      <c r="H209" s="7">
        <v>0.99980000000000002</v>
      </c>
      <c r="I209" s="4">
        <f t="shared" si="11"/>
        <v>37.625643835616437</v>
      </c>
      <c r="J209" s="7">
        <v>8.6919999999999997E-2</v>
      </c>
      <c r="K209" s="58">
        <v>1</v>
      </c>
      <c r="L209" s="1" t="s">
        <v>925</v>
      </c>
      <c r="M209" s="1">
        <v>4</v>
      </c>
      <c r="N209" s="9">
        <v>45306</v>
      </c>
      <c r="O209" s="1" t="s">
        <v>56</v>
      </c>
      <c r="P209" s="1" t="s">
        <v>57</v>
      </c>
      <c r="Q209" s="1" t="s">
        <v>876</v>
      </c>
      <c r="R209" s="56" t="s">
        <v>877</v>
      </c>
      <c r="S209" s="1" t="b">
        <v>0</v>
      </c>
      <c r="T209" s="9">
        <v>45397</v>
      </c>
      <c r="U209" s="4">
        <v>2000.4762739726027</v>
      </c>
      <c r="V209" s="4">
        <v>0.39999999999995595</v>
      </c>
      <c r="W209" s="4">
        <v>6.3100000000000023</v>
      </c>
      <c r="X209" s="4">
        <v>0</v>
      </c>
      <c r="Y209" s="4">
        <f>IF(anleihenkäufe[[#This Row],[Verkauft am]]="","",anleihenkäufe[[#This Row],[Gewinn aus Kursänderung]]+anleihenkäufe[[#This Row],[Gewinn aus Zinsen]]+anleihenkäufe[[#This Row],[Gewinn aus Währungseffekten]])</f>
        <v>6.7099999999999582</v>
      </c>
      <c r="Z209" s="156">
        <f>IF(anleihenkäufe[[#This Row],[Verkauft am]]="","",anleihenkäufe[[#This Row],[Gewinn gesamt]]/anleihenkäufe[[#This Row],[Dirty Kaufpreis]])</f>
        <v>3.2936950407548406E-3</v>
      </c>
    </row>
    <row r="210" spans="1:26" ht="14.25" x14ac:dyDescent="0.2">
      <c r="A210" s="9">
        <v>45385</v>
      </c>
      <c r="B210" s="1" t="s">
        <v>350</v>
      </c>
      <c r="C210" s="1" t="s">
        <v>0</v>
      </c>
      <c r="D210" s="4">
        <f t="shared" si="9"/>
        <v>2048.6246575342466</v>
      </c>
      <c r="E210" s="4">
        <f t="shared" si="10"/>
        <v>2000</v>
      </c>
      <c r="F210" s="1">
        <v>2</v>
      </c>
      <c r="G210" s="1">
        <v>1000</v>
      </c>
      <c r="H210" s="7">
        <v>1</v>
      </c>
      <c r="I210" s="4">
        <f t="shared" si="11"/>
        <v>48.624657534246573</v>
      </c>
      <c r="J210" s="7">
        <v>8.6999999999999994E-2</v>
      </c>
      <c r="K210" s="58">
        <v>1</v>
      </c>
      <c r="L210" s="1" t="s">
        <v>925</v>
      </c>
      <c r="M210" s="1">
        <v>1</v>
      </c>
      <c r="N210" s="9">
        <v>45283</v>
      </c>
      <c r="O210" s="1" t="s">
        <v>35</v>
      </c>
      <c r="P210" s="1" t="s">
        <v>81</v>
      </c>
      <c r="Q210" s="1" t="s">
        <v>351</v>
      </c>
      <c r="R210" s="1" t="s">
        <v>352</v>
      </c>
      <c r="S210" s="1" t="b">
        <v>1</v>
      </c>
      <c r="T210" s="9"/>
      <c r="U210" s="4"/>
      <c r="V210" s="4"/>
      <c r="W210" s="4"/>
      <c r="X210" s="4"/>
      <c r="Y210" s="4" t="str">
        <f>IF(anleihenkäufe[[#This Row],[Verkauft am]]="","",anleihenkäufe[[#This Row],[Gewinn aus Kursänderung]]+anleihenkäufe[[#This Row],[Gewinn aus Zinsen]]+anleihenkäufe[[#This Row],[Gewinn aus Währungseffekten]])</f>
        <v/>
      </c>
      <c r="Z210" s="156" t="str">
        <f>IF(anleihenkäufe[[#This Row],[Verkauft am]]="","",anleihenkäufe[[#This Row],[Gewinn gesamt]]/anleihenkäufe[[#This Row],[Dirty Kaufpreis]])</f>
        <v/>
      </c>
    </row>
    <row r="211" spans="1:26" ht="14.25" x14ac:dyDescent="0.2">
      <c r="A211" s="9">
        <v>45385</v>
      </c>
      <c r="B211" s="1" t="s">
        <v>347</v>
      </c>
      <c r="C211" s="1" t="s">
        <v>1</v>
      </c>
      <c r="D211" s="4">
        <f t="shared" si="9"/>
        <v>2224.9232876712326</v>
      </c>
      <c r="E211" s="4">
        <f t="shared" si="10"/>
        <v>2157.7999999999997</v>
      </c>
      <c r="F211" s="1">
        <v>2000</v>
      </c>
      <c r="G211" s="1">
        <v>1</v>
      </c>
      <c r="H211" s="7">
        <v>1.0789</v>
      </c>
      <c r="I211" s="4">
        <f t="shared" si="11"/>
        <v>67.123287671232873</v>
      </c>
      <c r="J211" s="7">
        <v>8.7499999999999994E-2</v>
      </c>
      <c r="K211" s="58">
        <v>1</v>
      </c>
      <c r="L211" s="1" t="s">
        <v>925</v>
      </c>
      <c r="M211" s="1">
        <v>2</v>
      </c>
      <c r="N211" s="9">
        <v>45245</v>
      </c>
      <c r="O211" s="1" t="s">
        <v>56</v>
      </c>
      <c r="P211" s="1" t="s">
        <v>61</v>
      </c>
      <c r="Q211" s="1" t="s">
        <v>348</v>
      </c>
      <c r="R211" s="1" t="s">
        <v>349</v>
      </c>
      <c r="S211" s="1" t="b">
        <v>1</v>
      </c>
      <c r="T211" s="9"/>
      <c r="U211" s="4"/>
      <c r="V211" s="4"/>
      <c r="W211" s="4"/>
      <c r="X211" s="4"/>
      <c r="Y211" s="4" t="str">
        <f>IF(anleihenkäufe[[#This Row],[Verkauft am]]="","",anleihenkäufe[[#This Row],[Gewinn aus Kursänderung]]+anleihenkäufe[[#This Row],[Gewinn aus Zinsen]]+anleihenkäufe[[#This Row],[Gewinn aus Währungseffekten]])</f>
        <v/>
      </c>
      <c r="Z211" s="156" t="str">
        <f>IF(anleihenkäufe[[#This Row],[Verkauft am]]="","",anleihenkäufe[[#This Row],[Gewinn gesamt]]/anleihenkäufe[[#This Row],[Dirty Kaufpreis]])</f>
        <v/>
      </c>
    </row>
    <row r="212" spans="1:26" ht="14.25" x14ac:dyDescent="0.2">
      <c r="A212" s="9">
        <v>45385</v>
      </c>
      <c r="B212" s="1" t="s">
        <v>344</v>
      </c>
      <c r="C212" s="1" t="s">
        <v>10</v>
      </c>
      <c r="D212" s="4">
        <f t="shared" si="9"/>
        <v>1967.0820821917807</v>
      </c>
      <c r="E212" s="4">
        <f t="shared" si="10"/>
        <v>1944</v>
      </c>
      <c r="F212" s="1">
        <v>2</v>
      </c>
      <c r="G212" s="1">
        <v>1000</v>
      </c>
      <c r="H212" s="7">
        <v>0.97199999999999998</v>
      </c>
      <c r="I212" s="4">
        <f t="shared" si="11"/>
        <v>23.082082191780824</v>
      </c>
      <c r="J212" s="7">
        <v>8.7760000000000005E-2</v>
      </c>
      <c r="K212" s="58">
        <v>1</v>
      </c>
      <c r="L212" s="1" t="s">
        <v>925</v>
      </c>
      <c r="M212" s="1">
        <v>4</v>
      </c>
      <c r="N212" s="9">
        <v>45337</v>
      </c>
      <c r="O212" s="1" t="s">
        <v>170</v>
      </c>
      <c r="P212" s="1" t="s">
        <v>44</v>
      </c>
      <c r="Q212" s="1" t="s">
        <v>345</v>
      </c>
      <c r="R212" s="1" t="s">
        <v>346</v>
      </c>
      <c r="S212" s="1" t="b">
        <v>1</v>
      </c>
      <c r="T212" s="9"/>
      <c r="U212" s="4"/>
      <c r="V212" s="4"/>
      <c r="W212" s="4"/>
      <c r="X212" s="4"/>
      <c r="Y212" s="4" t="str">
        <f>IF(anleihenkäufe[[#This Row],[Verkauft am]]="","",anleihenkäufe[[#This Row],[Gewinn aus Kursänderung]]+anleihenkäufe[[#This Row],[Gewinn aus Zinsen]]+anleihenkäufe[[#This Row],[Gewinn aus Währungseffekten]])</f>
        <v/>
      </c>
      <c r="Z212" s="156" t="str">
        <f>IF(anleihenkäufe[[#This Row],[Verkauft am]]="","",anleihenkäufe[[#This Row],[Gewinn gesamt]]/anleihenkäufe[[#This Row],[Dirty Kaufpreis]])</f>
        <v/>
      </c>
    </row>
    <row r="213" spans="1:26" ht="14.25" x14ac:dyDescent="0.2">
      <c r="A213" s="9">
        <v>45385</v>
      </c>
      <c r="B213" s="1" t="s">
        <v>340</v>
      </c>
      <c r="C213" s="1" t="s">
        <v>0</v>
      </c>
      <c r="D213" s="4">
        <f t="shared" si="9"/>
        <v>1785.5726027397261</v>
      </c>
      <c r="E213" s="4">
        <f t="shared" si="10"/>
        <v>1784.6000000000001</v>
      </c>
      <c r="F213" s="1">
        <v>2</v>
      </c>
      <c r="G213" s="1">
        <v>1000</v>
      </c>
      <c r="H213" s="7">
        <v>0.89230000000000009</v>
      </c>
      <c r="I213" s="4">
        <f t="shared" si="11"/>
        <v>0.9726027397260274</v>
      </c>
      <c r="J213" s="7">
        <v>8.8749999999999996E-2</v>
      </c>
      <c r="K213" s="58">
        <v>1</v>
      </c>
      <c r="L213" s="1" t="s">
        <v>925</v>
      </c>
      <c r="M213" s="1">
        <v>2</v>
      </c>
      <c r="N213" s="9">
        <v>45383</v>
      </c>
      <c r="O213" s="1" t="s">
        <v>51</v>
      </c>
      <c r="P213" s="1" t="s">
        <v>341</v>
      </c>
      <c r="Q213" s="1" t="s">
        <v>342</v>
      </c>
      <c r="R213" s="1" t="s">
        <v>343</v>
      </c>
      <c r="S213" s="1" t="b">
        <v>1</v>
      </c>
      <c r="T213" s="9"/>
      <c r="U213" s="4"/>
      <c r="V213" s="4"/>
      <c r="W213" s="4"/>
      <c r="X213" s="4"/>
      <c r="Y213" s="4" t="str">
        <f>IF(anleihenkäufe[[#This Row],[Verkauft am]]="","",anleihenkäufe[[#This Row],[Gewinn aus Kursänderung]]+anleihenkäufe[[#This Row],[Gewinn aus Zinsen]]+anleihenkäufe[[#This Row],[Gewinn aus Währungseffekten]])</f>
        <v/>
      </c>
      <c r="Z213" s="156" t="str">
        <f>IF(anleihenkäufe[[#This Row],[Verkauft am]]="","",anleihenkäufe[[#This Row],[Gewinn gesamt]]/anleihenkäufe[[#This Row],[Dirty Kaufpreis]])</f>
        <v/>
      </c>
    </row>
    <row r="214" spans="1:26" ht="14.25" x14ac:dyDescent="0.2">
      <c r="A214" s="9">
        <v>45385</v>
      </c>
      <c r="B214" s="1" t="s">
        <v>336</v>
      </c>
      <c r="C214" s="1" t="s">
        <v>0</v>
      </c>
      <c r="D214" s="4">
        <f t="shared" si="9"/>
        <v>2281.7150684931503</v>
      </c>
      <c r="E214" s="4">
        <f t="shared" si="10"/>
        <v>2115.3999999999996</v>
      </c>
      <c r="F214" s="1">
        <v>2</v>
      </c>
      <c r="G214" s="1">
        <v>1000</v>
      </c>
      <c r="H214" s="7">
        <v>1.0576999999999999</v>
      </c>
      <c r="I214" s="4">
        <f t="shared" si="11"/>
        <v>166.31506849315068</v>
      </c>
      <c r="J214" s="7">
        <v>8.8749999999999996E-2</v>
      </c>
      <c r="K214" s="58">
        <v>1</v>
      </c>
      <c r="L214" s="1" t="s">
        <v>925</v>
      </c>
      <c r="M214" s="1">
        <v>1</v>
      </c>
      <c r="N214" s="9">
        <v>45043</v>
      </c>
      <c r="O214" s="1" t="s">
        <v>337</v>
      </c>
      <c r="P214" s="1" t="s">
        <v>61</v>
      </c>
      <c r="Q214" s="1" t="s">
        <v>338</v>
      </c>
      <c r="R214" s="1" t="s">
        <v>339</v>
      </c>
      <c r="S214" s="1" t="b">
        <v>1</v>
      </c>
      <c r="T214" s="9"/>
      <c r="U214" s="4"/>
      <c r="V214" s="4"/>
      <c r="W214" s="4"/>
      <c r="X214" s="4"/>
      <c r="Y214" s="4" t="str">
        <f>IF(anleihenkäufe[[#This Row],[Verkauft am]]="","",anleihenkäufe[[#This Row],[Gewinn aus Kursänderung]]+anleihenkäufe[[#This Row],[Gewinn aus Zinsen]]+anleihenkäufe[[#This Row],[Gewinn aus Währungseffekten]])</f>
        <v/>
      </c>
      <c r="Z214" s="156" t="str">
        <f>IF(anleihenkäufe[[#This Row],[Verkauft am]]="","",anleihenkäufe[[#This Row],[Gewinn gesamt]]/anleihenkäufe[[#This Row],[Dirty Kaufpreis]])</f>
        <v/>
      </c>
    </row>
    <row r="215" spans="1:26" ht="14.25" x14ac:dyDescent="0.2">
      <c r="A215" s="9">
        <v>45385</v>
      </c>
      <c r="B215" s="1" t="s">
        <v>333</v>
      </c>
      <c r="C215" s="1" t="s">
        <v>0</v>
      </c>
      <c r="D215" s="4">
        <f t="shared" si="9"/>
        <v>2028.0108493150683</v>
      </c>
      <c r="E215" s="4">
        <f t="shared" si="10"/>
        <v>2004.6</v>
      </c>
      <c r="F215" s="1">
        <v>2</v>
      </c>
      <c r="G215" s="1">
        <v>1000</v>
      </c>
      <c r="H215" s="7">
        <v>1.0023</v>
      </c>
      <c r="I215" s="4">
        <f t="shared" si="11"/>
        <v>23.410849315068489</v>
      </c>
      <c r="J215" s="7">
        <v>8.9009999999999992E-2</v>
      </c>
      <c r="K215" s="58">
        <v>1</v>
      </c>
      <c r="L215" s="1" t="s">
        <v>925</v>
      </c>
      <c r="M215" s="1">
        <v>4</v>
      </c>
      <c r="N215" s="9">
        <v>45337</v>
      </c>
      <c r="O215" s="1" t="s">
        <v>35</v>
      </c>
      <c r="P215" s="1" t="s">
        <v>81</v>
      </c>
      <c r="Q215" s="1" t="s">
        <v>334</v>
      </c>
      <c r="R215" s="1" t="s">
        <v>335</v>
      </c>
      <c r="S215" s="1" t="b">
        <v>1</v>
      </c>
      <c r="T215" s="9"/>
      <c r="U215" s="4"/>
      <c r="V215" s="4"/>
      <c r="W215" s="4"/>
      <c r="X215" s="4"/>
      <c r="Y215" s="4" t="str">
        <f>IF(anleihenkäufe[[#This Row],[Verkauft am]]="","",anleihenkäufe[[#This Row],[Gewinn aus Kursänderung]]+anleihenkäufe[[#This Row],[Gewinn aus Zinsen]]+anleihenkäufe[[#This Row],[Gewinn aus Währungseffekten]])</f>
        <v/>
      </c>
      <c r="Z215" s="156" t="str">
        <f>IF(anleihenkäufe[[#This Row],[Verkauft am]]="","",anleihenkäufe[[#This Row],[Gewinn gesamt]]/anleihenkäufe[[#This Row],[Dirty Kaufpreis]])</f>
        <v/>
      </c>
    </row>
    <row r="216" spans="1:26" ht="14.25" x14ac:dyDescent="0.2">
      <c r="A216" s="9">
        <v>45385</v>
      </c>
      <c r="B216" s="1" t="s">
        <v>1850</v>
      </c>
      <c r="C216" s="1" t="s">
        <v>1</v>
      </c>
      <c r="D216" s="4">
        <f t="shared" si="9"/>
        <v>2065.3441643835617</v>
      </c>
      <c r="E216" s="4">
        <f t="shared" si="10"/>
        <v>2021.8000000000002</v>
      </c>
      <c r="F216" s="1">
        <v>2</v>
      </c>
      <c r="G216" s="1">
        <v>1000</v>
      </c>
      <c r="H216" s="7">
        <v>1.0109000000000001</v>
      </c>
      <c r="I216" s="4">
        <f t="shared" si="11"/>
        <v>43.544164383561643</v>
      </c>
      <c r="J216" s="7">
        <v>8.9290000000000008E-2</v>
      </c>
      <c r="K216" s="58">
        <v>1</v>
      </c>
      <c r="L216" s="1" t="s">
        <v>925</v>
      </c>
      <c r="M216" s="1">
        <v>4</v>
      </c>
      <c r="N216" s="9">
        <v>45296</v>
      </c>
      <c r="O216" s="1" t="s">
        <v>98</v>
      </c>
      <c r="P216" s="1" t="s">
        <v>109</v>
      </c>
      <c r="Q216" s="1" t="s">
        <v>332</v>
      </c>
      <c r="R216" s="56" t="s">
        <v>1849</v>
      </c>
      <c r="S216" s="1" t="b">
        <v>1</v>
      </c>
      <c r="T216" s="9"/>
      <c r="U216" s="4"/>
      <c r="V216" s="4"/>
      <c r="W216" s="4"/>
      <c r="X216" s="4"/>
      <c r="Y216" s="4" t="str">
        <f>IF(anleihenkäufe[[#This Row],[Verkauft am]]="","",anleihenkäufe[[#This Row],[Gewinn aus Kursänderung]]+anleihenkäufe[[#This Row],[Gewinn aus Zinsen]]+anleihenkäufe[[#This Row],[Gewinn aus Währungseffekten]])</f>
        <v/>
      </c>
      <c r="Z216" s="156" t="str">
        <f>IF(anleihenkäufe[[#This Row],[Verkauft am]]="","",anleihenkäufe[[#This Row],[Gewinn gesamt]]/anleihenkäufe[[#This Row],[Dirty Kaufpreis]])</f>
        <v/>
      </c>
    </row>
    <row r="217" spans="1:26" ht="14.25" x14ac:dyDescent="0.2">
      <c r="A217" s="9">
        <v>45385</v>
      </c>
      <c r="B217" s="1" t="s">
        <v>329</v>
      </c>
      <c r="C217" s="1" t="s">
        <v>3</v>
      </c>
      <c r="D217" s="4">
        <f t="shared" si="9"/>
        <v>2042.1078356164385</v>
      </c>
      <c r="E217" s="4">
        <f t="shared" si="10"/>
        <v>2003.4</v>
      </c>
      <c r="F217" s="1">
        <v>2</v>
      </c>
      <c r="G217" s="1">
        <v>1000</v>
      </c>
      <c r="H217" s="7">
        <v>1.0017</v>
      </c>
      <c r="I217" s="4">
        <f t="shared" si="11"/>
        <v>38.707835616438359</v>
      </c>
      <c r="J217" s="7">
        <v>8.9419999999999999E-2</v>
      </c>
      <c r="K217" s="58">
        <v>1</v>
      </c>
      <c r="L217" s="1" t="s">
        <v>925</v>
      </c>
      <c r="M217" s="1">
        <v>4</v>
      </c>
      <c r="N217" s="9">
        <v>45306</v>
      </c>
      <c r="O217" s="1" t="s">
        <v>56</v>
      </c>
      <c r="P217" s="1" t="s">
        <v>61</v>
      </c>
      <c r="Q217" s="1" t="s">
        <v>330</v>
      </c>
      <c r="R217" s="1" t="s">
        <v>956</v>
      </c>
      <c r="S217" s="1" t="b">
        <v>1</v>
      </c>
      <c r="T217" s="9"/>
      <c r="U217" s="4"/>
      <c r="V217" s="4"/>
      <c r="W217" s="4"/>
      <c r="X217" s="4"/>
      <c r="Y217" s="4" t="str">
        <f>IF(anleihenkäufe[[#This Row],[Verkauft am]]="","",anleihenkäufe[[#This Row],[Gewinn aus Kursänderung]]+anleihenkäufe[[#This Row],[Gewinn aus Zinsen]]+anleihenkäufe[[#This Row],[Gewinn aus Währungseffekten]])</f>
        <v/>
      </c>
      <c r="Z217" s="156" t="str">
        <f>IF(anleihenkäufe[[#This Row],[Verkauft am]]="","",anleihenkäufe[[#This Row],[Gewinn gesamt]]/anleihenkäufe[[#This Row],[Dirty Kaufpreis]])</f>
        <v/>
      </c>
    </row>
    <row r="218" spans="1:26" ht="14.25" x14ac:dyDescent="0.2">
      <c r="A218" s="9">
        <v>45385</v>
      </c>
      <c r="B218" s="1" t="s">
        <v>326</v>
      </c>
      <c r="C218" s="1" t="s">
        <v>1</v>
      </c>
      <c r="D218" s="4">
        <f t="shared" si="9"/>
        <v>2087.3698630136992</v>
      </c>
      <c r="E218" s="4">
        <f t="shared" si="10"/>
        <v>2078.0000000000005</v>
      </c>
      <c r="F218" s="1">
        <v>2</v>
      </c>
      <c r="G218" s="1">
        <v>1000</v>
      </c>
      <c r="H218" s="7">
        <v>1.0390000000000001</v>
      </c>
      <c r="I218" s="4">
        <f t="shared" si="11"/>
        <v>9.3698630136986303</v>
      </c>
      <c r="J218" s="7">
        <v>0.09</v>
      </c>
      <c r="K218" s="58">
        <v>1</v>
      </c>
      <c r="L218" s="1" t="s">
        <v>925</v>
      </c>
      <c r="M218" s="1">
        <v>2</v>
      </c>
      <c r="N218" s="9">
        <v>45366</v>
      </c>
      <c r="O218" s="1" t="s">
        <v>51</v>
      </c>
      <c r="P218" s="1" t="s">
        <v>91</v>
      </c>
      <c r="Q218" s="1" t="s">
        <v>327</v>
      </c>
      <c r="R218" s="1" t="s">
        <v>328</v>
      </c>
      <c r="S218" s="1" t="b">
        <v>1</v>
      </c>
      <c r="T218" s="9"/>
      <c r="U218" s="4"/>
      <c r="V218" s="4"/>
      <c r="W218" s="4"/>
      <c r="X218" s="4"/>
      <c r="Y218" s="4" t="str">
        <f>IF(anleihenkäufe[[#This Row],[Verkauft am]]="","",anleihenkäufe[[#This Row],[Gewinn aus Kursänderung]]+anleihenkäufe[[#This Row],[Gewinn aus Zinsen]]+anleihenkäufe[[#This Row],[Gewinn aus Währungseffekten]])</f>
        <v/>
      </c>
      <c r="Z218" s="156" t="str">
        <f>IF(anleihenkäufe[[#This Row],[Verkauft am]]="","",anleihenkäufe[[#This Row],[Gewinn gesamt]]/anleihenkäufe[[#This Row],[Dirty Kaufpreis]])</f>
        <v/>
      </c>
    </row>
    <row r="219" spans="1:26" ht="14.25" x14ac:dyDescent="0.2">
      <c r="A219" s="9">
        <v>45385</v>
      </c>
      <c r="B219" s="1" t="s">
        <v>320</v>
      </c>
      <c r="C219" s="1" t="s">
        <v>10</v>
      </c>
      <c r="D219" s="4">
        <f t="shared" si="9"/>
        <v>2052.7671232876714</v>
      </c>
      <c r="E219" s="4">
        <f t="shared" si="10"/>
        <v>2000</v>
      </c>
      <c r="F219" s="1">
        <v>2</v>
      </c>
      <c r="G219" s="1">
        <v>1000</v>
      </c>
      <c r="H219" s="7">
        <v>1</v>
      </c>
      <c r="I219" s="4">
        <f t="shared" si="11"/>
        <v>52.767123287671232</v>
      </c>
      <c r="J219" s="7">
        <v>0.09</v>
      </c>
      <c r="K219" s="58">
        <v>1</v>
      </c>
      <c r="L219" s="1" t="s">
        <v>925</v>
      </c>
      <c r="M219" s="1">
        <v>2</v>
      </c>
      <c r="N219" s="9">
        <v>45278</v>
      </c>
      <c r="O219" s="1" t="s">
        <v>56</v>
      </c>
      <c r="P219" s="1" t="s">
        <v>39</v>
      </c>
      <c r="Q219" s="1" t="s">
        <v>321</v>
      </c>
      <c r="R219" s="1" t="s">
        <v>322</v>
      </c>
      <c r="S219" s="1" t="b">
        <v>1</v>
      </c>
      <c r="T219" s="9"/>
      <c r="U219" s="4"/>
      <c r="V219" s="4"/>
      <c r="W219" s="4"/>
      <c r="X219" s="4"/>
      <c r="Y219" s="4" t="str">
        <f>IF(anleihenkäufe[[#This Row],[Verkauft am]]="","",anleihenkäufe[[#This Row],[Gewinn aus Kursänderung]]+anleihenkäufe[[#This Row],[Gewinn aus Zinsen]]+anleihenkäufe[[#This Row],[Gewinn aus Währungseffekten]])</f>
        <v/>
      </c>
      <c r="Z219" s="156" t="str">
        <f>IF(anleihenkäufe[[#This Row],[Verkauft am]]="","",anleihenkäufe[[#This Row],[Gewinn gesamt]]/anleihenkäufe[[#This Row],[Dirty Kaufpreis]])</f>
        <v/>
      </c>
    </row>
    <row r="220" spans="1:26" ht="14.25" x14ac:dyDescent="0.2">
      <c r="A220" s="9">
        <v>45385</v>
      </c>
      <c r="B220" s="1" t="s">
        <v>323</v>
      </c>
      <c r="C220" s="1" t="s">
        <v>0</v>
      </c>
      <c r="D220" s="4">
        <f t="shared" si="9"/>
        <v>2014.041095890411</v>
      </c>
      <c r="E220" s="4">
        <f t="shared" si="10"/>
        <v>1945</v>
      </c>
      <c r="F220" s="1">
        <v>2</v>
      </c>
      <c r="G220" s="1">
        <v>1000</v>
      </c>
      <c r="H220" s="7">
        <v>0.97250000000000003</v>
      </c>
      <c r="I220" s="4">
        <f t="shared" si="11"/>
        <v>69.041095890410958</v>
      </c>
      <c r="J220" s="7">
        <v>0.09</v>
      </c>
      <c r="K220" s="58">
        <v>1</v>
      </c>
      <c r="L220" s="1" t="s">
        <v>925</v>
      </c>
      <c r="M220" s="1">
        <v>2</v>
      </c>
      <c r="N220" s="9">
        <v>45245</v>
      </c>
      <c r="O220" s="1" t="s">
        <v>35</v>
      </c>
      <c r="P220" s="1" t="s">
        <v>57</v>
      </c>
      <c r="Q220" s="1" t="s">
        <v>324</v>
      </c>
      <c r="R220" s="1" t="s">
        <v>325</v>
      </c>
      <c r="S220" s="1" t="b">
        <v>1</v>
      </c>
      <c r="T220" s="9"/>
      <c r="U220" s="4"/>
      <c r="V220" s="4"/>
      <c r="W220" s="4"/>
      <c r="X220" s="4"/>
      <c r="Y220" s="4" t="str">
        <f>IF(anleihenkäufe[[#This Row],[Verkauft am]]="","",anleihenkäufe[[#This Row],[Gewinn aus Kursänderung]]+anleihenkäufe[[#This Row],[Gewinn aus Zinsen]]+anleihenkäufe[[#This Row],[Gewinn aus Währungseffekten]])</f>
        <v/>
      </c>
      <c r="Z220" s="156" t="str">
        <f>IF(anleihenkäufe[[#This Row],[Verkauft am]]="","",anleihenkäufe[[#This Row],[Gewinn gesamt]]/anleihenkäufe[[#This Row],[Dirty Kaufpreis]])</f>
        <v/>
      </c>
    </row>
    <row r="221" spans="1:26" ht="14.25" x14ac:dyDescent="0.2">
      <c r="A221" s="9">
        <v>45385</v>
      </c>
      <c r="B221" s="1" t="s">
        <v>317</v>
      </c>
      <c r="C221" s="1" t="s">
        <v>0</v>
      </c>
      <c r="D221" s="4">
        <f t="shared" si="9"/>
        <v>2242.9</v>
      </c>
      <c r="E221" s="4">
        <f t="shared" si="10"/>
        <v>2229.4</v>
      </c>
      <c r="F221" s="1">
        <v>2</v>
      </c>
      <c r="G221" s="1">
        <v>1000</v>
      </c>
      <c r="H221" s="7">
        <v>1.1147</v>
      </c>
      <c r="I221" s="4">
        <f t="shared" si="11"/>
        <v>13.5</v>
      </c>
      <c r="J221" s="7">
        <v>9.1249999999999998E-2</v>
      </c>
      <c r="K221" s="58">
        <v>1</v>
      </c>
      <c r="L221" s="1" t="s">
        <v>925</v>
      </c>
      <c r="M221" s="1">
        <v>2</v>
      </c>
      <c r="N221" s="9">
        <v>45358</v>
      </c>
      <c r="O221" s="1" t="s">
        <v>170</v>
      </c>
      <c r="P221" s="1" t="s">
        <v>81</v>
      </c>
      <c r="Q221" s="1" t="s">
        <v>318</v>
      </c>
      <c r="R221" s="1" t="s">
        <v>319</v>
      </c>
      <c r="S221" s="1" t="b">
        <v>1</v>
      </c>
      <c r="T221" s="9"/>
      <c r="U221" s="4"/>
      <c r="V221" s="4"/>
      <c r="W221" s="4"/>
      <c r="X221" s="4"/>
      <c r="Y221" s="4" t="str">
        <f>IF(anleihenkäufe[[#This Row],[Verkauft am]]="","",anleihenkäufe[[#This Row],[Gewinn aus Kursänderung]]+anleihenkäufe[[#This Row],[Gewinn aus Zinsen]]+anleihenkäufe[[#This Row],[Gewinn aus Währungseffekten]])</f>
        <v/>
      </c>
      <c r="Z221" s="156" t="str">
        <f>IF(anleihenkäufe[[#This Row],[Verkauft am]]="","",anleihenkäufe[[#This Row],[Gewinn gesamt]]/anleihenkäufe[[#This Row],[Dirty Kaufpreis]])</f>
        <v/>
      </c>
    </row>
    <row r="222" spans="1:26" ht="14.25" x14ac:dyDescent="0.2">
      <c r="A222" s="9">
        <v>45385</v>
      </c>
      <c r="B222" s="1" t="s">
        <v>308</v>
      </c>
      <c r="C222" s="1" t="s">
        <v>0</v>
      </c>
      <c r="D222" s="4">
        <f t="shared" si="9"/>
        <v>2004.3676712328768</v>
      </c>
      <c r="E222" s="4">
        <f t="shared" si="10"/>
        <v>1994.8</v>
      </c>
      <c r="F222" s="1">
        <v>2</v>
      </c>
      <c r="G222" s="1">
        <v>1000</v>
      </c>
      <c r="H222" s="7">
        <v>0.99739999999999995</v>
      </c>
      <c r="I222" s="4">
        <f t="shared" si="11"/>
        <v>9.5676712328767124</v>
      </c>
      <c r="J222" s="7">
        <v>9.1899999999999996E-2</v>
      </c>
      <c r="K222" s="58">
        <v>1</v>
      </c>
      <c r="L222" s="1" t="s">
        <v>925</v>
      </c>
      <c r="M222" s="1">
        <v>4</v>
      </c>
      <c r="N222" s="9">
        <v>45366</v>
      </c>
      <c r="O222" s="1" t="s">
        <v>170</v>
      </c>
      <c r="P222" s="1" t="s">
        <v>44</v>
      </c>
      <c r="Q222" s="1" t="s">
        <v>309</v>
      </c>
      <c r="R222" s="1" t="s">
        <v>310</v>
      </c>
      <c r="S222" s="1" t="b">
        <v>0</v>
      </c>
      <c r="T222" s="9">
        <v>45399</v>
      </c>
      <c r="U222" s="4">
        <v>1981.01753424658</v>
      </c>
      <c r="V222" s="4">
        <v>-30.4</v>
      </c>
      <c r="W222" s="4">
        <v>7.04986301369863</v>
      </c>
      <c r="X222" s="4">
        <v>0</v>
      </c>
      <c r="Y222" s="4">
        <f>IF(anleihenkäufe[[#This Row],[Verkauft am]]="","",anleihenkäufe[[#This Row],[Gewinn aus Kursänderung]]+anleihenkäufe[[#This Row],[Gewinn aus Zinsen]]+anleihenkäufe[[#This Row],[Gewinn aus Währungseffekten]])</f>
        <v>-23.350136986301369</v>
      </c>
      <c r="Z222" s="156">
        <f>IF(anleihenkäufe[[#This Row],[Verkauft am]]="","",anleihenkäufe[[#This Row],[Gewinn gesamt]]/anleihenkäufe[[#This Row],[Dirty Kaufpreis]])</f>
        <v>-1.1649627621432755E-2</v>
      </c>
    </row>
    <row r="223" spans="1:26" ht="14.25" x14ac:dyDescent="0.2">
      <c r="A223" s="9">
        <v>45385</v>
      </c>
      <c r="B223" s="1" t="s">
        <v>311</v>
      </c>
      <c r="C223" s="1" t="s">
        <v>5</v>
      </c>
      <c r="D223" s="4">
        <f t="shared" si="9"/>
        <v>1938.167671232877</v>
      </c>
      <c r="E223" s="4">
        <f t="shared" si="10"/>
        <v>1928.6000000000001</v>
      </c>
      <c r="F223" s="1">
        <v>2</v>
      </c>
      <c r="G223" s="1">
        <v>1000</v>
      </c>
      <c r="H223" s="7">
        <v>0.96430000000000005</v>
      </c>
      <c r="I223" s="4">
        <f t="shared" si="11"/>
        <v>9.5676712328767124</v>
      </c>
      <c r="J223" s="7">
        <v>9.1899999999999996E-2</v>
      </c>
      <c r="K223" s="58">
        <v>1</v>
      </c>
      <c r="L223" s="1" t="s">
        <v>925</v>
      </c>
      <c r="M223" s="1">
        <v>4</v>
      </c>
      <c r="N223" s="9">
        <v>45366</v>
      </c>
      <c r="O223" s="1" t="s">
        <v>170</v>
      </c>
      <c r="P223" s="1" t="s">
        <v>57</v>
      </c>
      <c r="Q223" s="1" t="s">
        <v>312</v>
      </c>
      <c r="R223" s="1" t="s">
        <v>313</v>
      </c>
      <c r="S223" s="1" t="b">
        <v>1</v>
      </c>
      <c r="T223" s="9"/>
      <c r="U223" s="4"/>
      <c r="V223" s="4"/>
      <c r="W223" s="4"/>
      <c r="X223" s="4"/>
      <c r="Y223" s="4" t="str">
        <f>IF(anleihenkäufe[[#This Row],[Verkauft am]]="","",anleihenkäufe[[#This Row],[Gewinn aus Kursänderung]]+anleihenkäufe[[#This Row],[Gewinn aus Zinsen]]+anleihenkäufe[[#This Row],[Gewinn aus Währungseffekten]])</f>
        <v/>
      </c>
      <c r="Z223" s="156" t="str">
        <f>IF(anleihenkäufe[[#This Row],[Verkauft am]]="","",anleihenkäufe[[#This Row],[Gewinn gesamt]]/anleihenkäufe[[#This Row],[Dirty Kaufpreis]])</f>
        <v/>
      </c>
    </row>
    <row r="224" spans="1:26" ht="14.25" x14ac:dyDescent="0.2">
      <c r="A224" s="9">
        <v>45385</v>
      </c>
      <c r="B224" s="1" t="s">
        <v>314</v>
      </c>
      <c r="C224" s="1" t="s">
        <v>2</v>
      </c>
      <c r="D224" s="4">
        <f t="shared" si="9"/>
        <v>2025.167671232877</v>
      </c>
      <c r="E224" s="4">
        <f t="shared" si="10"/>
        <v>2015.6000000000001</v>
      </c>
      <c r="F224" s="1">
        <v>2</v>
      </c>
      <c r="G224" s="1">
        <v>1000</v>
      </c>
      <c r="H224" s="7">
        <v>1.0078</v>
      </c>
      <c r="I224" s="4">
        <f t="shared" si="11"/>
        <v>9.5676712328767124</v>
      </c>
      <c r="J224" s="7">
        <v>9.1899999999999996E-2</v>
      </c>
      <c r="K224" s="58">
        <v>1</v>
      </c>
      <c r="L224" s="1" t="s">
        <v>925</v>
      </c>
      <c r="M224" s="1">
        <v>4</v>
      </c>
      <c r="N224" s="9">
        <v>45366</v>
      </c>
      <c r="O224" s="1" t="s">
        <v>35</v>
      </c>
      <c r="P224" s="1" t="s">
        <v>61</v>
      </c>
      <c r="Q224" s="1" t="s">
        <v>315</v>
      </c>
      <c r="R224" s="1" t="s">
        <v>316</v>
      </c>
      <c r="S224" s="1" t="b">
        <v>1</v>
      </c>
      <c r="T224" s="9"/>
      <c r="U224" s="4"/>
      <c r="V224" s="4"/>
      <c r="W224" s="4"/>
      <c r="X224" s="4"/>
      <c r="Y224" s="4" t="str">
        <f>IF(anleihenkäufe[[#This Row],[Verkauft am]]="","",anleihenkäufe[[#This Row],[Gewinn aus Kursänderung]]+anleihenkäufe[[#This Row],[Gewinn aus Zinsen]]+anleihenkäufe[[#This Row],[Gewinn aus Währungseffekten]])</f>
        <v/>
      </c>
      <c r="Z224" s="156" t="str">
        <f>IF(anleihenkäufe[[#This Row],[Verkauft am]]="","",anleihenkäufe[[#This Row],[Gewinn gesamt]]/anleihenkäufe[[#This Row],[Dirty Kaufpreis]])</f>
        <v/>
      </c>
    </row>
    <row r="225" spans="1:26" ht="14.25" x14ac:dyDescent="0.2">
      <c r="A225" s="9">
        <v>45385</v>
      </c>
      <c r="B225" s="1" t="s">
        <v>305</v>
      </c>
      <c r="C225" s="1" t="s">
        <v>5</v>
      </c>
      <c r="D225" s="4">
        <f t="shared" si="9"/>
        <v>1997.3676712328768</v>
      </c>
      <c r="E225" s="4">
        <f t="shared" si="10"/>
        <v>1987.8</v>
      </c>
      <c r="F225" s="1">
        <v>2</v>
      </c>
      <c r="G225" s="1">
        <v>1000</v>
      </c>
      <c r="H225" s="7">
        <v>0.99390000000000001</v>
      </c>
      <c r="I225" s="4">
        <f t="shared" si="11"/>
        <v>9.5676712328767124</v>
      </c>
      <c r="J225" s="7">
        <v>9.1899999999999996E-2</v>
      </c>
      <c r="K225" s="58">
        <v>1</v>
      </c>
      <c r="L225" s="1" t="s">
        <v>925</v>
      </c>
      <c r="M225" s="1">
        <v>4</v>
      </c>
      <c r="N225" s="9">
        <v>45366</v>
      </c>
      <c r="O225" s="1" t="s">
        <v>98</v>
      </c>
      <c r="P225" s="1" t="s">
        <v>39</v>
      </c>
      <c r="Q225" s="1" t="s">
        <v>306</v>
      </c>
      <c r="R225" s="1" t="s">
        <v>307</v>
      </c>
      <c r="S225" s="1" t="b">
        <v>1</v>
      </c>
      <c r="T225" s="9"/>
      <c r="U225" s="4"/>
      <c r="V225" s="4"/>
      <c r="W225" s="4"/>
      <c r="X225" s="4"/>
      <c r="Y225" s="4" t="str">
        <f>IF(anleihenkäufe[[#This Row],[Verkauft am]]="","",anleihenkäufe[[#This Row],[Gewinn aus Kursänderung]]+anleihenkäufe[[#This Row],[Gewinn aus Zinsen]]+anleihenkäufe[[#This Row],[Gewinn aus Währungseffekten]])</f>
        <v/>
      </c>
      <c r="Z225" s="156" t="str">
        <f>IF(anleihenkäufe[[#This Row],[Verkauft am]]="","",anleihenkäufe[[#This Row],[Gewinn gesamt]]/anleihenkäufe[[#This Row],[Dirty Kaufpreis]])</f>
        <v/>
      </c>
    </row>
    <row r="226" spans="1:26" ht="14.25" x14ac:dyDescent="0.2">
      <c r="A226" s="9">
        <v>45385</v>
      </c>
      <c r="B226" s="1" t="s">
        <v>296</v>
      </c>
      <c r="C226" s="1" t="s">
        <v>10</v>
      </c>
      <c r="D226" s="4">
        <f t="shared" si="9"/>
        <v>1205.1095890410959</v>
      </c>
      <c r="E226" s="4">
        <f t="shared" si="10"/>
        <v>1160</v>
      </c>
      <c r="F226" s="1">
        <v>2</v>
      </c>
      <c r="G226" s="1">
        <v>1000</v>
      </c>
      <c r="H226" s="7">
        <v>0.57999999999999996</v>
      </c>
      <c r="I226" s="4">
        <f t="shared" si="11"/>
        <v>45.109589041095887</v>
      </c>
      <c r="J226" s="7">
        <v>9.2499999999999999E-2</v>
      </c>
      <c r="K226" s="58">
        <v>1</v>
      </c>
      <c r="L226" s="1" t="s">
        <v>925</v>
      </c>
      <c r="M226" s="1">
        <v>2</v>
      </c>
      <c r="N226" s="9">
        <v>45296</v>
      </c>
      <c r="O226" s="1" t="s">
        <v>56</v>
      </c>
      <c r="P226" s="1" t="s">
        <v>39</v>
      </c>
      <c r="Q226" s="1" t="s">
        <v>297</v>
      </c>
      <c r="R226" s="1" t="s">
        <v>298</v>
      </c>
      <c r="S226" s="1" t="b">
        <v>1</v>
      </c>
      <c r="T226" s="9"/>
      <c r="U226" s="4"/>
      <c r="V226" s="4"/>
      <c r="W226" s="4"/>
      <c r="X226" s="4"/>
      <c r="Y226" s="4" t="str">
        <f>IF(anleihenkäufe[[#This Row],[Verkauft am]]="","",anleihenkäufe[[#This Row],[Gewinn aus Kursänderung]]+anleihenkäufe[[#This Row],[Gewinn aus Zinsen]]+anleihenkäufe[[#This Row],[Gewinn aus Währungseffekten]])</f>
        <v/>
      </c>
      <c r="Z226" s="156" t="str">
        <f>IF(anleihenkäufe[[#This Row],[Verkauft am]]="","",anleihenkäufe[[#This Row],[Gewinn gesamt]]/anleihenkäufe[[#This Row],[Dirty Kaufpreis]])</f>
        <v/>
      </c>
    </row>
    <row r="227" spans="1:26" ht="14.25" x14ac:dyDescent="0.2">
      <c r="A227" s="9">
        <v>45385</v>
      </c>
      <c r="B227" s="1" t="s">
        <v>299</v>
      </c>
      <c r="C227" s="1" t="s">
        <v>0</v>
      </c>
      <c r="D227" s="4">
        <f t="shared" si="9"/>
        <v>1999.668493150685</v>
      </c>
      <c r="E227" s="4">
        <f t="shared" si="10"/>
        <v>1920.6000000000001</v>
      </c>
      <c r="F227" s="1">
        <v>2</v>
      </c>
      <c r="G227" s="1">
        <v>1000</v>
      </c>
      <c r="H227" s="7">
        <v>0.96030000000000004</v>
      </c>
      <c r="I227" s="4">
        <f t="shared" si="11"/>
        <v>79.06849315068493</v>
      </c>
      <c r="J227" s="7">
        <v>9.2499999999999999E-2</v>
      </c>
      <c r="K227" s="58">
        <v>1</v>
      </c>
      <c r="L227" s="1" t="s">
        <v>925</v>
      </c>
      <c r="M227" s="1">
        <v>2</v>
      </c>
      <c r="N227" s="9">
        <v>45229</v>
      </c>
      <c r="O227" s="1" t="s">
        <v>35</v>
      </c>
      <c r="P227" s="1" t="s">
        <v>52</v>
      </c>
      <c r="Q227" s="1" t="s">
        <v>300</v>
      </c>
      <c r="R227" s="1" t="s">
        <v>301</v>
      </c>
      <c r="S227" s="1" t="b">
        <v>1</v>
      </c>
      <c r="T227" s="9"/>
      <c r="U227" s="4"/>
      <c r="V227" s="4"/>
      <c r="W227" s="4"/>
      <c r="X227" s="4"/>
      <c r="Y227" s="4" t="str">
        <f>IF(anleihenkäufe[[#This Row],[Verkauft am]]="","",anleihenkäufe[[#This Row],[Gewinn aus Kursänderung]]+anleihenkäufe[[#This Row],[Gewinn aus Zinsen]]+anleihenkäufe[[#This Row],[Gewinn aus Währungseffekten]])</f>
        <v/>
      </c>
      <c r="Z227" s="156" t="str">
        <f>IF(anleihenkäufe[[#This Row],[Verkauft am]]="","",anleihenkäufe[[#This Row],[Gewinn gesamt]]/anleihenkäufe[[#This Row],[Dirty Kaufpreis]])</f>
        <v/>
      </c>
    </row>
    <row r="228" spans="1:26" ht="14.25" x14ac:dyDescent="0.2">
      <c r="A228" s="9">
        <v>45385</v>
      </c>
      <c r="B228" s="1" t="s">
        <v>302</v>
      </c>
      <c r="C228" s="1" t="s">
        <v>5</v>
      </c>
      <c r="D228" s="4">
        <f t="shared" si="9"/>
        <v>2217.8712328767124</v>
      </c>
      <c r="E228" s="4">
        <f t="shared" si="10"/>
        <v>2131.2000000000003</v>
      </c>
      <c r="F228" s="1">
        <v>2</v>
      </c>
      <c r="G228" s="1">
        <v>1000</v>
      </c>
      <c r="H228" s="7">
        <v>1.0656000000000001</v>
      </c>
      <c r="I228" s="4">
        <f t="shared" si="11"/>
        <v>86.671232876712324</v>
      </c>
      <c r="J228" s="7">
        <v>9.2499999999999999E-2</v>
      </c>
      <c r="K228" s="58">
        <v>1</v>
      </c>
      <c r="L228" s="1" t="s">
        <v>925</v>
      </c>
      <c r="M228" s="1">
        <v>2</v>
      </c>
      <c r="N228" s="9">
        <v>45214</v>
      </c>
      <c r="O228" s="1" t="s">
        <v>98</v>
      </c>
      <c r="P228" s="1" t="s">
        <v>39</v>
      </c>
      <c r="Q228" s="1" t="s">
        <v>303</v>
      </c>
      <c r="R228" s="1" t="s">
        <v>304</v>
      </c>
      <c r="S228" s="1" t="b">
        <v>1</v>
      </c>
      <c r="T228" s="9"/>
      <c r="U228" s="4"/>
      <c r="V228" s="4"/>
      <c r="W228" s="4"/>
      <c r="X228" s="4"/>
      <c r="Y228" s="4" t="str">
        <f>IF(anleihenkäufe[[#This Row],[Verkauft am]]="","",anleihenkäufe[[#This Row],[Gewinn aus Kursänderung]]+anleihenkäufe[[#This Row],[Gewinn aus Zinsen]]+anleihenkäufe[[#This Row],[Gewinn aus Währungseffekten]])</f>
        <v/>
      </c>
      <c r="Z228" s="156" t="str">
        <f>IF(anleihenkäufe[[#This Row],[Verkauft am]]="","",anleihenkäufe[[#This Row],[Gewinn gesamt]]/anleihenkäufe[[#This Row],[Dirty Kaufpreis]])</f>
        <v/>
      </c>
    </row>
    <row r="229" spans="1:26" ht="14.25" x14ac:dyDescent="0.2">
      <c r="A229" s="9">
        <v>45385</v>
      </c>
      <c r="B229" s="1" t="s">
        <v>293</v>
      </c>
      <c r="C229" s="1" t="s">
        <v>2</v>
      </c>
      <c r="D229" s="4">
        <f t="shared" si="9"/>
        <v>2128.5821917808221</v>
      </c>
      <c r="E229" s="4">
        <f t="shared" si="10"/>
        <v>2088</v>
      </c>
      <c r="F229" s="1">
        <v>2</v>
      </c>
      <c r="G229" s="1">
        <v>1000</v>
      </c>
      <c r="H229" s="7">
        <v>1.044</v>
      </c>
      <c r="I229" s="4">
        <f t="shared" si="11"/>
        <v>40.582191780821915</v>
      </c>
      <c r="J229" s="7">
        <v>9.375E-2</v>
      </c>
      <c r="K229" s="58">
        <v>1</v>
      </c>
      <c r="L229" s="1" t="s">
        <v>925</v>
      </c>
      <c r="M229" s="1">
        <v>2</v>
      </c>
      <c r="N229" s="9">
        <v>45306</v>
      </c>
      <c r="O229" s="1" t="s">
        <v>56</v>
      </c>
      <c r="P229" s="1" t="s">
        <v>61</v>
      </c>
      <c r="Q229" s="1" t="s">
        <v>294</v>
      </c>
      <c r="R229" s="1" t="s">
        <v>295</v>
      </c>
      <c r="S229" s="1" t="b">
        <v>1</v>
      </c>
      <c r="T229" s="9"/>
      <c r="U229" s="4"/>
      <c r="V229" s="4"/>
      <c r="W229" s="4"/>
      <c r="X229" s="4"/>
      <c r="Y229" s="4" t="str">
        <f>IF(anleihenkäufe[[#This Row],[Verkauft am]]="","",anleihenkäufe[[#This Row],[Gewinn aus Kursänderung]]+anleihenkäufe[[#This Row],[Gewinn aus Zinsen]]+anleihenkäufe[[#This Row],[Gewinn aus Währungseffekten]])</f>
        <v/>
      </c>
      <c r="Z229" s="156" t="str">
        <f>IF(anleihenkäufe[[#This Row],[Verkauft am]]="","",anleihenkäufe[[#This Row],[Gewinn gesamt]]/anleihenkäufe[[#This Row],[Dirty Kaufpreis]])</f>
        <v/>
      </c>
    </row>
    <row r="230" spans="1:26" ht="14.25" x14ac:dyDescent="0.2">
      <c r="A230" s="9">
        <v>45385</v>
      </c>
      <c r="B230" s="1" t="s">
        <v>290</v>
      </c>
      <c r="C230" s="1" t="s">
        <v>1</v>
      </c>
      <c r="D230" s="4">
        <f t="shared" si="9"/>
        <v>2217.5178082191778</v>
      </c>
      <c r="E230" s="4">
        <f t="shared" si="10"/>
        <v>2145.6</v>
      </c>
      <c r="F230" s="1">
        <v>2</v>
      </c>
      <c r="G230" s="1">
        <v>1000</v>
      </c>
      <c r="H230" s="7">
        <v>1.0728</v>
      </c>
      <c r="I230" s="4">
        <f t="shared" si="11"/>
        <v>71.917808219178085</v>
      </c>
      <c r="J230" s="7">
        <v>9.375E-2</v>
      </c>
      <c r="K230" s="58">
        <v>1</v>
      </c>
      <c r="L230" s="1" t="s">
        <v>925</v>
      </c>
      <c r="M230" s="1">
        <v>2</v>
      </c>
      <c r="N230" s="9">
        <v>45245</v>
      </c>
      <c r="O230" s="1" t="s">
        <v>43</v>
      </c>
      <c r="P230" s="1" t="s">
        <v>39</v>
      </c>
      <c r="Q230" s="1" t="s">
        <v>291</v>
      </c>
      <c r="R230" s="1" t="s">
        <v>292</v>
      </c>
      <c r="S230" s="1" t="b">
        <v>1</v>
      </c>
      <c r="T230" s="9"/>
      <c r="U230" s="4"/>
      <c r="V230" s="4"/>
      <c r="W230" s="4"/>
      <c r="X230" s="4"/>
      <c r="Y230" s="4" t="str">
        <f>IF(anleihenkäufe[[#This Row],[Verkauft am]]="","",anleihenkäufe[[#This Row],[Gewinn aus Kursänderung]]+anleihenkäufe[[#This Row],[Gewinn aus Zinsen]]+anleihenkäufe[[#This Row],[Gewinn aus Währungseffekten]])</f>
        <v/>
      </c>
      <c r="Z230" s="156" t="str">
        <f>IF(anleihenkäufe[[#This Row],[Verkauft am]]="","",anleihenkäufe[[#This Row],[Gewinn gesamt]]/anleihenkäufe[[#This Row],[Dirty Kaufpreis]])</f>
        <v/>
      </c>
    </row>
    <row r="231" spans="1:26" ht="14.25" x14ac:dyDescent="0.2">
      <c r="A231" s="9">
        <v>45385</v>
      </c>
      <c r="B231" s="1" t="s">
        <v>287</v>
      </c>
      <c r="C231" s="1" t="s">
        <v>9</v>
      </c>
      <c r="D231" s="4">
        <f t="shared" si="9"/>
        <v>2030.1259178082191</v>
      </c>
      <c r="E231" s="4">
        <f t="shared" si="10"/>
        <v>2005.3999999999999</v>
      </c>
      <c r="F231" s="1">
        <v>2</v>
      </c>
      <c r="G231" s="1">
        <v>1000</v>
      </c>
      <c r="H231" s="7">
        <v>1.0026999999999999</v>
      </c>
      <c r="I231" s="4">
        <f t="shared" si="11"/>
        <v>24.725917808219176</v>
      </c>
      <c r="J231" s="7">
        <v>9.4009999999999996E-2</v>
      </c>
      <c r="K231" s="58">
        <v>1</v>
      </c>
      <c r="L231" s="1" t="s">
        <v>925</v>
      </c>
      <c r="M231" s="1">
        <v>4</v>
      </c>
      <c r="N231" s="9">
        <v>45337</v>
      </c>
      <c r="O231" s="1" t="s">
        <v>65</v>
      </c>
      <c r="P231" s="1" t="s">
        <v>109</v>
      </c>
      <c r="Q231" s="1" t="s">
        <v>288</v>
      </c>
      <c r="R231" s="1" t="s">
        <v>289</v>
      </c>
      <c r="S231" s="1" t="b">
        <v>1</v>
      </c>
      <c r="T231" s="9"/>
      <c r="U231" s="4"/>
      <c r="V231" s="4"/>
      <c r="W231" s="4"/>
      <c r="X231" s="4"/>
      <c r="Y231" s="4" t="str">
        <f>IF(anleihenkäufe[[#This Row],[Verkauft am]]="","",anleihenkäufe[[#This Row],[Gewinn aus Kursänderung]]+anleihenkäufe[[#This Row],[Gewinn aus Zinsen]]+anleihenkäufe[[#This Row],[Gewinn aus Währungseffekten]])</f>
        <v/>
      </c>
      <c r="Z231" s="156" t="str">
        <f>IF(anleihenkäufe[[#This Row],[Verkauft am]]="","",anleihenkäufe[[#This Row],[Gewinn gesamt]]/anleihenkäufe[[#This Row],[Dirty Kaufpreis]])</f>
        <v/>
      </c>
    </row>
    <row r="232" spans="1:26" ht="14.25" x14ac:dyDescent="0.2">
      <c r="A232" s="9">
        <v>45385</v>
      </c>
      <c r="B232" s="1" t="s">
        <v>283</v>
      </c>
      <c r="C232" s="1" t="s">
        <v>0</v>
      </c>
      <c r="D232" s="4">
        <f t="shared" si="9"/>
        <v>2048.2849315068493</v>
      </c>
      <c r="E232" s="4">
        <f t="shared" si="10"/>
        <v>2014.1999999999998</v>
      </c>
      <c r="F232" s="1">
        <v>2</v>
      </c>
      <c r="G232" s="1">
        <v>1000</v>
      </c>
      <c r="H232" s="7">
        <v>1.0070999999999999</v>
      </c>
      <c r="I232" s="4">
        <f t="shared" si="11"/>
        <v>34.084931506849315</v>
      </c>
      <c r="J232" s="7">
        <v>9.425E-2</v>
      </c>
      <c r="K232" s="58">
        <v>1</v>
      </c>
      <c r="L232" s="1" t="s">
        <v>925</v>
      </c>
      <c r="M232" s="1">
        <v>4</v>
      </c>
      <c r="N232" s="9">
        <v>45319</v>
      </c>
      <c r="O232" s="1" t="s">
        <v>284</v>
      </c>
      <c r="P232" s="1" t="s">
        <v>109</v>
      </c>
      <c r="Q232" s="1" t="s">
        <v>285</v>
      </c>
      <c r="R232" s="1" t="s">
        <v>286</v>
      </c>
      <c r="S232" s="1" t="b">
        <v>1</v>
      </c>
      <c r="T232" s="9"/>
      <c r="U232" s="4"/>
      <c r="V232" s="4"/>
      <c r="W232" s="4"/>
      <c r="X232" s="4"/>
      <c r="Y232" s="4" t="str">
        <f>IF(anleihenkäufe[[#This Row],[Verkauft am]]="","",anleihenkäufe[[#This Row],[Gewinn aus Kursänderung]]+anleihenkäufe[[#This Row],[Gewinn aus Zinsen]]+anleihenkäufe[[#This Row],[Gewinn aus Währungseffekten]])</f>
        <v/>
      </c>
      <c r="Z232" s="156" t="str">
        <f>IF(anleihenkäufe[[#This Row],[Verkauft am]]="","",anleihenkäufe[[#This Row],[Gewinn gesamt]]/anleihenkäufe[[#This Row],[Dirty Kaufpreis]])</f>
        <v/>
      </c>
    </row>
    <row r="233" spans="1:26" ht="14.25" x14ac:dyDescent="0.2">
      <c r="A233" s="9">
        <v>45385</v>
      </c>
      <c r="B233" s="1" t="s">
        <v>279</v>
      </c>
      <c r="C233" s="1" t="s">
        <v>10</v>
      </c>
      <c r="D233" s="4">
        <f t="shared" si="9"/>
        <v>1991.1952876712328</v>
      </c>
      <c r="E233" s="4">
        <f t="shared" si="10"/>
        <v>1951.3999999999999</v>
      </c>
      <c r="F233" s="1">
        <v>2</v>
      </c>
      <c r="G233" s="1">
        <v>1000</v>
      </c>
      <c r="H233" s="7">
        <v>0.9756999999999999</v>
      </c>
      <c r="I233" s="4">
        <f t="shared" si="11"/>
        <v>39.795287671232877</v>
      </c>
      <c r="J233" s="7">
        <v>9.4320000000000001E-2</v>
      </c>
      <c r="K233" s="58">
        <v>1</v>
      </c>
      <c r="L233" s="1" t="s">
        <v>925</v>
      </c>
      <c r="M233" s="1">
        <v>4</v>
      </c>
      <c r="N233" s="9">
        <v>45308</v>
      </c>
      <c r="O233" s="1" t="s">
        <v>280</v>
      </c>
      <c r="P233" s="1" t="s">
        <v>39</v>
      </c>
      <c r="Q233" s="1" t="s">
        <v>281</v>
      </c>
      <c r="R233" s="1" t="s">
        <v>282</v>
      </c>
      <c r="S233" s="1" t="b">
        <v>1</v>
      </c>
      <c r="T233" s="9"/>
      <c r="U233" s="4"/>
      <c r="V233" s="4"/>
      <c r="W233" s="4"/>
      <c r="X233" s="4"/>
      <c r="Y233" s="4" t="str">
        <f>IF(anleihenkäufe[[#This Row],[Verkauft am]]="","",anleihenkäufe[[#This Row],[Gewinn aus Kursänderung]]+anleihenkäufe[[#This Row],[Gewinn aus Zinsen]]+anleihenkäufe[[#This Row],[Gewinn aus Währungseffekten]])</f>
        <v/>
      </c>
      <c r="Z233" s="156" t="str">
        <f>IF(anleihenkäufe[[#This Row],[Verkauft am]]="","",anleihenkäufe[[#This Row],[Gewinn gesamt]]/anleihenkäufe[[#This Row],[Dirty Kaufpreis]])</f>
        <v/>
      </c>
    </row>
    <row r="234" spans="1:26" ht="14.25" x14ac:dyDescent="0.2">
      <c r="A234" s="9">
        <v>45385</v>
      </c>
      <c r="B234" s="1" t="s">
        <v>272</v>
      </c>
      <c r="C234" s="1" t="s">
        <v>10</v>
      </c>
      <c r="D234" s="4">
        <f t="shared" si="9"/>
        <v>2026.8410958904112</v>
      </c>
      <c r="E234" s="4">
        <f t="shared" si="10"/>
        <v>2025.8000000000002</v>
      </c>
      <c r="F234" s="1">
        <v>2</v>
      </c>
      <c r="G234" s="1">
        <v>1000</v>
      </c>
      <c r="H234" s="7">
        <v>1.0129000000000001</v>
      </c>
      <c r="I234" s="4">
        <f t="shared" si="11"/>
        <v>1.0410958904109588</v>
      </c>
      <c r="J234" s="7">
        <v>9.5000000000000001E-2</v>
      </c>
      <c r="K234" s="58">
        <v>1</v>
      </c>
      <c r="L234" s="1" t="s">
        <v>925</v>
      </c>
      <c r="M234" s="1">
        <v>2</v>
      </c>
      <c r="N234" s="9">
        <v>45383</v>
      </c>
      <c r="O234" s="1" t="s">
        <v>56</v>
      </c>
      <c r="P234" s="1" t="s">
        <v>61</v>
      </c>
      <c r="Q234" s="1" t="s">
        <v>273</v>
      </c>
      <c r="R234" s="1" t="s">
        <v>274</v>
      </c>
      <c r="S234" s="1" t="b">
        <v>1</v>
      </c>
      <c r="T234" s="9"/>
      <c r="U234" s="4"/>
      <c r="V234" s="4"/>
      <c r="W234" s="4"/>
      <c r="X234" s="4"/>
      <c r="Y234" s="4" t="str">
        <f>IF(anleihenkäufe[[#This Row],[Verkauft am]]="","",anleihenkäufe[[#This Row],[Gewinn aus Kursänderung]]+anleihenkäufe[[#This Row],[Gewinn aus Zinsen]]+anleihenkäufe[[#This Row],[Gewinn aus Währungseffekten]])</f>
        <v/>
      </c>
      <c r="Z234" s="156" t="str">
        <f>IF(anleihenkäufe[[#This Row],[Verkauft am]]="","",anleihenkäufe[[#This Row],[Gewinn gesamt]]/anleihenkäufe[[#This Row],[Dirty Kaufpreis]])</f>
        <v/>
      </c>
    </row>
    <row r="235" spans="1:26" ht="14.25" x14ac:dyDescent="0.2">
      <c r="A235" s="9">
        <v>45385</v>
      </c>
      <c r="B235" s="1" t="s">
        <v>262</v>
      </c>
      <c r="C235" s="1" t="s">
        <v>0</v>
      </c>
      <c r="D235" s="4">
        <f t="shared" si="9"/>
        <v>1924.6849315068494</v>
      </c>
      <c r="E235" s="4">
        <f t="shared" si="10"/>
        <v>1920</v>
      </c>
      <c r="F235" s="1">
        <v>2</v>
      </c>
      <c r="G235" s="1">
        <v>1000</v>
      </c>
      <c r="H235" s="7">
        <v>0.96</v>
      </c>
      <c r="I235" s="4">
        <f t="shared" si="11"/>
        <v>4.6849315068493151</v>
      </c>
      <c r="J235" s="7">
        <v>9.5000000000000001E-2</v>
      </c>
      <c r="K235" s="58">
        <v>1</v>
      </c>
      <c r="L235" s="1" t="s">
        <v>925</v>
      </c>
      <c r="M235" s="1">
        <v>4</v>
      </c>
      <c r="N235" s="9">
        <v>45376</v>
      </c>
      <c r="O235" s="1" t="s">
        <v>122</v>
      </c>
      <c r="P235" s="1" t="s">
        <v>39</v>
      </c>
      <c r="Q235" s="1" t="s">
        <v>263</v>
      </c>
      <c r="R235" s="1" t="s">
        <v>264</v>
      </c>
      <c r="S235" s="1" t="b">
        <v>1</v>
      </c>
      <c r="T235" s="9"/>
      <c r="U235" s="4"/>
      <c r="V235" s="4"/>
      <c r="W235" s="4"/>
      <c r="X235" s="4"/>
      <c r="Y235" s="4" t="str">
        <f>IF(anleihenkäufe[[#This Row],[Verkauft am]]="","",anleihenkäufe[[#This Row],[Gewinn aus Kursänderung]]+anleihenkäufe[[#This Row],[Gewinn aus Zinsen]]+anleihenkäufe[[#This Row],[Gewinn aus Währungseffekten]])</f>
        <v/>
      </c>
      <c r="Z235" s="156" t="str">
        <f>IF(anleihenkäufe[[#This Row],[Verkauft am]]="","",anleihenkäufe[[#This Row],[Gewinn gesamt]]/anleihenkäufe[[#This Row],[Dirty Kaufpreis]])</f>
        <v/>
      </c>
    </row>
    <row r="236" spans="1:26" ht="14.25" x14ac:dyDescent="0.2">
      <c r="A236" s="9">
        <v>45385</v>
      </c>
      <c r="B236" s="1" t="s">
        <v>275</v>
      </c>
      <c r="C236" s="1" t="s">
        <v>2</v>
      </c>
      <c r="D236" s="4">
        <f t="shared" si="9"/>
        <v>2208.7232876712328</v>
      </c>
      <c r="E236" s="4">
        <f t="shared" si="10"/>
        <v>2167.6</v>
      </c>
      <c r="F236" s="1">
        <v>2</v>
      </c>
      <c r="G236" s="1">
        <v>1000</v>
      </c>
      <c r="H236" s="7">
        <v>1.0837999999999999</v>
      </c>
      <c r="I236" s="4">
        <f t="shared" si="11"/>
        <v>41.123287671232873</v>
      </c>
      <c r="J236" s="7">
        <v>9.5000000000000001E-2</v>
      </c>
      <c r="K236" s="58">
        <v>1</v>
      </c>
      <c r="L236" s="1" t="s">
        <v>925</v>
      </c>
      <c r="M236" s="1">
        <v>2</v>
      </c>
      <c r="N236" s="9">
        <v>45306</v>
      </c>
      <c r="O236" s="1" t="s">
        <v>276</v>
      </c>
      <c r="P236" s="1" t="s">
        <v>39</v>
      </c>
      <c r="Q236" s="1" t="s">
        <v>277</v>
      </c>
      <c r="R236" s="1" t="s">
        <v>278</v>
      </c>
      <c r="S236" s="1" t="b">
        <v>1</v>
      </c>
      <c r="T236" s="9"/>
      <c r="U236" s="4"/>
      <c r="V236" s="4"/>
      <c r="W236" s="4"/>
      <c r="X236" s="4"/>
      <c r="Y236" s="4" t="str">
        <f>IF(anleihenkäufe[[#This Row],[Verkauft am]]="","",anleihenkäufe[[#This Row],[Gewinn aus Kursänderung]]+anleihenkäufe[[#This Row],[Gewinn aus Zinsen]]+anleihenkäufe[[#This Row],[Gewinn aus Währungseffekten]])</f>
        <v/>
      </c>
      <c r="Z236" s="156" t="str">
        <f>IF(anleihenkäufe[[#This Row],[Verkauft am]]="","",anleihenkäufe[[#This Row],[Gewinn gesamt]]/anleihenkäufe[[#This Row],[Dirty Kaufpreis]])</f>
        <v/>
      </c>
    </row>
    <row r="237" spans="1:26" ht="14.25" x14ac:dyDescent="0.2">
      <c r="A237" s="9">
        <v>45385</v>
      </c>
      <c r="B237" s="1" t="s">
        <v>171</v>
      </c>
      <c r="C237" s="1" t="s">
        <v>0</v>
      </c>
      <c r="D237" s="4">
        <f t="shared" si="9"/>
        <v>2256.7917808219177</v>
      </c>
      <c r="E237" s="4">
        <f t="shared" si="10"/>
        <v>2188.6</v>
      </c>
      <c r="F237" s="1">
        <v>2</v>
      </c>
      <c r="G237" s="1">
        <v>1000</v>
      </c>
      <c r="H237" s="7">
        <v>1.0943000000000001</v>
      </c>
      <c r="I237" s="4">
        <f t="shared" si="11"/>
        <v>68.191780821917803</v>
      </c>
      <c r="J237" s="7">
        <v>9.5000000000000001E-2</v>
      </c>
      <c r="K237" s="58">
        <v>1</v>
      </c>
      <c r="L237" s="1" t="s">
        <v>925</v>
      </c>
      <c r="M237" s="1">
        <v>2</v>
      </c>
      <c r="N237" s="9">
        <v>45254</v>
      </c>
      <c r="O237" s="1" t="s">
        <v>170</v>
      </c>
      <c r="P237" s="1" t="s">
        <v>61</v>
      </c>
      <c r="Q237" s="1" t="s">
        <v>260</v>
      </c>
      <c r="R237" s="1" t="s">
        <v>261</v>
      </c>
      <c r="S237" s="1" t="b">
        <v>1</v>
      </c>
      <c r="T237" s="9"/>
      <c r="U237" s="4"/>
      <c r="V237" s="4"/>
      <c r="W237" s="4"/>
      <c r="X237" s="4"/>
      <c r="Y237" s="4" t="str">
        <f>IF(anleihenkäufe[[#This Row],[Verkauft am]]="","",anleihenkäufe[[#This Row],[Gewinn aus Kursänderung]]+anleihenkäufe[[#This Row],[Gewinn aus Zinsen]]+anleihenkäufe[[#This Row],[Gewinn aus Währungseffekten]])</f>
        <v/>
      </c>
      <c r="Z237" s="156" t="str">
        <f>IF(anleihenkäufe[[#This Row],[Verkauft am]]="","",anleihenkäufe[[#This Row],[Gewinn gesamt]]/anleihenkäufe[[#This Row],[Dirty Kaufpreis]])</f>
        <v/>
      </c>
    </row>
    <row r="238" spans="1:26" ht="14.25" x14ac:dyDescent="0.2">
      <c r="A238" s="9">
        <v>45385</v>
      </c>
      <c r="B238" s="1" t="s">
        <v>257</v>
      </c>
      <c r="C238" s="1" t="s">
        <v>1</v>
      </c>
      <c r="D238" s="4">
        <f t="shared" si="9"/>
        <v>2070.2767123287672</v>
      </c>
      <c r="E238" s="4">
        <f t="shared" si="10"/>
        <v>1997.4</v>
      </c>
      <c r="F238" s="1">
        <v>2</v>
      </c>
      <c r="G238" s="1">
        <v>1000</v>
      </c>
      <c r="H238" s="7">
        <v>0.99870000000000003</v>
      </c>
      <c r="I238" s="4">
        <f t="shared" si="11"/>
        <v>72.876712328767127</v>
      </c>
      <c r="J238" s="7">
        <v>9.5000000000000001E-2</v>
      </c>
      <c r="K238" s="58">
        <v>1</v>
      </c>
      <c r="L238" s="1" t="s">
        <v>925</v>
      </c>
      <c r="M238" s="1">
        <v>1</v>
      </c>
      <c r="N238" s="9">
        <v>45245</v>
      </c>
      <c r="O238" s="1" t="s">
        <v>56</v>
      </c>
      <c r="P238" s="1" t="s">
        <v>52</v>
      </c>
      <c r="Q238" s="1" t="s">
        <v>258</v>
      </c>
      <c r="R238" s="1" t="s">
        <v>259</v>
      </c>
      <c r="S238" s="1" t="b">
        <v>1</v>
      </c>
      <c r="T238" s="9"/>
      <c r="U238" s="4"/>
      <c r="V238" s="4"/>
      <c r="W238" s="4"/>
      <c r="X238" s="4"/>
      <c r="Y238" s="4" t="str">
        <f>IF(anleihenkäufe[[#This Row],[Verkauft am]]="","",anleihenkäufe[[#This Row],[Gewinn aus Kursänderung]]+anleihenkäufe[[#This Row],[Gewinn aus Zinsen]]+anleihenkäufe[[#This Row],[Gewinn aus Währungseffekten]])</f>
        <v/>
      </c>
      <c r="Z238" s="156" t="str">
        <f>IF(anleihenkäufe[[#This Row],[Verkauft am]]="","",anleihenkäufe[[#This Row],[Gewinn gesamt]]/anleihenkäufe[[#This Row],[Dirty Kaufpreis]])</f>
        <v/>
      </c>
    </row>
    <row r="239" spans="1:26" ht="14.25" x14ac:dyDescent="0.2">
      <c r="A239" s="9">
        <v>45385</v>
      </c>
      <c r="B239" s="1" t="s">
        <v>71</v>
      </c>
      <c r="C239" s="1" t="s">
        <v>0</v>
      </c>
      <c r="D239" s="4">
        <f t="shared" si="9"/>
        <v>1904.4520547945206</v>
      </c>
      <c r="E239" s="4">
        <f t="shared" si="10"/>
        <v>1817</v>
      </c>
      <c r="F239" s="1">
        <v>2</v>
      </c>
      <c r="G239" s="1">
        <v>1000</v>
      </c>
      <c r="H239" s="7">
        <v>0.90849999999999997</v>
      </c>
      <c r="I239" s="4">
        <f t="shared" si="11"/>
        <v>87.452054794520549</v>
      </c>
      <c r="J239" s="7">
        <v>9.5000000000000001E-2</v>
      </c>
      <c r="K239" s="58">
        <v>1</v>
      </c>
      <c r="L239" s="1" t="s">
        <v>925</v>
      </c>
      <c r="M239" s="1">
        <v>2</v>
      </c>
      <c r="N239" s="9">
        <v>45217</v>
      </c>
      <c r="O239" s="1" t="s">
        <v>35</v>
      </c>
      <c r="P239" s="1" t="s">
        <v>91</v>
      </c>
      <c r="Q239" s="1" t="s">
        <v>265</v>
      </c>
      <c r="R239" s="56" t="s">
        <v>266</v>
      </c>
      <c r="S239" s="1" t="b">
        <v>1</v>
      </c>
      <c r="T239" s="9"/>
      <c r="U239" s="4"/>
      <c r="V239" s="4"/>
      <c r="W239" s="4"/>
      <c r="X239" s="4"/>
      <c r="Y239" s="4" t="str">
        <f>IF(anleihenkäufe[[#This Row],[Verkauft am]]="","",anleihenkäufe[[#This Row],[Gewinn aus Kursänderung]]+anleihenkäufe[[#This Row],[Gewinn aus Zinsen]]+anleihenkäufe[[#This Row],[Gewinn aus Währungseffekten]])</f>
        <v/>
      </c>
      <c r="Z239" s="156" t="str">
        <f>IF(anleihenkäufe[[#This Row],[Verkauft am]]="","",anleihenkäufe[[#This Row],[Gewinn gesamt]]/anleihenkäufe[[#This Row],[Dirty Kaufpreis]])</f>
        <v/>
      </c>
    </row>
    <row r="240" spans="1:26" ht="14.25" x14ac:dyDescent="0.2">
      <c r="A240" s="9">
        <v>45385</v>
      </c>
      <c r="B240" s="1" t="s">
        <v>254</v>
      </c>
      <c r="C240" s="1" t="s">
        <v>3</v>
      </c>
      <c r="D240" s="4">
        <f t="shared" si="9"/>
        <v>1096.3013698630136</v>
      </c>
      <c r="E240" s="4">
        <f t="shared" si="10"/>
        <v>1000</v>
      </c>
      <c r="F240" s="1">
        <v>2</v>
      </c>
      <c r="G240" s="1">
        <v>1000</v>
      </c>
      <c r="H240" s="7">
        <v>0.5</v>
      </c>
      <c r="I240" s="4">
        <f t="shared" si="11"/>
        <v>96.301369863013704</v>
      </c>
      <c r="J240" s="7">
        <v>9.5000000000000001E-2</v>
      </c>
      <c r="K240" s="58">
        <v>1</v>
      </c>
      <c r="L240" s="1" t="s">
        <v>925</v>
      </c>
      <c r="M240" s="1">
        <v>1</v>
      </c>
      <c r="N240" s="9">
        <v>45200</v>
      </c>
      <c r="O240" s="1" t="s">
        <v>56</v>
      </c>
      <c r="P240" s="1" t="s">
        <v>52</v>
      </c>
      <c r="Q240" s="1" t="s">
        <v>255</v>
      </c>
      <c r="R240" s="1" t="s">
        <v>256</v>
      </c>
      <c r="S240" s="1" t="b">
        <v>1</v>
      </c>
      <c r="T240" s="9"/>
      <c r="U240" s="4"/>
      <c r="V240" s="4"/>
      <c r="W240" s="4"/>
      <c r="X240" s="4"/>
      <c r="Y240" s="4" t="str">
        <f>IF(anleihenkäufe[[#This Row],[Verkauft am]]="","",anleihenkäufe[[#This Row],[Gewinn aus Kursänderung]]+anleihenkäufe[[#This Row],[Gewinn aus Zinsen]]+anleihenkäufe[[#This Row],[Gewinn aus Währungseffekten]])</f>
        <v/>
      </c>
      <c r="Z240" s="156" t="str">
        <f>IF(anleihenkäufe[[#This Row],[Verkauft am]]="","",anleihenkäufe[[#This Row],[Gewinn gesamt]]/anleihenkäufe[[#This Row],[Dirty Kaufpreis]])</f>
        <v/>
      </c>
    </row>
    <row r="241" spans="1:26" ht="14.25" x14ac:dyDescent="0.2">
      <c r="A241" s="9">
        <v>45385</v>
      </c>
      <c r="B241" s="1" t="s">
        <v>251</v>
      </c>
      <c r="C241" s="1" t="s">
        <v>9</v>
      </c>
      <c r="D241" s="4">
        <f t="shared" si="9"/>
        <v>1934.8546301369863</v>
      </c>
      <c r="E241" s="4">
        <f t="shared" si="10"/>
        <v>1910</v>
      </c>
      <c r="F241" s="1">
        <v>2</v>
      </c>
      <c r="G241" s="1">
        <v>1000</v>
      </c>
      <c r="H241" s="7">
        <v>0.95499999999999996</v>
      </c>
      <c r="I241" s="4">
        <f t="shared" si="11"/>
        <v>24.854630136986302</v>
      </c>
      <c r="J241" s="7">
        <v>9.6509999999999999E-2</v>
      </c>
      <c r="K241" s="58">
        <v>1</v>
      </c>
      <c r="L241" s="1" t="s">
        <v>925</v>
      </c>
      <c r="M241" s="1">
        <v>4</v>
      </c>
      <c r="N241" s="9">
        <v>45338</v>
      </c>
      <c r="O241" s="1" t="s">
        <v>65</v>
      </c>
      <c r="P241" s="1" t="s">
        <v>44</v>
      </c>
      <c r="Q241" s="1" t="s">
        <v>252</v>
      </c>
      <c r="R241" s="1" t="s">
        <v>253</v>
      </c>
      <c r="S241" s="1" t="b">
        <v>1</v>
      </c>
      <c r="T241" s="9"/>
      <c r="U241" s="4"/>
      <c r="V241" s="4"/>
      <c r="W241" s="4"/>
      <c r="X241" s="4"/>
      <c r="Y241" s="4" t="str">
        <f>IF(anleihenkäufe[[#This Row],[Verkauft am]]="","",anleihenkäufe[[#This Row],[Gewinn aus Kursänderung]]+anleihenkäufe[[#This Row],[Gewinn aus Zinsen]]+anleihenkäufe[[#This Row],[Gewinn aus Währungseffekten]])</f>
        <v/>
      </c>
      <c r="Z241" s="156" t="str">
        <f>IF(anleihenkäufe[[#This Row],[Verkauft am]]="","",anleihenkäufe[[#This Row],[Gewinn gesamt]]/anleihenkäufe[[#This Row],[Dirty Kaufpreis]])</f>
        <v/>
      </c>
    </row>
    <row r="242" spans="1:26" ht="14.25" x14ac:dyDescent="0.2">
      <c r="A242" s="9">
        <v>45385</v>
      </c>
      <c r="B242" s="1" t="s">
        <v>269</v>
      </c>
      <c r="C242" s="1" t="s">
        <v>1</v>
      </c>
      <c r="D242" s="4">
        <f t="shared" si="9"/>
        <v>2133.2246575342465</v>
      </c>
      <c r="E242" s="4">
        <f t="shared" si="10"/>
        <v>2040.8</v>
      </c>
      <c r="F242" s="1">
        <v>2</v>
      </c>
      <c r="G242" s="1">
        <v>1000</v>
      </c>
      <c r="H242" s="7">
        <v>1.0204</v>
      </c>
      <c r="I242" s="4">
        <f t="shared" si="11"/>
        <v>92.424657534246577</v>
      </c>
      <c r="J242" s="7">
        <v>9.7500000000000003E-2</v>
      </c>
      <c r="K242" s="58">
        <v>1</v>
      </c>
      <c r="L242" s="1" t="s">
        <v>925</v>
      </c>
      <c r="M242" s="1">
        <v>2</v>
      </c>
      <c r="N242" s="9">
        <v>45212</v>
      </c>
      <c r="O242" s="1" t="s">
        <v>102</v>
      </c>
      <c r="P242" s="1" t="s">
        <v>39</v>
      </c>
      <c r="Q242" s="1" t="s">
        <v>270</v>
      </c>
      <c r="R242" s="1" t="s">
        <v>271</v>
      </c>
      <c r="S242" s="1" t="b">
        <v>1</v>
      </c>
      <c r="T242" s="9"/>
      <c r="U242" s="4"/>
      <c r="V242" s="4"/>
      <c r="W242" s="4"/>
      <c r="X242" s="4"/>
      <c r="Y242" s="4" t="str">
        <f>IF(anleihenkäufe[[#This Row],[Verkauft am]]="","",anleihenkäufe[[#This Row],[Gewinn aus Kursänderung]]+anleihenkäufe[[#This Row],[Gewinn aus Zinsen]]+anleihenkäufe[[#This Row],[Gewinn aus Währungseffekten]])</f>
        <v/>
      </c>
      <c r="Z242" s="156" t="str">
        <f>IF(anleihenkäufe[[#This Row],[Verkauft am]]="","",anleihenkäufe[[#This Row],[Gewinn gesamt]]/anleihenkäufe[[#This Row],[Dirty Kaufpreis]])</f>
        <v/>
      </c>
    </row>
    <row r="243" spans="1:26" ht="14.25" x14ac:dyDescent="0.2">
      <c r="A243" s="9">
        <v>45385</v>
      </c>
      <c r="B243" s="1" t="s">
        <v>248</v>
      </c>
      <c r="C243" s="1" t="s">
        <v>0</v>
      </c>
      <c r="D243" s="4">
        <f t="shared" si="9"/>
        <v>2117.2575342465752</v>
      </c>
      <c r="E243" s="4">
        <f t="shared" si="10"/>
        <v>1966.6</v>
      </c>
      <c r="F243" s="1">
        <v>2</v>
      </c>
      <c r="G243" s="1">
        <v>1000</v>
      </c>
      <c r="H243" s="7">
        <v>0.98329999999999995</v>
      </c>
      <c r="I243" s="4">
        <f t="shared" si="11"/>
        <v>150.65753424657535</v>
      </c>
      <c r="J243" s="7">
        <v>9.7500000000000003E-2</v>
      </c>
      <c r="K243" s="58">
        <v>1</v>
      </c>
      <c r="L243" s="1" t="s">
        <v>925</v>
      </c>
      <c r="M243" s="1">
        <v>1</v>
      </c>
      <c r="N243" s="9">
        <v>45103</v>
      </c>
      <c r="O243" s="1" t="s">
        <v>183</v>
      </c>
      <c r="P243" s="1" t="s">
        <v>44</v>
      </c>
      <c r="Q243" s="1" t="s">
        <v>249</v>
      </c>
      <c r="R243" s="1" t="s">
        <v>250</v>
      </c>
      <c r="S243" s="1" t="b">
        <v>1</v>
      </c>
      <c r="T243" s="9"/>
      <c r="U243" s="4"/>
      <c r="V243" s="4"/>
      <c r="W243" s="4"/>
      <c r="X243" s="4"/>
      <c r="Y243" s="4" t="str">
        <f>IF(anleihenkäufe[[#This Row],[Verkauft am]]="","",anleihenkäufe[[#This Row],[Gewinn aus Kursänderung]]+anleihenkäufe[[#This Row],[Gewinn aus Zinsen]]+anleihenkäufe[[#This Row],[Gewinn aus Währungseffekten]])</f>
        <v/>
      </c>
      <c r="Z243" s="156" t="str">
        <f>IF(anleihenkäufe[[#This Row],[Verkauft am]]="","",anleihenkäufe[[#This Row],[Gewinn gesamt]]/anleihenkäufe[[#This Row],[Dirty Kaufpreis]])</f>
        <v/>
      </c>
    </row>
    <row r="244" spans="1:26" ht="14.25" x14ac:dyDescent="0.2">
      <c r="A244" s="9">
        <v>45385</v>
      </c>
      <c r="B244" s="1" t="s">
        <v>244</v>
      </c>
      <c r="C244" s="1" t="s">
        <v>0</v>
      </c>
      <c r="D244" s="4">
        <f t="shared" si="9"/>
        <v>2236.1369863013697</v>
      </c>
      <c r="E244" s="4">
        <f t="shared" si="10"/>
        <v>2129</v>
      </c>
      <c r="F244" s="1">
        <v>2</v>
      </c>
      <c r="G244" s="1">
        <v>1000</v>
      </c>
      <c r="H244" s="7">
        <v>1.0645</v>
      </c>
      <c r="I244" s="4">
        <f t="shared" si="11"/>
        <v>107.13698630136986</v>
      </c>
      <c r="J244" s="7">
        <v>9.8750000000000004E-2</v>
      </c>
      <c r="K244" s="58">
        <v>1</v>
      </c>
      <c r="L244" s="1" t="s">
        <v>925</v>
      </c>
      <c r="M244" s="1">
        <v>1</v>
      </c>
      <c r="N244" s="9">
        <v>45187</v>
      </c>
      <c r="O244" s="1" t="s">
        <v>245</v>
      </c>
      <c r="P244" s="1" t="s">
        <v>57</v>
      </c>
      <c r="Q244" s="1" t="s">
        <v>246</v>
      </c>
      <c r="R244" s="1" t="s">
        <v>247</v>
      </c>
      <c r="S244" s="1" t="b">
        <v>1</v>
      </c>
      <c r="T244" s="9"/>
      <c r="U244" s="4"/>
      <c r="V244" s="4"/>
      <c r="W244" s="4"/>
      <c r="X244" s="4"/>
      <c r="Y244" s="4" t="str">
        <f>IF(anleihenkäufe[[#This Row],[Verkauft am]]="","",anleihenkäufe[[#This Row],[Gewinn aus Kursänderung]]+anleihenkäufe[[#This Row],[Gewinn aus Zinsen]]+anleihenkäufe[[#This Row],[Gewinn aus Währungseffekten]])</f>
        <v/>
      </c>
      <c r="Z244" s="156" t="str">
        <f>IF(anleihenkäufe[[#This Row],[Verkauft am]]="","",anleihenkäufe[[#This Row],[Gewinn gesamt]]/anleihenkäufe[[#This Row],[Dirty Kaufpreis]])</f>
        <v/>
      </c>
    </row>
    <row r="245" spans="1:26" ht="14.25" x14ac:dyDescent="0.2">
      <c r="A245" s="9">
        <v>45385</v>
      </c>
      <c r="B245" s="1" t="s">
        <v>242</v>
      </c>
      <c r="C245" s="1" t="s">
        <v>2</v>
      </c>
      <c r="D245" s="4">
        <f t="shared" si="9"/>
        <v>1978.1240547945204</v>
      </c>
      <c r="E245" s="4">
        <f t="shared" si="10"/>
        <v>1971.6</v>
      </c>
      <c r="F245" s="1">
        <v>2</v>
      </c>
      <c r="G245" s="1">
        <v>1000</v>
      </c>
      <c r="H245" s="7">
        <v>0.98580000000000001</v>
      </c>
      <c r="I245" s="4">
        <f t="shared" si="11"/>
        <v>6.5240547945205476</v>
      </c>
      <c r="J245" s="7">
        <v>9.9220000000000003E-2</v>
      </c>
      <c r="K245" s="58">
        <v>1</v>
      </c>
      <c r="L245" s="1" t="s">
        <v>925</v>
      </c>
      <c r="M245" s="1">
        <v>4</v>
      </c>
      <c r="N245" s="9">
        <v>45373</v>
      </c>
      <c r="O245" s="1" t="s">
        <v>122</v>
      </c>
      <c r="P245" s="1" t="s">
        <v>61</v>
      </c>
      <c r="Q245" s="1" t="s">
        <v>243</v>
      </c>
      <c r="R245" s="56" t="s">
        <v>1774</v>
      </c>
      <c r="S245" s="1" t="b">
        <v>1</v>
      </c>
      <c r="T245" s="9"/>
      <c r="U245" s="4"/>
      <c r="V245" s="4"/>
      <c r="W245" s="4"/>
      <c r="X245" s="4"/>
      <c r="Y245" s="4" t="str">
        <f>IF(anleihenkäufe[[#This Row],[Verkauft am]]="","",anleihenkäufe[[#This Row],[Gewinn aus Kursänderung]]+anleihenkäufe[[#This Row],[Gewinn aus Zinsen]]+anleihenkäufe[[#This Row],[Gewinn aus Währungseffekten]])</f>
        <v/>
      </c>
      <c r="Z245" s="156" t="str">
        <f>IF(anleihenkäufe[[#This Row],[Verkauft am]]="","",anleihenkäufe[[#This Row],[Gewinn gesamt]]/anleihenkäufe[[#This Row],[Dirty Kaufpreis]])</f>
        <v/>
      </c>
    </row>
    <row r="246" spans="1:26" ht="14.25" x14ac:dyDescent="0.2">
      <c r="A246" s="9">
        <v>45385</v>
      </c>
      <c r="B246" s="1" t="s">
        <v>230</v>
      </c>
      <c r="C246" s="1" t="s">
        <v>7</v>
      </c>
      <c r="D246" s="4">
        <f t="shared" si="9"/>
        <v>1882.1917808219177</v>
      </c>
      <c r="E246" s="4">
        <f t="shared" si="10"/>
        <v>1880</v>
      </c>
      <c r="F246" s="1">
        <v>2</v>
      </c>
      <c r="G246" s="1">
        <v>1000</v>
      </c>
      <c r="H246" s="7">
        <v>0.94</v>
      </c>
      <c r="I246" s="4">
        <f t="shared" si="11"/>
        <v>2.1917808219178081</v>
      </c>
      <c r="J246" s="7">
        <v>0.1</v>
      </c>
      <c r="K246" s="58">
        <v>1</v>
      </c>
      <c r="L246" s="1" t="s">
        <v>925</v>
      </c>
      <c r="M246" s="1">
        <v>12</v>
      </c>
      <c r="N246" s="9">
        <v>45381</v>
      </c>
      <c r="O246" s="1" t="s">
        <v>43</v>
      </c>
      <c r="P246" s="1" t="s">
        <v>39</v>
      </c>
      <c r="Q246" s="1" t="s">
        <v>231</v>
      </c>
      <c r="R246" s="1" t="s">
        <v>232</v>
      </c>
      <c r="S246" s="1" t="b">
        <v>1</v>
      </c>
      <c r="T246" s="9"/>
      <c r="U246" s="4"/>
      <c r="V246" s="4"/>
      <c r="W246" s="4"/>
      <c r="X246" s="4"/>
      <c r="Y246" s="4" t="str">
        <f>IF(anleihenkäufe[[#This Row],[Verkauft am]]="","",anleihenkäufe[[#This Row],[Gewinn aus Kursänderung]]+anleihenkäufe[[#This Row],[Gewinn aus Zinsen]]+anleihenkäufe[[#This Row],[Gewinn aus Währungseffekten]])</f>
        <v/>
      </c>
      <c r="Z246" s="156" t="str">
        <f>IF(anleihenkäufe[[#This Row],[Verkauft am]]="","",anleihenkäufe[[#This Row],[Gewinn gesamt]]/anleihenkäufe[[#This Row],[Dirty Kaufpreis]])</f>
        <v/>
      </c>
    </row>
    <row r="247" spans="1:26" ht="14.25" x14ac:dyDescent="0.2">
      <c r="A247" s="9">
        <v>45385</v>
      </c>
      <c r="B247" s="1" t="s">
        <v>227</v>
      </c>
      <c r="C247" s="1" t="s">
        <v>0</v>
      </c>
      <c r="D247" s="4">
        <f t="shared" si="9"/>
        <v>2019.1780821917807</v>
      </c>
      <c r="E247" s="4">
        <f t="shared" si="10"/>
        <v>2000</v>
      </c>
      <c r="F247" s="1">
        <v>2</v>
      </c>
      <c r="G247" s="1">
        <v>1000</v>
      </c>
      <c r="H247" s="7">
        <v>1</v>
      </c>
      <c r="I247" s="4">
        <f t="shared" si="11"/>
        <v>19.17808219178082</v>
      </c>
      <c r="J247" s="7">
        <v>0.1</v>
      </c>
      <c r="K247" s="58">
        <v>1</v>
      </c>
      <c r="L247" s="1" t="s">
        <v>925</v>
      </c>
      <c r="M247" s="1">
        <v>1</v>
      </c>
      <c r="N247" s="9">
        <v>45350</v>
      </c>
      <c r="O247" s="1" t="s">
        <v>65</v>
      </c>
      <c r="P247" s="1" t="s">
        <v>39</v>
      </c>
      <c r="Q247" s="1" t="s">
        <v>228</v>
      </c>
      <c r="R247" s="1" t="s">
        <v>229</v>
      </c>
      <c r="S247" s="1" t="b">
        <v>1</v>
      </c>
      <c r="T247" s="9"/>
      <c r="U247" s="4"/>
      <c r="V247" s="4"/>
      <c r="W247" s="4"/>
      <c r="X247" s="4"/>
      <c r="Y247" s="4" t="str">
        <f>IF(anleihenkäufe[[#This Row],[Verkauft am]]="","",anleihenkäufe[[#This Row],[Gewinn aus Kursänderung]]+anleihenkäufe[[#This Row],[Gewinn aus Zinsen]]+anleihenkäufe[[#This Row],[Gewinn aus Währungseffekten]])</f>
        <v/>
      </c>
      <c r="Z247" s="156" t="str">
        <f>IF(anleihenkäufe[[#This Row],[Verkauft am]]="","",anleihenkäufe[[#This Row],[Gewinn gesamt]]/anleihenkäufe[[#This Row],[Dirty Kaufpreis]])</f>
        <v/>
      </c>
    </row>
    <row r="248" spans="1:26" ht="14.25" x14ac:dyDescent="0.2">
      <c r="A248" s="9">
        <v>45385</v>
      </c>
      <c r="B248" s="1" t="s">
        <v>233</v>
      </c>
      <c r="C248" s="1" t="s">
        <v>0</v>
      </c>
      <c r="D248" s="4">
        <f t="shared" si="9"/>
        <v>2249.8054794520549</v>
      </c>
      <c r="E248" s="4">
        <f t="shared" si="10"/>
        <v>2184.6</v>
      </c>
      <c r="F248" s="1">
        <v>2</v>
      </c>
      <c r="G248" s="1">
        <v>1000</v>
      </c>
      <c r="H248" s="7">
        <v>1.0923</v>
      </c>
      <c r="I248" s="4">
        <f t="shared" si="11"/>
        <v>65.205479452054789</v>
      </c>
      <c r="J248" s="7">
        <v>0.1</v>
      </c>
      <c r="K248" s="58">
        <v>1</v>
      </c>
      <c r="L248" s="1" t="s">
        <v>925</v>
      </c>
      <c r="M248" s="1">
        <v>1</v>
      </c>
      <c r="N248" s="9">
        <v>45266</v>
      </c>
      <c r="O248" s="1" t="s">
        <v>80</v>
      </c>
      <c r="P248" s="1" t="s">
        <v>61</v>
      </c>
      <c r="Q248" s="1" t="s">
        <v>234</v>
      </c>
      <c r="R248" s="1" t="s">
        <v>235</v>
      </c>
      <c r="S248" s="1" t="b">
        <v>1</v>
      </c>
      <c r="T248" s="9"/>
      <c r="U248" s="4"/>
      <c r="V248" s="4"/>
      <c r="W248" s="4"/>
      <c r="X248" s="4"/>
      <c r="Y248" s="4" t="str">
        <f>IF(anleihenkäufe[[#This Row],[Verkauft am]]="","",anleihenkäufe[[#This Row],[Gewinn aus Kursänderung]]+anleihenkäufe[[#This Row],[Gewinn aus Zinsen]]+anleihenkäufe[[#This Row],[Gewinn aus Währungseffekten]])</f>
        <v/>
      </c>
      <c r="Z248" s="156" t="str">
        <f>IF(anleihenkäufe[[#This Row],[Verkauft am]]="","",anleihenkäufe[[#This Row],[Gewinn gesamt]]/anleihenkäufe[[#This Row],[Dirty Kaufpreis]])</f>
        <v/>
      </c>
    </row>
    <row r="249" spans="1:26" ht="14.25" x14ac:dyDescent="0.2">
      <c r="A249" s="9">
        <v>45385</v>
      </c>
      <c r="B249" s="1" t="s">
        <v>236</v>
      </c>
      <c r="C249" s="1" t="s">
        <v>0</v>
      </c>
      <c r="D249" s="4">
        <f t="shared" si="9"/>
        <v>2329.6054794520551</v>
      </c>
      <c r="E249" s="4">
        <f t="shared" si="10"/>
        <v>2264.4</v>
      </c>
      <c r="F249" s="1">
        <v>2</v>
      </c>
      <c r="G249" s="1">
        <v>1000</v>
      </c>
      <c r="H249" s="7">
        <v>1.1322000000000001</v>
      </c>
      <c r="I249" s="4">
        <f t="shared" si="11"/>
        <v>65.205479452054789</v>
      </c>
      <c r="J249" s="7">
        <v>0.1</v>
      </c>
      <c r="K249" s="58">
        <v>1</v>
      </c>
      <c r="L249" s="1" t="s">
        <v>925</v>
      </c>
      <c r="M249" s="1">
        <v>1</v>
      </c>
      <c r="N249" s="9">
        <v>45266</v>
      </c>
      <c r="O249" s="1" t="s">
        <v>183</v>
      </c>
      <c r="P249" s="1" t="s">
        <v>91</v>
      </c>
      <c r="Q249" s="1" t="s">
        <v>237</v>
      </c>
      <c r="R249" s="1" t="s">
        <v>238</v>
      </c>
      <c r="S249" s="1" t="b">
        <v>1</v>
      </c>
      <c r="T249" s="9"/>
      <c r="U249" s="4"/>
      <c r="V249" s="4"/>
      <c r="W249" s="4"/>
      <c r="X249" s="4"/>
      <c r="Y249" s="4" t="str">
        <f>IF(anleihenkäufe[[#This Row],[Verkauft am]]="","",anleihenkäufe[[#This Row],[Gewinn aus Kursänderung]]+anleihenkäufe[[#This Row],[Gewinn aus Zinsen]]+anleihenkäufe[[#This Row],[Gewinn aus Währungseffekten]])</f>
        <v/>
      </c>
      <c r="Z249" s="156" t="str">
        <f>IF(anleihenkäufe[[#This Row],[Verkauft am]]="","",anleihenkäufe[[#This Row],[Gewinn gesamt]]/anleihenkäufe[[#This Row],[Dirty Kaufpreis]])</f>
        <v/>
      </c>
    </row>
    <row r="250" spans="1:26" ht="14.25" x14ac:dyDescent="0.2">
      <c r="A250" s="9">
        <v>45385</v>
      </c>
      <c r="B250" s="1" t="s">
        <v>239</v>
      </c>
      <c r="C250" s="1" t="s">
        <v>0</v>
      </c>
      <c r="D250" s="4">
        <f t="shared" si="9"/>
        <v>2058.5123287671231</v>
      </c>
      <c r="E250" s="4">
        <f t="shared" si="10"/>
        <v>1981.8</v>
      </c>
      <c r="F250" s="1">
        <v>2000</v>
      </c>
      <c r="G250" s="1">
        <v>1</v>
      </c>
      <c r="H250" s="7">
        <v>0.9909</v>
      </c>
      <c r="I250" s="4">
        <f t="shared" si="11"/>
        <v>76.712328767123296</v>
      </c>
      <c r="J250" s="7">
        <v>0.1</v>
      </c>
      <c r="K250" s="58">
        <v>1</v>
      </c>
      <c r="L250" s="1" t="s">
        <v>925</v>
      </c>
      <c r="M250" s="1">
        <v>2</v>
      </c>
      <c r="N250" s="9">
        <v>45245</v>
      </c>
      <c r="O250" s="1" t="s">
        <v>51</v>
      </c>
      <c r="P250" s="1" t="s">
        <v>109</v>
      </c>
      <c r="Q250" s="1" t="s">
        <v>240</v>
      </c>
      <c r="R250" s="1" t="s">
        <v>241</v>
      </c>
      <c r="S250" s="1" t="b">
        <v>1</v>
      </c>
      <c r="T250" s="9"/>
      <c r="U250" s="4"/>
      <c r="V250" s="4"/>
      <c r="W250" s="4"/>
      <c r="X250" s="4"/>
      <c r="Y250" s="4" t="str">
        <f>IF(anleihenkäufe[[#This Row],[Verkauft am]]="","",anleihenkäufe[[#This Row],[Gewinn aus Kursänderung]]+anleihenkäufe[[#This Row],[Gewinn aus Zinsen]]+anleihenkäufe[[#This Row],[Gewinn aus Währungseffekten]])</f>
        <v/>
      </c>
      <c r="Z250" s="156" t="str">
        <f>IF(anleihenkäufe[[#This Row],[Verkauft am]]="","",anleihenkäufe[[#This Row],[Gewinn gesamt]]/anleihenkäufe[[#This Row],[Dirty Kaufpreis]])</f>
        <v/>
      </c>
    </row>
    <row r="251" spans="1:26" ht="14.25" x14ac:dyDescent="0.2">
      <c r="A251" s="9">
        <v>45385</v>
      </c>
      <c r="B251" s="1" t="s">
        <v>224</v>
      </c>
      <c r="C251" s="1" t="s">
        <v>10</v>
      </c>
      <c r="D251" s="4">
        <f t="shared" si="9"/>
        <v>2019.5178082191781</v>
      </c>
      <c r="E251" s="4">
        <f t="shared" si="10"/>
        <v>1973.8</v>
      </c>
      <c r="F251" s="1">
        <v>2</v>
      </c>
      <c r="G251" s="1">
        <v>1000</v>
      </c>
      <c r="H251" s="7">
        <v>0.9869</v>
      </c>
      <c r="I251" s="4">
        <f t="shared" si="11"/>
        <v>45.717808219178082</v>
      </c>
      <c r="J251" s="7">
        <v>0.10175000000000001</v>
      </c>
      <c r="K251" s="58">
        <v>1</v>
      </c>
      <c r="L251" s="1" t="s">
        <v>925</v>
      </c>
      <c r="M251" s="1">
        <v>4</v>
      </c>
      <c r="N251" s="9">
        <v>45303</v>
      </c>
      <c r="O251" s="1" t="s">
        <v>56</v>
      </c>
      <c r="P251" s="1" t="s">
        <v>39</v>
      </c>
      <c r="Q251" s="1" t="s">
        <v>225</v>
      </c>
      <c r="R251" s="1" t="s">
        <v>226</v>
      </c>
      <c r="S251" s="1" t="b">
        <v>1</v>
      </c>
      <c r="T251" s="9"/>
      <c r="U251" s="4"/>
      <c r="V251" s="4"/>
      <c r="W251" s="4"/>
      <c r="X251" s="4"/>
      <c r="Y251" s="4" t="str">
        <f>IF(anleihenkäufe[[#This Row],[Verkauft am]]="","",anleihenkäufe[[#This Row],[Gewinn aus Kursänderung]]+anleihenkäufe[[#This Row],[Gewinn aus Zinsen]]+anleihenkäufe[[#This Row],[Gewinn aus Währungseffekten]])</f>
        <v/>
      </c>
      <c r="Z251" s="156" t="str">
        <f>IF(anleihenkäufe[[#This Row],[Verkauft am]]="","",anleihenkäufe[[#This Row],[Gewinn gesamt]]/anleihenkäufe[[#This Row],[Dirty Kaufpreis]])</f>
        <v/>
      </c>
    </row>
    <row r="252" spans="1:26" ht="14.25" x14ac:dyDescent="0.2">
      <c r="A252" s="9">
        <v>45385</v>
      </c>
      <c r="B252" s="1" t="s">
        <v>221</v>
      </c>
      <c r="C252" s="1" t="s">
        <v>0</v>
      </c>
      <c r="D252" s="4">
        <f t="shared" si="9"/>
        <v>1850.7698630136986</v>
      </c>
      <c r="E252" s="4">
        <f t="shared" si="10"/>
        <v>1806.3999999999999</v>
      </c>
      <c r="F252" s="1">
        <v>2</v>
      </c>
      <c r="G252" s="1">
        <v>1000</v>
      </c>
      <c r="H252" s="7">
        <v>0.90319999999999989</v>
      </c>
      <c r="I252" s="4">
        <f t="shared" si="11"/>
        <v>44.369863013698627</v>
      </c>
      <c r="J252" s="7">
        <v>0.10249999999999999</v>
      </c>
      <c r="K252" s="58">
        <v>1</v>
      </c>
      <c r="L252" s="1" t="s">
        <v>925</v>
      </c>
      <c r="M252" s="1">
        <v>2</v>
      </c>
      <c r="N252" s="9">
        <v>45306</v>
      </c>
      <c r="O252" s="1" t="s">
        <v>122</v>
      </c>
      <c r="P252" s="1" t="s">
        <v>52</v>
      </c>
      <c r="Q252" s="1" t="s">
        <v>222</v>
      </c>
      <c r="R252" s="1" t="s">
        <v>223</v>
      </c>
      <c r="S252" s="1" t="b">
        <v>1</v>
      </c>
      <c r="T252" s="9"/>
      <c r="U252" s="4"/>
      <c r="V252" s="4"/>
      <c r="W252" s="4"/>
      <c r="X252" s="4"/>
      <c r="Y252" s="4" t="str">
        <f>IF(anleihenkäufe[[#This Row],[Verkauft am]]="","",anleihenkäufe[[#This Row],[Gewinn aus Kursänderung]]+anleihenkäufe[[#This Row],[Gewinn aus Zinsen]]+anleihenkäufe[[#This Row],[Gewinn aus Währungseffekten]])</f>
        <v/>
      </c>
      <c r="Z252" s="156" t="str">
        <f>IF(anleihenkäufe[[#This Row],[Verkauft am]]="","",anleihenkäufe[[#This Row],[Gewinn gesamt]]/anleihenkäufe[[#This Row],[Dirty Kaufpreis]])</f>
        <v/>
      </c>
    </row>
    <row r="253" spans="1:26" ht="14.25" x14ac:dyDescent="0.2">
      <c r="A253" s="9">
        <v>45385</v>
      </c>
      <c r="B253" s="1" t="s">
        <v>217</v>
      </c>
      <c r="C253" s="1" t="s">
        <v>0</v>
      </c>
      <c r="D253" s="4">
        <f t="shared" si="9"/>
        <v>2430.1232876712329</v>
      </c>
      <c r="E253" s="4">
        <f t="shared" si="10"/>
        <v>2265</v>
      </c>
      <c r="F253" s="1">
        <v>2</v>
      </c>
      <c r="G253" s="1">
        <v>1000</v>
      </c>
      <c r="H253" s="7">
        <v>1.1325000000000001</v>
      </c>
      <c r="I253" s="4">
        <f t="shared" si="11"/>
        <v>165.12328767123287</v>
      </c>
      <c r="J253" s="7">
        <v>0.10249999999999999</v>
      </c>
      <c r="K253" s="58">
        <v>1</v>
      </c>
      <c r="L253" s="1" t="s">
        <v>925</v>
      </c>
      <c r="M253" s="1">
        <v>1</v>
      </c>
      <c r="N253" s="9">
        <v>45091</v>
      </c>
      <c r="O253" s="1" t="s">
        <v>218</v>
      </c>
      <c r="P253" s="1" t="s">
        <v>61</v>
      </c>
      <c r="Q253" s="1" t="s">
        <v>219</v>
      </c>
      <c r="R253" s="1" t="s">
        <v>220</v>
      </c>
      <c r="S253" s="1" t="b">
        <v>1</v>
      </c>
      <c r="T253" s="9"/>
      <c r="U253" s="4"/>
      <c r="V253" s="4"/>
      <c r="W253" s="4"/>
      <c r="X253" s="4"/>
      <c r="Y253" s="4" t="str">
        <f>IF(anleihenkäufe[[#This Row],[Verkauft am]]="","",anleihenkäufe[[#This Row],[Gewinn aus Kursänderung]]+anleihenkäufe[[#This Row],[Gewinn aus Zinsen]]+anleihenkäufe[[#This Row],[Gewinn aus Währungseffekten]])</f>
        <v/>
      </c>
      <c r="Z253" s="156" t="str">
        <f>IF(anleihenkäufe[[#This Row],[Verkauft am]]="","",anleihenkäufe[[#This Row],[Gewinn gesamt]]/anleihenkäufe[[#This Row],[Dirty Kaufpreis]])</f>
        <v/>
      </c>
    </row>
    <row r="254" spans="1:26" ht="14.25" x14ac:dyDescent="0.2">
      <c r="A254" s="9">
        <v>45385</v>
      </c>
      <c r="B254" s="1" t="s">
        <v>213</v>
      </c>
      <c r="C254" s="1" t="s">
        <v>10</v>
      </c>
      <c r="D254" s="4">
        <f t="shared" si="9"/>
        <v>2158.201369863014</v>
      </c>
      <c r="E254" s="4">
        <f t="shared" si="10"/>
        <v>2147.4</v>
      </c>
      <c r="F254" s="1">
        <v>2</v>
      </c>
      <c r="G254" s="1">
        <v>1000</v>
      </c>
      <c r="H254" s="7">
        <v>1.0737000000000001</v>
      </c>
      <c r="I254" s="4">
        <f t="shared" si="11"/>
        <v>10.801369863013699</v>
      </c>
      <c r="J254" s="7">
        <v>0.10375</v>
      </c>
      <c r="K254" s="58">
        <v>1</v>
      </c>
      <c r="L254" s="1" t="s">
        <v>925</v>
      </c>
      <c r="M254" s="1">
        <v>2</v>
      </c>
      <c r="N254" s="9">
        <v>45366</v>
      </c>
      <c r="O254" s="1" t="s">
        <v>35</v>
      </c>
      <c r="P254" s="1" t="s">
        <v>39</v>
      </c>
      <c r="Q254" s="1" t="s">
        <v>214</v>
      </c>
      <c r="R254" s="1" t="s">
        <v>215</v>
      </c>
      <c r="S254" s="1" t="b">
        <v>1</v>
      </c>
      <c r="T254" s="9"/>
      <c r="U254" s="4"/>
      <c r="V254" s="4"/>
      <c r="W254" s="4"/>
      <c r="X254" s="4"/>
      <c r="Y254" s="4" t="str">
        <f>IF(anleihenkäufe[[#This Row],[Verkauft am]]="","",anleihenkäufe[[#This Row],[Gewinn aus Kursänderung]]+anleihenkäufe[[#This Row],[Gewinn aus Zinsen]]+anleihenkäufe[[#This Row],[Gewinn aus Währungseffekten]])</f>
        <v/>
      </c>
      <c r="Z254" s="156" t="str">
        <f>IF(anleihenkäufe[[#This Row],[Verkauft am]]="","",anleihenkäufe[[#This Row],[Gewinn gesamt]]/anleihenkäufe[[#This Row],[Dirty Kaufpreis]])</f>
        <v/>
      </c>
    </row>
    <row r="255" spans="1:26" ht="14.25" x14ac:dyDescent="0.2">
      <c r="A255" s="9">
        <v>45385</v>
      </c>
      <c r="B255" s="1" t="s">
        <v>42</v>
      </c>
      <c r="C255" s="1" t="s">
        <v>5</v>
      </c>
      <c r="D255" s="4">
        <f t="shared" si="9"/>
        <v>1981.9013698630138</v>
      </c>
      <c r="E255" s="4">
        <f t="shared" si="10"/>
        <v>1979.6000000000001</v>
      </c>
      <c r="F255" s="1">
        <v>2</v>
      </c>
      <c r="G255" s="1">
        <v>1000</v>
      </c>
      <c r="H255" s="7">
        <v>0.98980000000000001</v>
      </c>
      <c r="I255" s="4">
        <f t="shared" si="11"/>
        <v>2.3013698630136985</v>
      </c>
      <c r="J255" s="7">
        <v>0.105</v>
      </c>
      <c r="K255" s="58">
        <v>1</v>
      </c>
      <c r="L255" s="1" t="s">
        <v>925</v>
      </c>
      <c r="M255" s="1">
        <v>2</v>
      </c>
      <c r="N255" s="9">
        <v>45381</v>
      </c>
      <c r="O255" s="1" t="s">
        <v>43</v>
      </c>
      <c r="P255" s="1" t="s">
        <v>39</v>
      </c>
      <c r="Q255" s="1" t="s">
        <v>211</v>
      </c>
      <c r="R255" s="1" t="s">
        <v>212</v>
      </c>
      <c r="S255" s="1" t="b">
        <v>1</v>
      </c>
      <c r="T255" s="9"/>
      <c r="U255" s="4"/>
      <c r="V255" s="4"/>
      <c r="W255" s="4"/>
      <c r="X255" s="4"/>
      <c r="Y255" s="4" t="str">
        <f>IF(anleihenkäufe[[#This Row],[Verkauft am]]="","",anleihenkäufe[[#This Row],[Gewinn aus Kursänderung]]+anleihenkäufe[[#This Row],[Gewinn aus Zinsen]]+anleihenkäufe[[#This Row],[Gewinn aus Währungseffekten]])</f>
        <v/>
      </c>
      <c r="Z255" s="156" t="str">
        <f>IF(anleihenkäufe[[#This Row],[Verkauft am]]="","",anleihenkäufe[[#This Row],[Gewinn gesamt]]/anleihenkäufe[[#This Row],[Dirty Kaufpreis]])</f>
        <v/>
      </c>
    </row>
    <row r="256" spans="1:26" ht="14.25" x14ac:dyDescent="0.2">
      <c r="A256" s="9">
        <v>45385</v>
      </c>
      <c r="B256" s="1" t="s">
        <v>208</v>
      </c>
      <c r="C256" s="1" t="s">
        <v>0</v>
      </c>
      <c r="D256" s="4">
        <f t="shared" si="9"/>
        <v>2498.9123287671232</v>
      </c>
      <c r="E256" s="4">
        <f t="shared" si="10"/>
        <v>2352.1999999999998</v>
      </c>
      <c r="F256" s="1">
        <v>2</v>
      </c>
      <c r="G256" s="1">
        <v>1000</v>
      </c>
      <c r="H256" s="7">
        <v>1.1760999999999999</v>
      </c>
      <c r="I256" s="4">
        <f t="shared" si="11"/>
        <v>146.7123287671233</v>
      </c>
      <c r="J256" s="7">
        <v>0.105</v>
      </c>
      <c r="K256" s="58">
        <v>1</v>
      </c>
      <c r="L256" s="1" t="s">
        <v>925</v>
      </c>
      <c r="M256" s="1">
        <v>1</v>
      </c>
      <c r="N256" s="9">
        <v>45130</v>
      </c>
      <c r="O256" s="1" t="s">
        <v>170</v>
      </c>
      <c r="P256" s="1" t="s">
        <v>268</v>
      </c>
      <c r="Q256" s="1" t="s">
        <v>209</v>
      </c>
      <c r="R256" s="1" t="s">
        <v>210</v>
      </c>
      <c r="S256" s="1" t="b">
        <v>1</v>
      </c>
      <c r="T256" s="9"/>
      <c r="U256" s="4"/>
      <c r="V256" s="4"/>
      <c r="W256" s="4"/>
      <c r="X256" s="4"/>
      <c r="Y256" s="4" t="str">
        <f>IF(anleihenkäufe[[#This Row],[Verkauft am]]="","",anleihenkäufe[[#This Row],[Gewinn aus Kursänderung]]+anleihenkäufe[[#This Row],[Gewinn aus Zinsen]]+anleihenkäufe[[#This Row],[Gewinn aus Währungseffekten]])</f>
        <v/>
      </c>
      <c r="Z256" s="156" t="str">
        <f>IF(anleihenkäufe[[#This Row],[Verkauft am]]="","",anleihenkäufe[[#This Row],[Gewinn gesamt]]/anleihenkäufe[[#This Row],[Dirty Kaufpreis]])</f>
        <v/>
      </c>
    </row>
    <row r="257" spans="1:26" ht="14.25" x14ac:dyDescent="0.2">
      <c r="A257" s="9">
        <v>45385</v>
      </c>
      <c r="B257" s="1" t="s">
        <v>205</v>
      </c>
      <c r="C257" s="1" t="s">
        <v>9</v>
      </c>
      <c r="D257" s="4">
        <f t="shared" si="9"/>
        <v>2195.9739726027397</v>
      </c>
      <c r="E257" s="4">
        <f t="shared" si="10"/>
        <v>2123.1999999999998</v>
      </c>
      <c r="F257" s="1">
        <v>2</v>
      </c>
      <c r="G257" s="1">
        <v>1000</v>
      </c>
      <c r="H257" s="7">
        <v>1.0615999999999999</v>
      </c>
      <c r="I257" s="4">
        <f t="shared" si="11"/>
        <v>72.773972602739732</v>
      </c>
      <c r="J257" s="7">
        <v>0.10625</v>
      </c>
      <c r="K257" s="58">
        <v>1</v>
      </c>
      <c r="L257" s="1" t="s">
        <v>925</v>
      </c>
      <c r="M257" s="1">
        <v>2</v>
      </c>
      <c r="N257" s="9">
        <v>45260</v>
      </c>
      <c r="O257" s="1" t="s">
        <v>122</v>
      </c>
      <c r="P257" s="1" t="s">
        <v>57</v>
      </c>
      <c r="Q257" s="1" t="s">
        <v>206</v>
      </c>
      <c r="R257" s="1" t="s">
        <v>207</v>
      </c>
      <c r="S257" s="1" t="b">
        <v>1</v>
      </c>
      <c r="T257" s="9"/>
      <c r="U257" s="4"/>
      <c r="V257" s="4"/>
      <c r="W257" s="4"/>
      <c r="X257" s="4"/>
      <c r="Y257" s="4" t="str">
        <f>IF(anleihenkäufe[[#This Row],[Verkauft am]]="","",anleihenkäufe[[#This Row],[Gewinn aus Kursänderung]]+anleihenkäufe[[#This Row],[Gewinn aus Zinsen]]+anleihenkäufe[[#This Row],[Gewinn aus Währungseffekten]])</f>
        <v/>
      </c>
      <c r="Z257" s="156" t="str">
        <f>IF(anleihenkäufe[[#This Row],[Verkauft am]]="","",anleihenkäufe[[#This Row],[Gewinn gesamt]]/anleihenkäufe[[#This Row],[Dirty Kaufpreis]])</f>
        <v/>
      </c>
    </row>
    <row r="258" spans="1:26" ht="14.25" x14ac:dyDescent="0.2">
      <c r="A258" s="9">
        <v>45385</v>
      </c>
      <c r="B258" s="1" t="s">
        <v>144</v>
      </c>
      <c r="C258" s="1" t="s">
        <v>1</v>
      </c>
      <c r="D258" s="4">
        <f t="shared" ref="D258:D321" si="12">E258+I258</f>
        <v>2072.8865753424657</v>
      </c>
      <c r="E258" s="4">
        <f t="shared" ref="E258:E321" si="13">G258*H258*F258/K258</f>
        <v>2060</v>
      </c>
      <c r="F258" s="1">
        <v>2</v>
      </c>
      <c r="G258" s="1">
        <v>1000</v>
      </c>
      <c r="H258" s="7">
        <v>1.03</v>
      </c>
      <c r="I258" s="4">
        <f t="shared" ref="I258:I321" si="14">G258*J258*(A258-N258)/365*F258/K258</f>
        <v>12.886575342465752</v>
      </c>
      <c r="J258" s="7">
        <v>0.1069</v>
      </c>
      <c r="K258" s="58">
        <v>1</v>
      </c>
      <c r="L258" s="1" t="s">
        <v>925</v>
      </c>
      <c r="M258" s="1">
        <v>4</v>
      </c>
      <c r="N258" s="9">
        <v>45363</v>
      </c>
      <c r="O258" s="1" t="s">
        <v>51</v>
      </c>
      <c r="P258" s="1" t="s">
        <v>39</v>
      </c>
      <c r="Q258" s="1" t="s">
        <v>203</v>
      </c>
      <c r="R258" s="1" t="s">
        <v>204</v>
      </c>
      <c r="S258" s="1" t="b">
        <v>1</v>
      </c>
      <c r="T258" s="9"/>
      <c r="U258" s="4"/>
      <c r="V258" s="4"/>
      <c r="W258" s="4"/>
      <c r="X258" s="4"/>
      <c r="Y258" s="4" t="str">
        <f>IF(anleihenkäufe[[#This Row],[Verkauft am]]="","",anleihenkäufe[[#This Row],[Gewinn aus Kursänderung]]+anleihenkäufe[[#This Row],[Gewinn aus Zinsen]]+anleihenkäufe[[#This Row],[Gewinn aus Währungseffekten]])</f>
        <v/>
      </c>
      <c r="Z258" s="156" t="str">
        <f>IF(anleihenkäufe[[#This Row],[Verkauft am]]="","",anleihenkäufe[[#This Row],[Gewinn gesamt]]/anleihenkäufe[[#This Row],[Dirty Kaufpreis]])</f>
        <v/>
      </c>
    </row>
    <row r="259" spans="1:26" ht="14.25" x14ac:dyDescent="0.2">
      <c r="A259" s="9">
        <v>45385</v>
      </c>
      <c r="B259" s="1" t="s">
        <v>200</v>
      </c>
      <c r="C259" s="1" t="s">
        <v>0</v>
      </c>
      <c r="D259" s="4">
        <f t="shared" si="12"/>
        <v>2020.5243835616438</v>
      </c>
      <c r="E259" s="4">
        <f t="shared" si="13"/>
        <v>2000</v>
      </c>
      <c r="F259" s="1">
        <v>2</v>
      </c>
      <c r="G259" s="1">
        <v>1000</v>
      </c>
      <c r="H259" s="7">
        <v>1</v>
      </c>
      <c r="I259" s="4">
        <f t="shared" si="14"/>
        <v>20.524383561643837</v>
      </c>
      <c r="J259" s="7">
        <v>0.10702</v>
      </c>
      <c r="K259" s="58">
        <v>1</v>
      </c>
      <c r="L259" s="1" t="s">
        <v>925</v>
      </c>
      <c r="M259" s="1">
        <v>4</v>
      </c>
      <c r="N259" s="9">
        <v>45350</v>
      </c>
      <c r="O259" s="1" t="s">
        <v>35</v>
      </c>
      <c r="P259" s="1" t="s">
        <v>57</v>
      </c>
      <c r="Q259" s="1" t="s">
        <v>201</v>
      </c>
      <c r="R259" s="1" t="s">
        <v>202</v>
      </c>
      <c r="S259" s="1" t="b">
        <v>1</v>
      </c>
      <c r="T259" s="9"/>
      <c r="U259" s="4"/>
      <c r="V259" s="4"/>
      <c r="W259" s="4"/>
      <c r="X259" s="4"/>
      <c r="Y259" s="4" t="str">
        <f>IF(anleihenkäufe[[#This Row],[Verkauft am]]="","",anleihenkäufe[[#This Row],[Gewinn aus Kursänderung]]+anleihenkäufe[[#This Row],[Gewinn aus Zinsen]]+anleihenkäufe[[#This Row],[Gewinn aus Währungseffekten]])</f>
        <v/>
      </c>
      <c r="Z259" s="156" t="str">
        <f>IF(anleihenkäufe[[#This Row],[Verkauft am]]="","",anleihenkäufe[[#This Row],[Gewinn gesamt]]/anleihenkäufe[[#This Row],[Dirty Kaufpreis]])</f>
        <v/>
      </c>
    </row>
    <row r="260" spans="1:26" ht="14.25" x14ac:dyDescent="0.2">
      <c r="A260" s="9">
        <v>45385</v>
      </c>
      <c r="B260" s="1" t="s">
        <v>197</v>
      </c>
      <c r="C260" s="1" t="s">
        <v>0</v>
      </c>
      <c r="D260" s="4">
        <f t="shared" si="12"/>
        <v>2097.1158356164383</v>
      </c>
      <c r="E260" s="4">
        <f t="shared" si="13"/>
        <v>2090</v>
      </c>
      <c r="F260" s="1">
        <v>2</v>
      </c>
      <c r="G260" s="1">
        <v>1000</v>
      </c>
      <c r="H260" s="7">
        <v>1.0449999999999999</v>
      </c>
      <c r="I260" s="4">
        <f t="shared" si="14"/>
        <v>7.1158356164383552</v>
      </c>
      <c r="J260" s="7">
        <v>0.10822</v>
      </c>
      <c r="K260" s="58">
        <v>1</v>
      </c>
      <c r="L260" s="1" t="s">
        <v>925</v>
      </c>
      <c r="M260" s="1">
        <v>4</v>
      </c>
      <c r="N260" s="9">
        <v>45373</v>
      </c>
      <c r="O260" s="1" t="s">
        <v>78</v>
      </c>
      <c r="P260" s="1" t="s">
        <v>39</v>
      </c>
      <c r="Q260" s="1" t="s">
        <v>198</v>
      </c>
      <c r="R260" s="1" t="s">
        <v>199</v>
      </c>
      <c r="S260" s="1" t="b">
        <v>1</v>
      </c>
      <c r="T260" s="9"/>
      <c r="U260" s="4"/>
      <c r="V260" s="4"/>
      <c r="W260" s="4"/>
      <c r="X260" s="4"/>
      <c r="Y260" s="4" t="str">
        <f>IF(anleihenkäufe[[#This Row],[Verkauft am]]="","",anleihenkäufe[[#This Row],[Gewinn aus Kursänderung]]+anleihenkäufe[[#This Row],[Gewinn aus Zinsen]]+anleihenkäufe[[#This Row],[Gewinn aus Währungseffekten]])</f>
        <v/>
      </c>
      <c r="Z260" s="156" t="str">
        <f>IF(anleihenkäufe[[#This Row],[Verkauft am]]="","",anleihenkäufe[[#This Row],[Gewinn gesamt]]/anleihenkäufe[[#This Row],[Dirty Kaufpreis]])</f>
        <v/>
      </c>
    </row>
    <row r="261" spans="1:26" ht="14.25" x14ac:dyDescent="0.2">
      <c r="A261" s="9">
        <v>45385</v>
      </c>
      <c r="B261" s="1" t="s">
        <v>191</v>
      </c>
      <c r="C261" s="1" t="s">
        <v>0</v>
      </c>
      <c r="D261" s="4">
        <f t="shared" si="12"/>
        <v>1036.0109589041097</v>
      </c>
      <c r="E261" s="4">
        <f t="shared" si="13"/>
        <v>1033.6000000000001</v>
      </c>
      <c r="F261" s="1">
        <v>2</v>
      </c>
      <c r="G261" s="1">
        <v>1000</v>
      </c>
      <c r="H261" s="7">
        <v>0.51680000000000004</v>
      </c>
      <c r="I261" s="4">
        <f t="shared" si="14"/>
        <v>2.4109589041095889</v>
      </c>
      <c r="J261" s="7">
        <v>0.11</v>
      </c>
      <c r="K261" s="58">
        <v>1</v>
      </c>
      <c r="L261" s="1" t="s">
        <v>925</v>
      </c>
      <c r="M261" s="1">
        <v>2</v>
      </c>
      <c r="N261" s="9">
        <v>45381</v>
      </c>
      <c r="O261" s="1" t="s">
        <v>35</v>
      </c>
      <c r="P261" s="1" t="s">
        <v>39</v>
      </c>
      <c r="Q261" s="1" t="s">
        <v>192</v>
      </c>
      <c r="R261" s="1" t="s">
        <v>193</v>
      </c>
      <c r="S261" s="1" t="b">
        <v>1</v>
      </c>
      <c r="T261" s="9"/>
      <c r="U261" s="4"/>
      <c r="V261" s="4"/>
      <c r="W261" s="4"/>
      <c r="X261" s="4"/>
      <c r="Y261" s="4" t="str">
        <f>IF(anleihenkäufe[[#This Row],[Verkauft am]]="","",anleihenkäufe[[#This Row],[Gewinn aus Kursänderung]]+anleihenkäufe[[#This Row],[Gewinn aus Zinsen]]+anleihenkäufe[[#This Row],[Gewinn aus Währungseffekten]])</f>
        <v/>
      </c>
      <c r="Z261" s="156" t="str">
        <f>IF(anleihenkäufe[[#This Row],[Verkauft am]]="","",anleihenkäufe[[#This Row],[Gewinn gesamt]]/anleihenkäufe[[#This Row],[Dirty Kaufpreis]])</f>
        <v/>
      </c>
    </row>
    <row r="262" spans="1:26" ht="14.25" x14ac:dyDescent="0.2">
      <c r="A262" s="9">
        <v>45385</v>
      </c>
      <c r="B262" s="1" t="s">
        <v>194</v>
      </c>
      <c r="C262" s="1" t="s">
        <v>0</v>
      </c>
      <c r="D262" s="4">
        <f t="shared" si="12"/>
        <v>2171.9424657534246</v>
      </c>
      <c r="E262" s="4">
        <f t="shared" si="13"/>
        <v>2096.6</v>
      </c>
      <c r="F262" s="1">
        <v>2</v>
      </c>
      <c r="G262" s="1">
        <v>1000</v>
      </c>
      <c r="H262" s="7">
        <v>1.0483</v>
      </c>
      <c r="I262" s="4">
        <f t="shared" si="14"/>
        <v>75.342465753424662</v>
      </c>
      <c r="J262" s="7">
        <v>0.11</v>
      </c>
      <c r="K262" s="58">
        <v>1</v>
      </c>
      <c r="L262" s="1" t="s">
        <v>925</v>
      </c>
      <c r="M262" s="1">
        <v>2</v>
      </c>
      <c r="N262" s="9">
        <v>45260</v>
      </c>
      <c r="O262" s="1" t="s">
        <v>65</v>
      </c>
      <c r="P262" s="1" t="s">
        <v>91</v>
      </c>
      <c r="Q262" s="1" t="s">
        <v>195</v>
      </c>
      <c r="R262" s="1" t="s">
        <v>196</v>
      </c>
      <c r="S262" s="1" t="b">
        <v>1</v>
      </c>
      <c r="T262" s="9"/>
      <c r="U262" s="4"/>
      <c r="V262" s="4"/>
      <c r="W262" s="4"/>
      <c r="X262" s="4"/>
      <c r="Y262" s="4" t="str">
        <f>IF(anleihenkäufe[[#This Row],[Verkauft am]]="","",anleihenkäufe[[#This Row],[Gewinn aus Kursänderung]]+anleihenkäufe[[#This Row],[Gewinn aus Zinsen]]+anleihenkäufe[[#This Row],[Gewinn aus Währungseffekten]])</f>
        <v/>
      </c>
      <c r="Z262" s="156" t="str">
        <f>IF(anleihenkäufe[[#This Row],[Verkauft am]]="","",anleihenkäufe[[#This Row],[Gewinn gesamt]]/anleihenkäufe[[#This Row],[Dirty Kaufpreis]])</f>
        <v/>
      </c>
    </row>
    <row r="263" spans="1:26" ht="14.25" x14ac:dyDescent="0.2">
      <c r="A263" s="9">
        <v>45385</v>
      </c>
      <c r="B263" s="1" t="s">
        <v>115</v>
      </c>
      <c r="C263" s="1" t="s">
        <v>0</v>
      </c>
      <c r="D263" s="4">
        <f t="shared" si="12"/>
        <v>2044.3383561643836</v>
      </c>
      <c r="E263" s="4">
        <f t="shared" si="13"/>
        <v>2036.2</v>
      </c>
      <c r="F263" s="1">
        <v>2</v>
      </c>
      <c r="G263" s="1">
        <v>1000</v>
      </c>
      <c r="H263" s="7">
        <v>1.0181</v>
      </c>
      <c r="I263" s="4">
        <f t="shared" si="14"/>
        <v>8.1383561643835609</v>
      </c>
      <c r="J263" s="7">
        <v>0.11425</v>
      </c>
      <c r="K263" s="58">
        <v>1</v>
      </c>
      <c r="L263" s="1" t="s">
        <v>925</v>
      </c>
      <c r="M263" s="1">
        <v>4</v>
      </c>
      <c r="N263" s="9">
        <v>45372</v>
      </c>
      <c r="O263" s="1" t="s">
        <v>116</v>
      </c>
      <c r="P263" s="1" t="s">
        <v>91</v>
      </c>
      <c r="Q263" s="1" t="s">
        <v>189</v>
      </c>
      <c r="R263" s="1" t="s">
        <v>190</v>
      </c>
      <c r="S263" s="1" t="b">
        <v>0</v>
      </c>
      <c r="T263" s="9">
        <v>45412</v>
      </c>
      <c r="U263" s="4">
        <v>2077.6671232876711</v>
      </c>
      <c r="V263" s="4">
        <v>15.800000000000036</v>
      </c>
      <c r="W263" s="4">
        <v>17.528723287671234</v>
      </c>
      <c r="X263" s="4">
        <v>-2.8776980798284058E-13</v>
      </c>
      <c r="Y263" s="4">
        <f>IF(anleihenkäufe[[#This Row],[Verkauft am]]="","",anleihenkäufe[[#This Row],[Gewinn aus Kursänderung]]+anleihenkäufe[[#This Row],[Gewinn aus Zinsen]]+anleihenkäufe[[#This Row],[Gewinn aus Währungseffekten]])</f>
        <v>33.328723287670982</v>
      </c>
      <c r="Z263" s="156">
        <f>IF(anleihenkäufe[[#This Row],[Verkauft am]]="","",anleihenkäufe[[#This Row],[Gewinn gesamt]]/anleihenkäufe[[#This Row],[Dirty Kaufpreis]])</f>
        <v>1.6302938888356426E-2</v>
      </c>
    </row>
    <row r="264" spans="1:26" ht="14.25" x14ac:dyDescent="0.2">
      <c r="A264" s="9">
        <v>45385</v>
      </c>
      <c r="B264" s="1" t="s">
        <v>182</v>
      </c>
      <c r="C264" s="1" t="s">
        <v>0</v>
      </c>
      <c r="D264" s="4">
        <f t="shared" si="12"/>
        <v>2229.7876712328766</v>
      </c>
      <c r="E264" s="4">
        <f t="shared" si="13"/>
        <v>2194</v>
      </c>
      <c r="F264" s="1">
        <v>2</v>
      </c>
      <c r="G264" s="1">
        <v>1000</v>
      </c>
      <c r="H264" s="7">
        <v>1.097</v>
      </c>
      <c r="I264" s="4">
        <f t="shared" si="14"/>
        <v>35.787671232876711</v>
      </c>
      <c r="J264" s="7">
        <v>0.11874999999999999</v>
      </c>
      <c r="K264" s="58">
        <v>1</v>
      </c>
      <c r="L264" s="1" t="s">
        <v>925</v>
      </c>
      <c r="M264" s="1">
        <v>2</v>
      </c>
      <c r="N264" s="9">
        <v>45330</v>
      </c>
      <c r="O264" s="1" t="s">
        <v>183</v>
      </c>
      <c r="P264" s="1" t="s">
        <v>52</v>
      </c>
      <c r="Q264" s="1" t="s">
        <v>184</v>
      </c>
      <c r="R264" s="1" t="s">
        <v>185</v>
      </c>
      <c r="S264" s="1" t="b">
        <v>1</v>
      </c>
      <c r="T264" s="9"/>
      <c r="U264" s="4"/>
      <c r="V264" s="4"/>
      <c r="W264" s="4"/>
      <c r="X264" s="4"/>
      <c r="Y264" s="4" t="str">
        <f>IF(anleihenkäufe[[#This Row],[Verkauft am]]="","",anleihenkäufe[[#This Row],[Gewinn aus Kursänderung]]+anleihenkäufe[[#This Row],[Gewinn aus Zinsen]]+anleihenkäufe[[#This Row],[Gewinn aus Währungseffekten]])</f>
        <v/>
      </c>
      <c r="Z264" s="156" t="str">
        <f>IF(anleihenkäufe[[#This Row],[Verkauft am]]="","",anleihenkäufe[[#This Row],[Gewinn gesamt]]/anleihenkäufe[[#This Row],[Dirty Kaufpreis]])</f>
        <v/>
      </c>
    </row>
    <row r="265" spans="1:26" ht="14.25" x14ac:dyDescent="0.2">
      <c r="A265" s="9">
        <v>45385</v>
      </c>
      <c r="B265" s="1" t="s">
        <v>186</v>
      </c>
      <c r="C265" s="1" t="s">
        <v>0</v>
      </c>
      <c r="D265" s="4">
        <f t="shared" si="12"/>
        <v>2252.4712328767123</v>
      </c>
      <c r="E265" s="4">
        <f t="shared" si="13"/>
        <v>2184.8000000000002</v>
      </c>
      <c r="F265" s="1">
        <v>2</v>
      </c>
      <c r="G265" s="1">
        <v>1000</v>
      </c>
      <c r="H265" s="7">
        <v>1.0924</v>
      </c>
      <c r="I265" s="4">
        <f t="shared" si="14"/>
        <v>67.671232876712324</v>
      </c>
      <c r="J265" s="7">
        <v>0.11874999999999999</v>
      </c>
      <c r="K265" s="58">
        <v>1</v>
      </c>
      <c r="L265" s="1" t="s">
        <v>925</v>
      </c>
      <c r="M265" s="1">
        <v>2</v>
      </c>
      <c r="N265" s="9">
        <v>45281</v>
      </c>
      <c r="O265" s="1" t="s">
        <v>176</v>
      </c>
      <c r="P265" s="1" t="s">
        <v>61</v>
      </c>
      <c r="Q265" s="1" t="s">
        <v>187</v>
      </c>
      <c r="R265" s="1" t="s">
        <v>188</v>
      </c>
      <c r="S265" s="1" t="b">
        <v>1</v>
      </c>
      <c r="T265" s="9"/>
      <c r="U265" s="4"/>
      <c r="V265" s="4"/>
      <c r="W265" s="4"/>
      <c r="X265" s="4"/>
      <c r="Y265" s="4" t="str">
        <f>IF(anleihenkäufe[[#This Row],[Verkauft am]]="","",anleihenkäufe[[#This Row],[Gewinn aus Kursänderung]]+anleihenkäufe[[#This Row],[Gewinn aus Zinsen]]+anleihenkäufe[[#This Row],[Gewinn aus Währungseffekten]])</f>
        <v/>
      </c>
      <c r="Z265" s="156" t="str">
        <f>IF(anleihenkäufe[[#This Row],[Verkauft am]]="","",anleihenkäufe[[#This Row],[Gewinn gesamt]]/anleihenkäufe[[#This Row],[Dirty Kaufpreis]])</f>
        <v/>
      </c>
    </row>
    <row r="266" spans="1:26" ht="14.25" x14ac:dyDescent="0.2">
      <c r="A266" s="9">
        <v>45385</v>
      </c>
      <c r="B266" s="1" t="s">
        <v>179</v>
      </c>
      <c r="C266" s="1" t="s">
        <v>7</v>
      </c>
      <c r="D266" s="4">
        <f t="shared" si="12"/>
        <v>2119.0136986301368</v>
      </c>
      <c r="E266" s="4">
        <f t="shared" si="13"/>
        <v>2000</v>
      </c>
      <c r="F266" s="1">
        <v>2</v>
      </c>
      <c r="G266" s="1">
        <v>1000</v>
      </c>
      <c r="H266" s="7">
        <v>1</v>
      </c>
      <c r="I266" s="4">
        <f t="shared" si="14"/>
        <v>119.01369863013699</v>
      </c>
      <c r="J266" s="7">
        <v>0.12</v>
      </c>
      <c r="K266" s="58">
        <v>1</v>
      </c>
      <c r="L266" s="1" t="s">
        <v>925</v>
      </c>
      <c r="M266" s="1">
        <v>2</v>
      </c>
      <c r="N266" s="9">
        <v>45204</v>
      </c>
      <c r="O266" s="1" t="s">
        <v>56</v>
      </c>
      <c r="P266" s="1" t="s">
        <v>39</v>
      </c>
      <c r="Q266" s="1" t="s">
        <v>180</v>
      </c>
      <c r="R266" s="1" t="s">
        <v>181</v>
      </c>
      <c r="S266" s="1" t="b">
        <v>1</v>
      </c>
      <c r="T266" s="9"/>
      <c r="U266" s="4"/>
      <c r="V266" s="4"/>
      <c r="W266" s="4"/>
      <c r="X266" s="4"/>
      <c r="Y266" s="4" t="str">
        <f>IF(anleihenkäufe[[#This Row],[Verkauft am]]="","",anleihenkäufe[[#This Row],[Gewinn aus Kursänderung]]+anleihenkäufe[[#This Row],[Gewinn aus Zinsen]]+anleihenkäufe[[#This Row],[Gewinn aus Währungseffekten]])</f>
        <v/>
      </c>
      <c r="Z266" s="156" t="str">
        <f>IF(anleihenkäufe[[#This Row],[Verkauft am]]="","",anleihenkäufe[[#This Row],[Gewinn gesamt]]/anleihenkäufe[[#This Row],[Dirty Kaufpreis]])</f>
        <v/>
      </c>
    </row>
    <row r="267" spans="1:26" ht="14.25" x14ac:dyDescent="0.2">
      <c r="A267" s="9">
        <v>45385</v>
      </c>
      <c r="B267" s="1" t="s">
        <v>175</v>
      </c>
      <c r="C267" s="1" t="s">
        <v>0</v>
      </c>
      <c r="D267" s="4">
        <f t="shared" si="12"/>
        <v>2417.364383561644</v>
      </c>
      <c r="E267" s="4">
        <f t="shared" si="13"/>
        <v>2301.2000000000003</v>
      </c>
      <c r="F267" s="1">
        <v>2</v>
      </c>
      <c r="G267" s="1">
        <v>1000</v>
      </c>
      <c r="H267" s="7">
        <v>1.1506000000000001</v>
      </c>
      <c r="I267" s="4">
        <f t="shared" si="14"/>
        <v>116.16438356164383</v>
      </c>
      <c r="J267" s="7">
        <v>0.13250000000000001</v>
      </c>
      <c r="K267" s="58">
        <v>1</v>
      </c>
      <c r="L267" s="1" t="s">
        <v>925</v>
      </c>
      <c r="M267" s="1">
        <v>2</v>
      </c>
      <c r="N267" s="9">
        <v>45225</v>
      </c>
      <c r="O267" s="1" t="s">
        <v>176</v>
      </c>
      <c r="P267" s="1" t="s">
        <v>44</v>
      </c>
      <c r="Q267" s="1" t="s">
        <v>177</v>
      </c>
      <c r="R267" s="1" t="s">
        <v>178</v>
      </c>
      <c r="S267" s="1" t="b">
        <v>1</v>
      </c>
      <c r="T267" s="9"/>
      <c r="U267" s="4"/>
      <c r="V267" s="4"/>
      <c r="W267" s="4"/>
      <c r="X267" s="4"/>
      <c r="Y267" s="4" t="str">
        <f>IF(anleihenkäufe[[#This Row],[Verkauft am]]="","",anleihenkäufe[[#This Row],[Gewinn aus Kursänderung]]+anleihenkäufe[[#This Row],[Gewinn aus Zinsen]]+anleihenkäufe[[#This Row],[Gewinn aus Währungseffekten]])</f>
        <v/>
      </c>
      <c r="Z267" s="156" t="str">
        <f>IF(anleihenkäufe[[#This Row],[Verkauft am]]="","",anleihenkäufe[[#This Row],[Gewinn gesamt]]/anleihenkäufe[[#This Row],[Dirty Kaufpreis]])</f>
        <v/>
      </c>
    </row>
    <row r="268" spans="1:26" ht="14.25" x14ac:dyDescent="0.2">
      <c r="A268" s="9">
        <v>45385</v>
      </c>
      <c r="B268" s="1" t="s">
        <v>172</v>
      </c>
      <c r="C268" s="1" t="s">
        <v>0</v>
      </c>
      <c r="D268" s="4">
        <f t="shared" si="12"/>
        <v>2041.5342465753424</v>
      </c>
      <c r="E268" s="4">
        <f t="shared" si="13"/>
        <v>2040</v>
      </c>
      <c r="F268" s="1">
        <v>2</v>
      </c>
      <c r="G268" s="1">
        <v>1000</v>
      </c>
      <c r="H268" s="7">
        <v>1.02</v>
      </c>
      <c r="I268" s="4">
        <f t="shared" si="14"/>
        <v>1.5342465753424657</v>
      </c>
      <c r="J268" s="7">
        <v>0.14000000000000001</v>
      </c>
      <c r="K268" s="58">
        <v>1</v>
      </c>
      <c r="L268" s="1" t="s">
        <v>925</v>
      </c>
      <c r="M268" s="1">
        <v>4</v>
      </c>
      <c r="N268" s="9">
        <v>45383</v>
      </c>
      <c r="O268" s="1" t="s">
        <v>65</v>
      </c>
      <c r="P268" s="1" t="s">
        <v>39</v>
      </c>
      <c r="Q268" s="1" t="s">
        <v>173</v>
      </c>
      <c r="R268" s="1" t="s">
        <v>174</v>
      </c>
      <c r="S268" s="1" t="b">
        <v>1</v>
      </c>
      <c r="T268" s="9"/>
      <c r="U268" s="4"/>
      <c r="V268" s="4"/>
      <c r="W268" s="4"/>
      <c r="X268" s="4"/>
      <c r="Y268" s="4" t="str">
        <f>IF(anleihenkäufe[[#This Row],[Verkauft am]]="","",anleihenkäufe[[#This Row],[Gewinn aus Kursänderung]]+anleihenkäufe[[#This Row],[Gewinn aus Zinsen]]+anleihenkäufe[[#This Row],[Gewinn aus Währungseffekten]])</f>
        <v/>
      </c>
      <c r="Z268" s="156" t="str">
        <f>IF(anleihenkäufe[[#This Row],[Verkauft am]]="","",anleihenkäufe[[#This Row],[Gewinn gesamt]]/anleihenkäufe[[#This Row],[Dirty Kaufpreis]])</f>
        <v/>
      </c>
    </row>
    <row r="269" spans="1:26" ht="14.25" x14ac:dyDescent="0.2">
      <c r="A269" s="9">
        <v>45399</v>
      </c>
      <c r="B269" s="1" t="s">
        <v>952</v>
      </c>
      <c r="C269" s="1" t="s">
        <v>4</v>
      </c>
      <c r="D269" s="4">
        <f t="shared" si="12"/>
        <v>1895.3797282982448</v>
      </c>
      <c r="E269" s="4">
        <f t="shared" si="13"/>
        <v>1875.6710935292456</v>
      </c>
      <c r="F269" s="1">
        <v>2</v>
      </c>
      <c r="G269" s="1">
        <v>1000</v>
      </c>
      <c r="H269" s="91">
        <v>0.99570000000000003</v>
      </c>
      <c r="I269" s="4">
        <f t="shared" si="14"/>
        <v>19.708634768999314</v>
      </c>
      <c r="J269" s="7">
        <v>8.1250000000000003E-2</v>
      </c>
      <c r="K269" s="58">
        <v>1.0617000000000001</v>
      </c>
      <c r="L269" s="1" t="s">
        <v>887</v>
      </c>
      <c r="M269" s="1">
        <v>2</v>
      </c>
      <c r="N269" s="92">
        <v>45352</v>
      </c>
      <c r="O269" s="1" t="s">
        <v>276</v>
      </c>
      <c r="P269" s="1" t="s">
        <v>39</v>
      </c>
      <c r="Q269" s="1" t="s">
        <v>954</v>
      </c>
      <c r="R269" s="56" t="s">
        <v>953</v>
      </c>
      <c r="S269" s="1" t="b">
        <v>1</v>
      </c>
      <c r="T269" s="9"/>
      <c r="U269" s="4"/>
      <c r="V269" s="4"/>
      <c r="W269" s="4"/>
      <c r="X269" s="4"/>
      <c r="Y269" s="4" t="str">
        <f>IF(anleihenkäufe[[#This Row],[Verkauft am]]="","",anleihenkäufe[[#This Row],[Gewinn aus Kursänderung]]+anleihenkäufe[[#This Row],[Gewinn aus Zinsen]]+anleihenkäufe[[#This Row],[Gewinn aus Währungseffekten]])</f>
        <v/>
      </c>
      <c r="Z269" s="156" t="str">
        <f>IF(anleihenkäufe[[#This Row],[Verkauft am]]="","",anleihenkäufe[[#This Row],[Gewinn gesamt]]/anleihenkäufe[[#This Row],[Dirty Kaufpreis]])</f>
        <v/>
      </c>
    </row>
    <row r="270" spans="1:26" ht="14.25" x14ac:dyDescent="0.2">
      <c r="A270" s="9">
        <v>45406</v>
      </c>
      <c r="B270" s="1" t="s">
        <v>978</v>
      </c>
      <c r="C270" s="1" t="s">
        <v>1</v>
      </c>
      <c r="D270" s="4">
        <f t="shared" si="12"/>
        <v>1924.3013698630139</v>
      </c>
      <c r="E270" s="4">
        <f t="shared" si="13"/>
        <v>1888.0000000000002</v>
      </c>
      <c r="F270" s="1">
        <v>2</v>
      </c>
      <c r="G270" s="1">
        <v>1000</v>
      </c>
      <c r="H270" s="7">
        <v>0.94400000000000006</v>
      </c>
      <c r="I270" s="4">
        <f t="shared" si="14"/>
        <v>36.301369863013697</v>
      </c>
      <c r="J270" s="7">
        <v>6.6250000000000003E-2</v>
      </c>
      <c r="K270" s="99">
        <v>1</v>
      </c>
      <c r="L270" s="1" t="s">
        <v>925</v>
      </c>
      <c r="M270" s="1">
        <v>2</v>
      </c>
      <c r="N270" s="9">
        <v>45306</v>
      </c>
      <c r="O270" s="1" t="s">
        <v>56</v>
      </c>
      <c r="P270" s="1" t="s">
        <v>268</v>
      </c>
      <c r="Q270" s="1" t="s">
        <v>979</v>
      </c>
      <c r="R270" s="1" t="s">
        <v>980</v>
      </c>
      <c r="S270" s="1" t="b">
        <v>1</v>
      </c>
      <c r="T270" s="9"/>
      <c r="U270" s="4"/>
      <c r="V270" s="4"/>
      <c r="W270" s="4"/>
      <c r="X270" s="4"/>
      <c r="Y270" s="4" t="str">
        <f>IF(anleihenkäufe[[#This Row],[Verkauft am]]="","",anleihenkäufe[[#This Row],[Gewinn aus Kursänderung]]+anleihenkäufe[[#This Row],[Gewinn aus Zinsen]]+anleihenkäufe[[#This Row],[Gewinn aus Währungseffekten]])</f>
        <v/>
      </c>
      <c r="Z270" s="156" t="str">
        <f>IF(anleihenkäufe[[#This Row],[Verkauft am]]="","",anleihenkäufe[[#This Row],[Gewinn gesamt]]/anleihenkäufe[[#This Row],[Dirty Kaufpreis]])</f>
        <v/>
      </c>
    </row>
    <row r="271" spans="1:26" ht="14.25" x14ac:dyDescent="0.2">
      <c r="A271" s="9">
        <v>45406</v>
      </c>
      <c r="B271" s="1" t="s">
        <v>975</v>
      </c>
      <c r="C271" s="1" t="s">
        <v>0</v>
      </c>
      <c r="D271" s="4">
        <f t="shared" si="12"/>
        <v>1888.4684931506849</v>
      </c>
      <c r="E271" s="4">
        <f t="shared" si="13"/>
        <v>1884.4</v>
      </c>
      <c r="F271" s="1">
        <v>20</v>
      </c>
      <c r="G271" s="1">
        <v>100</v>
      </c>
      <c r="H271" s="7">
        <v>0.94220000000000004</v>
      </c>
      <c r="I271" s="4">
        <f t="shared" si="14"/>
        <v>4.0684931506849313</v>
      </c>
      <c r="J271" s="7">
        <v>6.7500000000000004E-2</v>
      </c>
      <c r="K271" s="99">
        <v>1</v>
      </c>
      <c r="L271" s="1" t="s">
        <v>925</v>
      </c>
      <c r="M271" s="1">
        <v>1</v>
      </c>
      <c r="N271" s="9">
        <v>45395</v>
      </c>
      <c r="O271" s="1" t="s">
        <v>56</v>
      </c>
      <c r="P271" s="1" t="s">
        <v>52</v>
      </c>
      <c r="Q271" s="1" t="s">
        <v>976</v>
      </c>
      <c r="R271" s="1" t="s">
        <v>977</v>
      </c>
      <c r="S271" s="1" t="b">
        <v>1</v>
      </c>
      <c r="T271" s="9"/>
      <c r="U271" s="4"/>
      <c r="V271" s="4"/>
      <c r="W271" s="4"/>
      <c r="X271" s="4"/>
      <c r="Y271" s="4" t="str">
        <f>IF(anleihenkäufe[[#This Row],[Verkauft am]]="","",anleihenkäufe[[#This Row],[Gewinn aus Kursänderung]]+anleihenkäufe[[#This Row],[Gewinn aus Zinsen]]+anleihenkäufe[[#This Row],[Gewinn aus Währungseffekten]])</f>
        <v/>
      </c>
      <c r="Z271" s="156" t="str">
        <f>IF(anleihenkäufe[[#This Row],[Verkauft am]]="","",anleihenkäufe[[#This Row],[Gewinn gesamt]]/anleihenkäufe[[#This Row],[Dirty Kaufpreis]])</f>
        <v/>
      </c>
    </row>
    <row r="272" spans="1:26" ht="14.25" x14ac:dyDescent="0.2">
      <c r="A272" s="9">
        <v>45406</v>
      </c>
      <c r="B272" s="1" t="s">
        <v>972</v>
      </c>
      <c r="C272" s="1" t="s">
        <v>0</v>
      </c>
      <c r="D272" s="4">
        <f t="shared" si="12"/>
        <v>471.26712328767121</v>
      </c>
      <c r="E272" s="4">
        <f t="shared" si="13"/>
        <v>440</v>
      </c>
      <c r="F272" s="1">
        <v>2000</v>
      </c>
      <c r="G272" s="1">
        <v>1</v>
      </c>
      <c r="H272" s="7">
        <v>0.22</v>
      </c>
      <c r="I272" s="4">
        <f t="shared" si="14"/>
        <v>31.267123287671236</v>
      </c>
      <c r="J272" s="7">
        <v>6.8750000000000006E-2</v>
      </c>
      <c r="K272" s="99">
        <v>1</v>
      </c>
      <c r="L272" s="1" t="s">
        <v>925</v>
      </c>
      <c r="M272" s="1">
        <v>2</v>
      </c>
      <c r="N272" s="9">
        <v>45323</v>
      </c>
      <c r="O272" s="1" t="s">
        <v>51</v>
      </c>
      <c r="P272" s="1" t="s">
        <v>216</v>
      </c>
      <c r="Q272" s="1" t="s">
        <v>973</v>
      </c>
      <c r="R272" s="1" t="s">
        <v>974</v>
      </c>
      <c r="S272" s="1" t="b">
        <v>1</v>
      </c>
      <c r="T272" s="9"/>
      <c r="U272" s="4"/>
      <c r="V272" s="4"/>
      <c r="W272" s="4"/>
      <c r="X272" s="4"/>
      <c r="Y272" s="4" t="str">
        <f>IF(anleihenkäufe[[#This Row],[Verkauft am]]="","",anleihenkäufe[[#This Row],[Gewinn aus Kursänderung]]+anleihenkäufe[[#This Row],[Gewinn aus Zinsen]]+anleihenkäufe[[#This Row],[Gewinn aus Währungseffekten]])</f>
        <v/>
      </c>
      <c r="Z272" s="156" t="str">
        <f>IF(anleihenkäufe[[#This Row],[Verkauft am]]="","",anleihenkäufe[[#This Row],[Gewinn gesamt]]/anleihenkäufe[[#This Row],[Dirty Kaufpreis]])</f>
        <v/>
      </c>
    </row>
    <row r="273" spans="1:26" ht="14.25" x14ac:dyDescent="0.2">
      <c r="A273" s="9">
        <v>45406</v>
      </c>
      <c r="B273" s="1" t="s">
        <v>969</v>
      </c>
      <c r="C273" s="1" t="s">
        <v>0</v>
      </c>
      <c r="D273" s="4">
        <f t="shared" si="12"/>
        <v>2240.0164383561641</v>
      </c>
      <c r="E273" s="4">
        <f t="shared" si="13"/>
        <v>2126.3999999999996</v>
      </c>
      <c r="F273" s="1">
        <v>2</v>
      </c>
      <c r="G273" s="1">
        <v>1000</v>
      </c>
      <c r="H273" s="7">
        <v>1.0631999999999999</v>
      </c>
      <c r="I273" s="4">
        <f t="shared" si="14"/>
        <v>113.61643835616438</v>
      </c>
      <c r="J273" s="7">
        <v>7.2499999999999995E-2</v>
      </c>
      <c r="K273" s="99">
        <v>1</v>
      </c>
      <c r="L273" s="1" t="s">
        <v>925</v>
      </c>
      <c r="M273" s="1">
        <v>1</v>
      </c>
      <c r="N273" s="9">
        <v>45120</v>
      </c>
      <c r="O273" s="1" t="s">
        <v>183</v>
      </c>
      <c r="P273" s="1" t="s">
        <v>109</v>
      </c>
      <c r="Q273" s="1" t="s">
        <v>970</v>
      </c>
      <c r="R273" s="1" t="s">
        <v>971</v>
      </c>
      <c r="S273" s="1" t="b">
        <v>1</v>
      </c>
      <c r="T273" s="9"/>
      <c r="U273" s="4"/>
      <c r="V273" s="4"/>
      <c r="W273" s="4"/>
      <c r="X273" s="4"/>
      <c r="Y273" s="4" t="str">
        <f>IF(anleihenkäufe[[#This Row],[Verkauft am]]="","",anleihenkäufe[[#This Row],[Gewinn aus Kursänderung]]+anleihenkäufe[[#This Row],[Gewinn aus Zinsen]]+anleihenkäufe[[#This Row],[Gewinn aus Währungseffekten]])</f>
        <v/>
      </c>
      <c r="Z273" s="156" t="str">
        <f>IF(anleihenkäufe[[#This Row],[Verkauft am]]="","",anleihenkäufe[[#This Row],[Gewinn gesamt]]/anleihenkäufe[[#This Row],[Dirty Kaufpreis]])</f>
        <v/>
      </c>
    </row>
    <row r="274" spans="1:26" ht="14.25" x14ac:dyDescent="0.2">
      <c r="A274" s="9">
        <v>45406</v>
      </c>
      <c r="B274" s="1" t="s">
        <v>966</v>
      </c>
      <c r="C274" s="1" t="s">
        <v>0</v>
      </c>
      <c r="D274" s="4">
        <f t="shared" si="12"/>
        <v>2240.9260273972604</v>
      </c>
      <c r="E274" s="4">
        <f t="shared" si="13"/>
        <v>2130.2000000000003</v>
      </c>
      <c r="F274" s="1">
        <v>2</v>
      </c>
      <c r="G274" s="1">
        <v>1000</v>
      </c>
      <c r="H274" s="7">
        <v>1.0651000000000002</v>
      </c>
      <c r="I274" s="4">
        <f t="shared" si="14"/>
        <v>110.72602739726027</v>
      </c>
      <c r="J274" s="7">
        <v>7.3749999999999996E-2</v>
      </c>
      <c r="K274" s="99">
        <v>1</v>
      </c>
      <c r="L274" s="1" t="s">
        <v>925</v>
      </c>
      <c r="M274" s="1">
        <v>1</v>
      </c>
      <c r="N274" s="9">
        <v>45132</v>
      </c>
      <c r="O274" s="1" t="s">
        <v>218</v>
      </c>
      <c r="P274" s="1" t="s">
        <v>61</v>
      </c>
      <c r="Q274" s="1" t="s">
        <v>967</v>
      </c>
      <c r="R274" s="1" t="s">
        <v>968</v>
      </c>
      <c r="S274" s="1" t="b">
        <v>1</v>
      </c>
      <c r="T274" s="9"/>
      <c r="U274" s="4"/>
      <c r="V274" s="4"/>
      <c r="W274" s="4"/>
      <c r="X274" s="4"/>
      <c r="Y274" s="4" t="str">
        <f>IF(anleihenkäufe[[#This Row],[Verkauft am]]="","",anleihenkäufe[[#This Row],[Gewinn aus Kursänderung]]+anleihenkäufe[[#This Row],[Gewinn aus Zinsen]]+anleihenkäufe[[#This Row],[Gewinn aus Währungseffekten]])</f>
        <v/>
      </c>
      <c r="Z274" s="156" t="str">
        <f>IF(anleihenkäufe[[#This Row],[Verkauft am]]="","",anleihenkäufe[[#This Row],[Gewinn gesamt]]/anleihenkäufe[[#This Row],[Dirty Kaufpreis]])</f>
        <v/>
      </c>
    </row>
    <row r="275" spans="1:26" ht="14.25" x14ac:dyDescent="0.2">
      <c r="A275" s="9">
        <v>45406</v>
      </c>
      <c r="B275" s="1" t="s">
        <v>963</v>
      </c>
      <c r="C275" s="1" t="s">
        <v>8</v>
      </c>
      <c r="D275" s="4">
        <f t="shared" si="12"/>
        <v>2277.6438356164385</v>
      </c>
      <c r="E275" s="4">
        <f t="shared" si="13"/>
        <v>2239</v>
      </c>
      <c r="F275" s="1">
        <v>2</v>
      </c>
      <c r="G275" s="1">
        <v>1000</v>
      </c>
      <c r="H275" s="7">
        <v>1.1194999999999999</v>
      </c>
      <c r="I275" s="4">
        <f t="shared" si="14"/>
        <v>38.643835616438359</v>
      </c>
      <c r="J275" s="7">
        <v>7.7499999999999999E-2</v>
      </c>
      <c r="K275" s="99">
        <v>1</v>
      </c>
      <c r="L275" s="1" t="s">
        <v>925</v>
      </c>
      <c r="M275" s="1">
        <v>1</v>
      </c>
      <c r="N275" s="9">
        <v>45315</v>
      </c>
      <c r="O275" s="1" t="s">
        <v>35</v>
      </c>
      <c r="P275" s="1" t="s">
        <v>81</v>
      </c>
      <c r="Q275" s="1" t="s">
        <v>964</v>
      </c>
      <c r="R275" s="1" t="s">
        <v>965</v>
      </c>
      <c r="S275" s="1" t="b">
        <v>1</v>
      </c>
      <c r="T275" s="9"/>
      <c r="U275" s="4"/>
      <c r="V275" s="4"/>
      <c r="W275" s="4"/>
      <c r="X275" s="4"/>
      <c r="Y275" s="4" t="str">
        <f>IF(anleihenkäufe[[#This Row],[Verkauft am]]="","",anleihenkäufe[[#This Row],[Gewinn aus Kursänderung]]+anleihenkäufe[[#This Row],[Gewinn aus Zinsen]]+anleihenkäufe[[#This Row],[Gewinn aus Währungseffekten]])</f>
        <v/>
      </c>
      <c r="Z275" s="156" t="str">
        <f>IF(anleihenkäufe[[#This Row],[Verkauft am]]="","",anleihenkäufe[[#This Row],[Gewinn gesamt]]/anleihenkäufe[[#This Row],[Dirty Kaufpreis]])</f>
        <v/>
      </c>
    </row>
    <row r="276" spans="1:26" ht="14.25" x14ac:dyDescent="0.2">
      <c r="A276" s="9">
        <v>45406</v>
      </c>
      <c r="B276" s="1" t="s">
        <v>960</v>
      </c>
      <c r="C276" s="1" t="s">
        <v>7</v>
      </c>
      <c r="D276" s="4">
        <f t="shared" si="12"/>
        <v>2007.5068493150684</v>
      </c>
      <c r="E276" s="4">
        <f t="shared" si="13"/>
        <v>1940</v>
      </c>
      <c r="F276" s="1">
        <v>2</v>
      </c>
      <c r="G276" s="1">
        <v>1000</v>
      </c>
      <c r="H276" s="7">
        <v>0.97</v>
      </c>
      <c r="I276" s="4">
        <f t="shared" si="14"/>
        <v>67.506849315068493</v>
      </c>
      <c r="J276" s="7">
        <v>0.08</v>
      </c>
      <c r="K276" s="99">
        <v>1</v>
      </c>
      <c r="L276" s="1" t="s">
        <v>925</v>
      </c>
      <c r="M276" s="1">
        <v>2</v>
      </c>
      <c r="N276" s="9">
        <v>45252</v>
      </c>
      <c r="O276" s="1" t="s">
        <v>56</v>
      </c>
      <c r="P276" s="1" t="s">
        <v>52</v>
      </c>
      <c r="Q276" s="1" t="s">
        <v>961</v>
      </c>
      <c r="R276" s="1" t="s">
        <v>962</v>
      </c>
      <c r="S276" s="1" t="b">
        <v>1</v>
      </c>
      <c r="T276" s="9"/>
      <c r="U276" s="4"/>
      <c r="V276" s="4"/>
      <c r="W276" s="4"/>
      <c r="X276" s="4"/>
      <c r="Y276" s="4" t="str">
        <f>IF(anleihenkäufe[[#This Row],[Verkauft am]]="","",anleihenkäufe[[#This Row],[Gewinn aus Kursänderung]]+anleihenkäufe[[#This Row],[Gewinn aus Zinsen]]+anleihenkäufe[[#This Row],[Gewinn aus Währungseffekten]])</f>
        <v/>
      </c>
      <c r="Z276" s="156" t="str">
        <f>IF(anleihenkäufe[[#This Row],[Verkauft am]]="","",anleihenkäufe[[#This Row],[Gewinn gesamt]]/anleihenkäufe[[#This Row],[Dirty Kaufpreis]])</f>
        <v/>
      </c>
    </row>
    <row r="277" spans="1:26" ht="14.25" x14ac:dyDescent="0.2">
      <c r="A277" s="9">
        <v>45406</v>
      </c>
      <c r="B277" s="1" t="s">
        <v>957</v>
      </c>
      <c r="C277" s="1" t="s">
        <v>9</v>
      </c>
      <c r="D277" s="4">
        <f t="shared" si="12"/>
        <v>560.37084931506854</v>
      </c>
      <c r="E277" s="4">
        <f t="shared" si="13"/>
        <v>530</v>
      </c>
      <c r="F277" s="1">
        <v>2</v>
      </c>
      <c r="G277" s="1">
        <v>1000</v>
      </c>
      <c r="H277" s="7">
        <v>0.26500000000000001</v>
      </c>
      <c r="I277" s="4">
        <f t="shared" si="14"/>
        <v>30.370849315068494</v>
      </c>
      <c r="J277" s="7">
        <v>8.1509999999999999E-2</v>
      </c>
      <c r="K277" s="99">
        <v>1</v>
      </c>
      <c r="L277" s="1" t="s">
        <v>925</v>
      </c>
      <c r="M277" s="1">
        <v>4</v>
      </c>
      <c r="N277" s="9">
        <v>45338</v>
      </c>
      <c r="O277" s="1" t="s">
        <v>284</v>
      </c>
      <c r="P277" s="1" t="s">
        <v>216</v>
      </c>
      <c r="Q277" s="1" t="s">
        <v>958</v>
      </c>
      <c r="R277" s="1" t="s">
        <v>959</v>
      </c>
      <c r="S277" s="1" t="b">
        <v>1</v>
      </c>
      <c r="T277" s="9"/>
      <c r="U277" s="4"/>
      <c r="V277" s="4"/>
      <c r="W277" s="4"/>
      <c r="X277" s="4"/>
      <c r="Y277" s="4" t="str">
        <f>IF(anleihenkäufe[[#This Row],[Verkauft am]]="","",anleihenkäufe[[#This Row],[Gewinn aus Kursänderung]]+anleihenkäufe[[#This Row],[Gewinn aus Zinsen]]+anleihenkäufe[[#This Row],[Gewinn aus Währungseffekten]])</f>
        <v/>
      </c>
      <c r="Z277" s="156" t="str">
        <f>IF(anleihenkäufe[[#This Row],[Verkauft am]]="","",anleihenkäufe[[#This Row],[Gewinn gesamt]]/anleihenkäufe[[#This Row],[Dirty Kaufpreis]])</f>
        <v/>
      </c>
    </row>
    <row r="278" spans="1:26" ht="14.25" x14ac:dyDescent="0.2">
      <c r="A278" s="9">
        <v>45406</v>
      </c>
      <c r="B278" s="1" t="s">
        <v>913</v>
      </c>
      <c r="C278" s="1" t="s">
        <v>0</v>
      </c>
      <c r="D278" s="4">
        <f t="shared" si="12"/>
        <v>2003.8356164383561</v>
      </c>
      <c r="E278" s="4">
        <f t="shared" si="13"/>
        <v>1960</v>
      </c>
      <c r="F278" s="1">
        <v>2</v>
      </c>
      <c r="G278" s="1">
        <v>1000</v>
      </c>
      <c r="H278" s="7">
        <v>0.98</v>
      </c>
      <c r="I278" s="4">
        <f t="shared" si="14"/>
        <v>43.835616438356162</v>
      </c>
      <c r="J278" s="7">
        <v>0.125</v>
      </c>
      <c r="K278" s="99">
        <v>1</v>
      </c>
      <c r="L278" s="1" t="s">
        <v>925</v>
      </c>
      <c r="M278" s="1">
        <v>2</v>
      </c>
      <c r="N278" s="9">
        <v>45342</v>
      </c>
      <c r="O278" s="1" t="s">
        <v>35</v>
      </c>
      <c r="P278" s="1" t="s">
        <v>39</v>
      </c>
      <c r="Q278" s="1" t="s">
        <v>69</v>
      </c>
      <c r="R278" s="1" t="s">
        <v>70</v>
      </c>
      <c r="S278" s="1" t="b">
        <v>1</v>
      </c>
      <c r="T278" s="9"/>
      <c r="U278" s="4"/>
      <c r="V278" s="4"/>
      <c r="W278" s="4"/>
      <c r="X278" s="4"/>
      <c r="Y278" s="4" t="str">
        <f>IF(anleihenkäufe[[#This Row],[Verkauft am]]="","",anleihenkäufe[[#This Row],[Gewinn aus Kursänderung]]+anleihenkäufe[[#This Row],[Gewinn aus Zinsen]]+anleihenkäufe[[#This Row],[Gewinn aus Währungseffekten]])</f>
        <v/>
      </c>
      <c r="Z278" s="156" t="str">
        <f>IF(anleihenkäufe[[#This Row],[Verkauft am]]="","",anleihenkäufe[[#This Row],[Gewinn gesamt]]/anleihenkäufe[[#This Row],[Dirty Kaufpreis]])</f>
        <v/>
      </c>
    </row>
    <row r="279" spans="1:26" ht="14.25" x14ac:dyDescent="0.2">
      <c r="A279" s="9">
        <v>45412</v>
      </c>
      <c r="B279" s="1" t="s">
        <v>1498</v>
      </c>
      <c r="C279" s="1" t="s">
        <v>2</v>
      </c>
      <c r="D279" s="5">
        <f t="shared" si="12"/>
        <v>2080.7397260273974</v>
      </c>
      <c r="E279" s="4">
        <f t="shared" si="13"/>
        <v>2008</v>
      </c>
      <c r="F279" s="1">
        <v>2</v>
      </c>
      <c r="G279" s="1">
        <v>1000</v>
      </c>
      <c r="H279" s="6">
        <v>1.004</v>
      </c>
      <c r="I279" s="4">
        <f t="shared" si="14"/>
        <v>72.739726027397253</v>
      </c>
      <c r="J279" s="6">
        <v>7.3749999999999996E-2</v>
      </c>
      <c r="K279" s="94">
        <v>1</v>
      </c>
      <c r="L279" t="s">
        <v>925</v>
      </c>
      <c r="M279" s="1">
        <v>2</v>
      </c>
      <c r="N279" s="9">
        <v>45232</v>
      </c>
      <c r="O279" s="1" t="s">
        <v>65</v>
      </c>
      <c r="P279" s="1" t="s">
        <v>44</v>
      </c>
      <c r="Q279" s="1" t="s">
        <v>1499</v>
      </c>
      <c r="R279" s="1" t="s">
        <v>1500</v>
      </c>
      <c r="S279" s="1" t="b">
        <v>1</v>
      </c>
      <c r="T279" s="9"/>
      <c r="U279" s="97"/>
      <c r="V279" s="4"/>
      <c r="W279" s="4"/>
      <c r="X279" s="4"/>
      <c r="Y279" s="4" t="str">
        <f>IF(anleihenkäufe[[#This Row],[Verkauft am]]="","",anleihenkäufe[[#This Row],[Gewinn aus Kursänderung]]+anleihenkäufe[[#This Row],[Gewinn aus Zinsen]]+anleihenkäufe[[#This Row],[Gewinn aus Währungseffekten]])</f>
        <v/>
      </c>
      <c r="Z279" s="156" t="str">
        <f>IF(anleihenkäufe[[#This Row],[Verkauft am]]="","",anleihenkäufe[[#This Row],[Gewinn gesamt]]/anleihenkäufe[[#This Row],[Dirty Kaufpreis]])</f>
        <v/>
      </c>
    </row>
    <row r="280" spans="1:26" ht="14.25" x14ac:dyDescent="0.2">
      <c r="A280" s="9">
        <v>45412</v>
      </c>
      <c r="B280" s="1" t="s">
        <v>1702</v>
      </c>
      <c r="C280" s="1" t="s">
        <v>0</v>
      </c>
      <c r="D280" s="5">
        <f t="shared" si="12"/>
        <v>1993.5077461199137</v>
      </c>
      <c r="E280" s="5">
        <f t="shared" si="13"/>
        <v>1993.0989461904317</v>
      </c>
      <c r="F280" s="1">
        <v>2</v>
      </c>
      <c r="G280" s="1">
        <v>1000</v>
      </c>
      <c r="H280" s="6">
        <v>1.0686</v>
      </c>
      <c r="I280" s="4">
        <f t="shared" si="14"/>
        <v>0.4087999294820121</v>
      </c>
      <c r="J280" s="6">
        <v>0.08</v>
      </c>
      <c r="K280" s="99">
        <v>1.0723</v>
      </c>
      <c r="L280" s="1" t="s">
        <v>887</v>
      </c>
      <c r="M280" s="1">
        <v>2</v>
      </c>
      <c r="N280" s="9">
        <v>45411</v>
      </c>
      <c r="O280" s="1" t="s">
        <v>276</v>
      </c>
      <c r="P280" s="1" t="s">
        <v>61</v>
      </c>
      <c r="Q280" s="1" t="s">
        <v>1703</v>
      </c>
      <c r="R280" s="1" t="s">
        <v>1704</v>
      </c>
      <c r="S280" s="1" t="b">
        <v>1</v>
      </c>
      <c r="T280" s="9"/>
      <c r="U280" s="4"/>
      <c r="V280" s="4"/>
      <c r="W280" s="4"/>
      <c r="X280" s="4"/>
      <c r="Y280" s="4" t="str">
        <f>IF(anleihenkäufe[[#This Row],[Verkauft am]]="","",anleihenkäufe[[#This Row],[Gewinn aus Kursänderung]]+anleihenkäufe[[#This Row],[Gewinn aus Zinsen]]+anleihenkäufe[[#This Row],[Gewinn aus Währungseffekten]])</f>
        <v/>
      </c>
      <c r="Z280" s="156" t="str">
        <f>IF(anleihenkäufe[[#This Row],[Verkauft am]]="","",anleihenkäufe[[#This Row],[Gewinn gesamt]]/anleihenkäufe[[#This Row],[Dirty Kaufpreis]])</f>
        <v/>
      </c>
    </row>
    <row r="281" spans="1:26" ht="14.25" x14ac:dyDescent="0.2">
      <c r="A281" s="9">
        <v>45412</v>
      </c>
      <c r="B281" s="1" t="s">
        <v>1757</v>
      </c>
      <c r="C281" s="1" t="s">
        <v>0</v>
      </c>
      <c r="D281" s="5">
        <f t="shared" si="12"/>
        <v>1826.4976449291564</v>
      </c>
      <c r="E281" s="5">
        <f t="shared" si="13"/>
        <v>1824.8624452112283</v>
      </c>
      <c r="F281" s="1">
        <v>2</v>
      </c>
      <c r="G281" s="1">
        <v>1000</v>
      </c>
      <c r="H281" s="6">
        <v>0.97840000000000005</v>
      </c>
      <c r="I281" s="4">
        <f t="shared" si="14"/>
        <v>1.6351997179280484</v>
      </c>
      <c r="J281" s="6">
        <v>0.08</v>
      </c>
      <c r="K281" s="99">
        <v>1.0723</v>
      </c>
      <c r="L281" s="1" t="s">
        <v>887</v>
      </c>
      <c r="M281" s="1">
        <v>2</v>
      </c>
      <c r="N281" s="9">
        <v>45408</v>
      </c>
      <c r="O281" s="1" t="s">
        <v>1758</v>
      </c>
      <c r="P281" s="1" t="s">
        <v>39</v>
      </c>
      <c r="Q281" s="1" t="s">
        <v>1759</v>
      </c>
      <c r="R281" s="1" t="s">
        <v>1760</v>
      </c>
      <c r="S281" s="1" t="b">
        <v>1</v>
      </c>
      <c r="T281" s="9"/>
      <c r="U281" s="4"/>
      <c r="V281" s="4"/>
      <c r="W281" s="4"/>
      <c r="X281" s="4"/>
      <c r="Y281" s="4" t="str">
        <f>IF(anleihenkäufe[[#This Row],[Verkauft am]]="","",anleihenkäufe[[#This Row],[Gewinn aus Kursänderung]]+anleihenkäufe[[#This Row],[Gewinn aus Zinsen]]+anleihenkäufe[[#This Row],[Gewinn aus Währungseffekten]])</f>
        <v/>
      </c>
      <c r="Z281" s="156" t="str">
        <f>IF(anleihenkäufe[[#This Row],[Verkauft am]]="","",anleihenkäufe[[#This Row],[Gewinn gesamt]]/anleihenkäufe[[#This Row],[Dirty Kaufpreis]])</f>
        <v/>
      </c>
    </row>
    <row r="282" spans="1:26" ht="14.25" x14ac:dyDescent="0.2">
      <c r="A282" s="9">
        <v>45412</v>
      </c>
      <c r="B282" s="1" t="s">
        <v>1723</v>
      </c>
      <c r="C282" s="1" t="s">
        <v>0</v>
      </c>
      <c r="D282" s="5">
        <f t="shared" si="12"/>
        <v>1867.3776378773575</v>
      </c>
      <c r="E282" s="5">
        <f t="shared" si="13"/>
        <v>1854.7048400634151</v>
      </c>
      <c r="F282" s="1">
        <v>2</v>
      </c>
      <c r="G282" s="1">
        <v>1000</v>
      </c>
      <c r="H282" s="6">
        <v>0.99439999999999995</v>
      </c>
      <c r="I282" s="4">
        <f t="shared" si="14"/>
        <v>12.672797813942376</v>
      </c>
      <c r="J282" s="6">
        <v>0.08</v>
      </c>
      <c r="K282" s="99">
        <v>1.0723</v>
      </c>
      <c r="L282" s="1" t="s">
        <v>887</v>
      </c>
      <c r="M282" s="1">
        <v>4</v>
      </c>
      <c r="N282" s="9">
        <v>45381</v>
      </c>
      <c r="O282" s="1" t="s">
        <v>65</v>
      </c>
      <c r="P282" s="1" t="s">
        <v>61</v>
      </c>
      <c r="Q282" s="1" t="s">
        <v>1724</v>
      </c>
      <c r="R282" s="1" t="s">
        <v>1725</v>
      </c>
      <c r="S282" s="1" t="b">
        <v>1</v>
      </c>
      <c r="T282" s="9"/>
      <c r="U282" s="4"/>
      <c r="V282" s="4"/>
      <c r="W282" s="4"/>
      <c r="X282" s="4"/>
      <c r="Y282" s="4" t="str">
        <f>IF(anleihenkäufe[[#This Row],[Verkauft am]]="","",anleihenkäufe[[#This Row],[Gewinn aus Kursänderung]]+anleihenkäufe[[#This Row],[Gewinn aus Zinsen]]+anleihenkäufe[[#This Row],[Gewinn aus Währungseffekten]])</f>
        <v/>
      </c>
      <c r="Z282" s="156" t="str">
        <f>IF(anleihenkäufe[[#This Row],[Verkauft am]]="","",anleihenkäufe[[#This Row],[Gewinn gesamt]]/anleihenkäufe[[#This Row],[Dirty Kaufpreis]])</f>
        <v/>
      </c>
    </row>
    <row r="283" spans="1:26" ht="14.25" x14ac:dyDescent="0.2">
      <c r="A283" s="9">
        <v>45412</v>
      </c>
      <c r="B283" s="1" t="s">
        <v>1717</v>
      </c>
      <c r="C283" s="1" t="s">
        <v>0</v>
      </c>
      <c r="D283" s="5">
        <f t="shared" si="12"/>
        <v>1849.9525408831864</v>
      </c>
      <c r="E283" s="5">
        <f t="shared" si="13"/>
        <v>1836.0533432807981</v>
      </c>
      <c r="F283" s="1">
        <v>2</v>
      </c>
      <c r="G283" s="1">
        <v>1000</v>
      </c>
      <c r="H283" s="6">
        <v>0.98439999999999994</v>
      </c>
      <c r="I283" s="4">
        <f t="shared" si="14"/>
        <v>13.899197602388412</v>
      </c>
      <c r="J283" s="6">
        <v>0.08</v>
      </c>
      <c r="K283" s="99">
        <v>1.0723</v>
      </c>
      <c r="L283" s="1" t="s">
        <v>887</v>
      </c>
      <c r="M283" s="1">
        <v>4</v>
      </c>
      <c r="N283" s="9">
        <v>45378</v>
      </c>
      <c r="O283" s="1" t="s">
        <v>65</v>
      </c>
      <c r="P283" s="1" t="s">
        <v>39</v>
      </c>
      <c r="Q283" s="1" t="s">
        <v>1718</v>
      </c>
      <c r="R283" s="1" t="s">
        <v>1719</v>
      </c>
      <c r="S283" s="1" t="b">
        <v>1</v>
      </c>
      <c r="T283" s="9"/>
      <c r="U283" s="4"/>
      <c r="V283" s="4"/>
      <c r="W283" s="4"/>
      <c r="X283" s="4"/>
      <c r="Y283" s="4" t="str">
        <f>IF(anleihenkäufe[[#This Row],[Verkauft am]]="","",anleihenkäufe[[#This Row],[Gewinn aus Kursänderung]]+anleihenkäufe[[#This Row],[Gewinn aus Zinsen]]+anleihenkäufe[[#This Row],[Gewinn aus Währungseffekten]])</f>
        <v/>
      </c>
      <c r="Z283" s="156" t="str">
        <f>IF(anleihenkäufe[[#This Row],[Verkauft am]]="","",anleihenkäufe[[#This Row],[Gewinn gesamt]]/anleihenkäufe[[#This Row],[Dirty Kaufpreis]])</f>
        <v/>
      </c>
    </row>
    <row r="284" spans="1:26" ht="14.25" x14ac:dyDescent="0.2">
      <c r="A284" s="9">
        <v>45412</v>
      </c>
      <c r="B284" s="1" t="s">
        <v>1754</v>
      </c>
      <c r="C284" s="1" t="s">
        <v>0</v>
      </c>
      <c r="D284" s="5">
        <f t="shared" si="12"/>
        <v>1765.7831904023999</v>
      </c>
      <c r="E284" s="5">
        <f t="shared" si="13"/>
        <v>1748.2047934346733</v>
      </c>
      <c r="F284" s="1">
        <v>2</v>
      </c>
      <c r="G284" s="1">
        <v>1000</v>
      </c>
      <c r="H284" s="6">
        <v>0.93730000000000002</v>
      </c>
      <c r="I284" s="4">
        <f t="shared" si="14"/>
        <v>17.578396967726523</v>
      </c>
      <c r="J284" s="6">
        <v>0.08</v>
      </c>
      <c r="K284" s="99">
        <v>1.0723</v>
      </c>
      <c r="L284" s="1" t="s">
        <v>887</v>
      </c>
      <c r="M284" s="1">
        <v>2</v>
      </c>
      <c r="N284" s="9">
        <v>45369</v>
      </c>
      <c r="O284" s="1" t="s">
        <v>51</v>
      </c>
      <c r="P284" s="1" t="s">
        <v>52</v>
      </c>
      <c r="Q284" s="1" t="s">
        <v>1755</v>
      </c>
      <c r="R284" s="1" t="s">
        <v>1756</v>
      </c>
      <c r="S284" s="1" t="b">
        <v>1</v>
      </c>
      <c r="T284" s="96"/>
      <c r="U284" s="97"/>
      <c r="V284" s="97"/>
      <c r="W284" s="97"/>
      <c r="X284" s="97"/>
      <c r="Y284" s="97" t="str">
        <f>IF(anleihenkäufe[[#This Row],[Verkauft am]]="","",anleihenkäufe[[#This Row],[Gewinn aus Kursänderung]]+anleihenkäufe[[#This Row],[Gewinn aus Zinsen]]+anleihenkäufe[[#This Row],[Gewinn aus Währungseffekten]])</f>
        <v/>
      </c>
      <c r="Z284" s="156" t="str">
        <f>IF(anleihenkäufe[[#This Row],[Verkauft am]]="","",anleihenkäufe[[#This Row],[Gewinn gesamt]]/anleihenkäufe[[#This Row],[Dirty Kaufpreis]])</f>
        <v/>
      </c>
    </row>
    <row r="285" spans="1:26" ht="14.25" x14ac:dyDescent="0.2">
      <c r="A285" s="9">
        <v>45412</v>
      </c>
      <c r="B285" s="1" t="s">
        <v>1738</v>
      </c>
      <c r="C285" s="1" t="s">
        <v>6</v>
      </c>
      <c r="D285" s="5">
        <f t="shared" si="12"/>
        <v>1842.3616371926178</v>
      </c>
      <c r="E285" s="5">
        <f t="shared" si="13"/>
        <v>1823.5568404364451</v>
      </c>
      <c r="F285" s="1">
        <v>2</v>
      </c>
      <c r="G285" s="1">
        <v>1000</v>
      </c>
      <c r="H285" s="6">
        <v>0.97770000000000001</v>
      </c>
      <c r="I285" s="4">
        <f t="shared" si="14"/>
        <v>18.804796756172557</v>
      </c>
      <c r="J285" s="6">
        <v>0.08</v>
      </c>
      <c r="K285" s="99">
        <v>1.0723</v>
      </c>
      <c r="L285" s="1" t="s">
        <v>887</v>
      </c>
      <c r="M285" s="1">
        <v>2</v>
      </c>
      <c r="N285" s="9">
        <v>45366</v>
      </c>
      <c r="O285" s="1" t="s">
        <v>276</v>
      </c>
      <c r="P285" s="1" t="s">
        <v>57</v>
      </c>
      <c r="Q285" s="1" t="s">
        <v>1739</v>
      </c>
      <c r="R285" s="1" t="s">
        <v>1740</v>
      </c>
      <c r="S285" s="1" t="b">
        <v>1</v>
      </c>
      <c r="T285" s="9"/>
      <c r="U285" s="4"/>
      <c r="V285" s="4"/>
      <c r="W285" s="4"/>
      <c r="X285" s="4"/>
      <c r="Y285" s="4" t="str">
        <f>IF(anleihenkäufe[[#This Row],[Verkauft am]]="","",anleihenkäufe[[#This Row],[Gewinn aus Kursänderung]]+anleihenkäufe[[#This Row],[Gewinn aus Zinsen]]+anleihenkäufe[[#This Row],[Gewinn aus Währungseffekten]])</f>
        <v/>
      </c>
      <c r="Z285" s="156" t="str">
        <f>IF(anleihenkäufe[[#This Row],[Verkauft am]]="","",anleihenkäufe[[#This Row],[Gewinn gesamt]]/anleihenkäufe[[#This Row],[Dirty Kaufpreis]])</f>
        <v/>
      </c>
    </row>
    <row r="286" spans="1:26" ht="14.25" x14ac:dyDescent="0.2">
      <c r="A286" s="9">
        <v>45412</v>
      </c>
      <c r="B286" s="1" t="s">
        <v>1714</v>
      </c>
      <c r="C286" s="1" t="s">
        <v>9</v>
      </c>
      <c r="D286" s="5">
        <f t="shared" si="12"/>
        <v>2080.5412511066343</v>
      </c>
      <c r="E286" s="5">
        <f t="shared" si="13"/>
        <v>2061.7364543504618</v>
      </c>
      <c r="F286" s="1">
        <v>2</v>
      </c>
      <c r="G286" s="1">
        <v>1000</v>
      </c>
      <c r="H286" s="6">
        <v>1.1054000000000002</v>
      </c>
      <c r="I286" s="4">
        <f t="shared" si="14"/>
        <v>18.804796756172557</v>
      </c>
      <c r="J286" s="6">
        <v>0.08</v>
      </c>
      <c r="K286" s="99">
        <v>1.0723</v>
      </c>
      <c r="L286" s="1" t="s">
        <v>887</v>
      </c>
      <c r="M286" s="1">
        <v>2</v>
      </c>
      <c r="N286" s="9">
        <v>45366</v>
      </c>
      <c r="O286" s="1" t="s">
        <v>276</v>
      </c>
      <c r="P286" s="1" t="s">
        <v>39</v>
      </c>
      <c r="Q286" s="1" t="s">
        <v>1715</v>
      </c>
      <c r="R286" s="1" t="s">
        <v>1716</v>
      </c>
      <c r="S286" s="1" t="b">
        <v>1</v>
      </c>
      <c r="T286" s="9"/>
      <c r="U286" s="4"/>
      <c r="V286" s="4"/>
      <c r="W286" s="4"/>
      <c r="X286" s="4"/>
      <c r="Y286" s="4" t="str">
        <f>IF(anleihenkäufe[[#This Row],[Verkauft am]]="","",anleihenkäufe[[#This Row],[Gewinn aus Kursänderung]]+anleihenkäufe[[#This Row],[Gewinn aus Zinsen]]+anleihenkäufe[[#This Row],[Gewinn aus Währungseffekten]])</f>
        <v/>
      </c>
      <c r="Z286" s="156" t="str">
        <f>IF(anleihenkäufe[[#This Row],[Verkauft am]]="","",anleihenkäufe[[#This Row],[Gewinn gesamt]]/anleihenkäufe[[#This Row],[Dirty Kaufpreis]])</f>
        <v/>
      </c>
    </row>
    <row r="287" spans="1:26" ht="14.25" x14ac:dyDescent="0.2">
      <c r="A287" s="9">
        <v>45412</v>
      </c>
      <c r="B287" s="1" t="s">
        <v>983</v>
      </c>
      <c r="C287" s="1" t="s">
        <v>0</v>
      </c>
      <c r="D287" s="5">
        <f t="shared" si="12"/>
        <v>1942.806334865907</v>
      </c>
      <c r="E287" s="5">
        <f t="shared" si="13"/>
        <v>1920.7311386738784</v>
      </c>
      <c r="F287" s="1">
        <v>2</v>
      </c>
      <c r="G287" s="1">
        <v>1000</v>
      </c>
      <c r="H287" s="6">
        <v>1.0298</v>
      </c>
      <c r="I287" s="4">
        <f t="shared" si="14"/>
        <v>22.075196192028656</v>
      </c>
      <c r="J287" s="6">
        <v>0.08</v>
      </c>
      <c r="K287" s="99">
        <v>1.0723</v>
      </c>
      <c r="L287" s="1" t="s">
        <v>887</v>
      </c>
      <c r="M287" s="1">
        <v>2</v>
      </c>
      <c r="N287" s="9">
        <v>45358</v>
      </c>
      <c r="O287" s="1" t="s">
        <v>65</v>
      </c>
      <c r="P287" s="1" t="s">
        <v>52</v>
      </c>
      <c r="Q287" s="1" t="s">
        <v>1489</v>
      </c>
      <c r="R287" s="1" t="s">
        <v>1490</v>
      </c>
      <c r="S287" s="1" t="b">
        <v>1</v>
      </c>
      <c r="T287" s="9"/>
      <c r="U287" s="4"/>
      <c r="V287" s="4"/>
      <c r="W287" s="4"/>
      <c r="X287" s="4"/>
      <c r="Y287" s="4" t="str">
        <f>IF(anleihenkäufe[[#This Row],[Verkauft am]]="","",anleihenkäufe[[#This Row],[Gewinn aus Kursänderung]]+anleihenkäufe[[#This Row],[Gewinn aus Zinsen]]+anleihenkäufe[[#This Row],[Gewinn aus Währungseffekten]])</f>
        <v/>
      </c>
      <c r="Z287" s="156" t="str">
        <f>IF(anleihenkäufe[[#This Row],[Verkauft am]]="","",anleihenkäufe[[#This Row],[Gewinn gesamt]]/anleihenkäufe[[#This Row],[Dirty Kaufpreis]])</f>
        <v/>
      </c>
    </row>
    <row r="288" spans="1:26" ht="14.25" x14ac:dyDescent="0.2">
      <c r="A288" s="9">
        <v>45412</v>
      </c>
      <c r="B288" s="1" t="s">
        <v>1720</v>
      </c>
      <c r="C288" s="1" t="s">
        <v>7</v>
      </c>
      <c r="D288" s="5">
        <f t="shared" si="12"/>
        <v>2154.7154433115861</v>
      </c>
      <c r="E288" s="5">
        <f t="shared" si="13"/>
        <v>2130.1874475426653</v>
      </c>
      <c r="F288" s="1">
        <v>2</v>
      </c>
      <c r="G288" s="1">
        <v>1000</v>
      </c>
      <c r="H288" s="6">
        <v>1.1420999999999999</v>
      </c>
      <c r="I288" s="4">
        <f t="shared" si="14"/>
        <v>24.527995768920729</v>
      </c>
      <c r="J288" s="6">
        <v>0.08</v>
      </c>
      <c r="K288" s="99">
        <v>1.0723</v>
      </c>
      <c r="L288" s="1" t="s">
        <v>887</v>
      </c>
      <c r="M288" s="1">
        <v>2</v>
      </c>
      <c r="N288" s="9">
        <v>45352</v>
      </c>
      <c r="O288" s="1" t="s">
        <v>276</v>
      </c>
      <c r="P288" s="1" t="s">
        <v>57</v>
      </c>
      <c r="Q288" s="1" t="s">
        <v>1721</v>
      </c>
      <c r="R288" s="1" t="s">
        <v>1722</v>
      </c>
      <c r="S288" s="1" t="b">
        <v>1</v>
      </c>
      <c r="T288" s="9"/>
      <c r="U288" s="4"/>
      <c r="V288" s="4"/>
      <c r="W288" s="4"/>
      <c r="X288" s="4"/>
      <c r="Y288" s="4" t="str">
        <f>IF(anleihenkäufe[[#This Row],[Verkauft am]]="","",anleihenkäufe[[#This Row],[Gewinn aus Kursänderung]]+anleihenkäufe[[#This Row],[Gewinn aus Zinsen]]+anleihenkäufe[[#This Row],[Gewinn aus Währungseffekten]])</f>
        <v/>
      </c>
      <c r="Z288" s="156" t="str">
        <f>IF(anleihenkäufe[[#This Row],[Verkauft am]]="","",anleihenkäufe[[#This Row],[Gewinn gesamt]]/anleihenkäufe[[#This Row],[Dirty Kaufpreis]])</f>
        <v/>
      </c>
    </row>
    <row r="289" spans="1:26" ht="14.25" x14ac:dyDescent="0.2">
      <c r="A289" s="9">
        <v>45412</v>
      </c>
      <c r="B289" s="1" t="s">
        <v>1761</v>
      </c>
      <c r="C289" s="1" t="s">
        <v>0</v>
      </c>
      <c r="D289" s="5">
        <f t="shared" si="12"/>
        <v>1923.2427032406333</v>
      </c>
      <c r="E289" s="5">
        <f t="shared" si="13"/>
        <v>1896.6707078243026</v>
      </c>
      <c r="F289" s="1">
        <v>2</v>
      </c>
      <c r="G289" s="1">
        <v>1000</v>
      </c>
      <c r="H289" s="6">
        <v>1.0168999999999999</v>
      </c>
      <c r="I289" s="4">
        <f t="shared" si="14"/>
        <v>26.57199541633079</v>
      </c>
      <c r="J289" s="6">
        <v>0.08</v>
      </c>
      <c r="K289" s="99">
        <v>1.0723</v>
      </c>
      <c r="L289" s="1" t="s">
        <v>887</v>
      </c>
      <c r="M289" s="1">
        <v>2</v>
      </c>
      <c r="N289" s="9">
        <v>45347</v>
      </c>
      <c r="O289" s="1" t="s">
        <v>986</v>
      </c>
      <c r="P289" s="1" t="s">
        <v>52</v>
      </c>
      <c r="Q289" s="1" t="s">
        <v>1762</v>
      </c>
      <c r="R289" s="1" t="s">
        <v>1763</v>
      </c>
      <c r="S289" s="1" t="b">
        <v>1</v>
      </c>
      <c r="T289" s="9"/>
      <c r="U289" s="4"/>
      <c r="V289" s="4"/>
      <c r="W289" s="4"/>
      <c r="X289" s="4"/>
      <c r="Y289" s="4" t="str">
        <f>IF(anleihenkäufe[[#This Row],[Verkauft am]]="","",anleihenkäufe[[#This Row],[Gewinn aus Kursänderung]]+anleihenkäufe[[#This Row],[Gewinn aus Zinsen]]+anleihenkäufe[[#This Row],[Gewinn aus Währungseffekten]])</f>
        <v/>
      </c>
      <c r="Z289" s="156" t="str">
        <f>IF(anleihenkäufe[[#This Row],[Verkauft am]]="","",anleihenkäufe[[#This Row],[Gewinn gesamt]]/anleihenkäufe[[#This Row],[Dirty Kaufpreis]])</f>
        <v/>
      </c>
    </row>
    <row r="290" spans="1:26" ht="14.25" x14ac:dyDescent="0.2">
      <c r="A290" s="9">
        <v>45412</v>
      </c>
      <c r="B290" s="1" t="s">
        <v>1726</v>
      </c>
      <c r="C290" s="1" t="s">
        <v>10</v>
      </c>
      <c r="D290" s="5">
        <f t="shared" si="12"/>
        <v>1779.2378180814762</v>
      </c>
      <c r="E290" s="5">
        <f t="shared" si="13"/>
        <v>1748.5778233703254</v>
      </c>
      <c r="F290" s="1">
        <v>2</v>
      </c>
      <c r="G290" s="1">
        <v>1000</v>
      </c>
      <c r="H290" s="6">
        <v>0.9375</v>
      </c>
      <c r="I290" s="4">
        <f t="shared" si="14"/>
        <v>30.659994711150915</v>
      </c>
      <c r="J290" s="6">
        <v>0.08</v>
      </c>
      <c r="K290" s="99">
        <v>1.0723</v>
      </c>
      <c r="L290" s="1" t="s">
        <v>887</v>
      </c>
      <c r="M290" s="1">
        <v>2</v>
      </c>
      <c r="N290" s="9">
        <v>45337</v>
      </c>
      <c r="O290" s="1" t="s">
        <v>276</v>
      </c>
      <c r="P290" s="1" t="s">
        <v>1011</v>
      </c>
      <c r="Q290" s="1" t="s">
        <v>1727</v>
      </c>
      <c r="R290" s="1" t="s">
        <v>1728</v>
      </c>
      <c r="S290" s="1" t="b">
        <v>1</v>
      </c>
      <c r="T290" s="96"/>
      <c r="U290" s="97"/>
      <c r="V290" s="97"/>
      <c r="W290" s="97"/>
      <c r="X290" s="97"/>
      <c r="Y290" s="97" t="str">
        <f>IF(anleihenkäufe[[#This Row],[Verkauft am]]="","",anleihenkäufe[[#This Row],[Gewinn aus Kursänderung]]+anleihenkäufe[[#This Row],[Gewinn aus Zinsen]]+anleihenkäufe[[#This Row],[Gewinn aus Währungseffekten]])</f>
        <v/>
      </c>
      <c r="Z290" s="156" t="str">
        <f>IF(anleihenkäufe[[#This Row],[Verkauft am]]="","",anleihenkäufe[[#This Row],[Gewinn gesamt]]/anleihenkäufe[[#This Row],[Dirty Kaufpreis]])</f>
        <v/>
      </c>
    </row>
    <row r="291" spans="1:26" ht="14.25" x14ac:dyDescent="0.2">
      <c r="A291" s="9">
        <v>45412</v>
      </c>
      <c r="B291" s="1" t="s">
        <v>1747</v>
      </c>
      <c r="C291" s="1" t="s">
        <v>8</v>
      </c>
      <c r="D291" s="5">
        <f t="shared" si="12"/>
        <v>1894.8770981337004</v>
      </c>
      <c r="E291" s="5">
        <f t="shared" si="13"/>
        <v>1864.2171034225496</v>
      </c>
      <c r="F291" s="1">
        <v>2</v>
      </c>
      <c r="G291" s="1">
        <v>1000</v>
      </c>
      <c r="H291" s="6">
        <v>0.99950000000000006</v>
      </c>
      <c r="I291" s="4">
        <f t="shared" si="14"/>
        <v>30.659994711150915</v>
      </c>
      <c r="J291" s="6">
        <v>0.08</v>
      </c>
      <c r="K291" s="99">
        <v>1.0723</v>
      </c>
      <c r="L291" s="1" t="s">
        <v>887</v>
      </c>
      <c r="M291" s="1">
        <v>2</v>
      </c>
      <c r="N291" s="9">
        <v>45337</v>
      </c>
      <c r="O291" s="1" t="s">
        <v>276</v>
      </c>
      <c r="P291" s="1" t="s">
        <v>39</v>
      </c>
      <c r="Q291" s="1" t="s">
        <v>1748</v>
      </c>
      <c r="R291" s="1" t="s">
        <v>1749</v>
      </c>
      <c r="S291" s="1" t="b">
        <v>1</v>
      </c>
      <c r="T291" s="9"/>
      <c r="U291" s="4"/>
      <c r="V291" s="4"/>
      <c r="W291" s="4"/>
      <c r="X291" s="4"/>
      <c r="Y291" s="4" t="str">
        <f>IF(anleihenkäufe[[#This Row],[Verkauft am]]="","",anleihenkäufe[[#This Row],[Gewinn aus Kursänderung]]+anleihenkäufe[[#This Row],[Gewinn aus Zinsen]]+anleihenkäufe[[#This Row],[Gewinn aus Währungseffekten]])</f>
        <v/>
      </c>
      <c r="Z291" s="156" t="str">
        <f>IF(anleihenkäufe[[#This Row],[Verkauft am]]="","",anleihenkäufe[[#This Row],[Gewinn gesamt]]/anleihenkäufe[[#This Row],[Dirty Kaufpreis]])</f>
        <v/>
      </c>
    </row>
    <row r="292" spans="1:26" ht="14.25" x14ac:dyDescent="0.2">
      <c r="A292" s="9">
        <v>45412</v>
      </c>
      <c r="B292" s="1" t="s">
        <v>1744</v>
      </c>
      <c r="C292" s="1" t="s">
        <v>10</v>
      </c>
      <c r="D292" s="5">
        <f t="shared" si="12"/>
        <v>1812.9382622681496</v>
      </c>
      <c r="E292" s="5">
        <f t="shared" si="13"/>
        <v>1776.5550685442506</v>
      </c>
      <c r="F292" s="1">
        <v>2</v>
      </c>
      <c r="G292" s="1">
        <v>1000</v>
      </c>
      <c r="H292" s="6">
        <v>0.95250000000000001</v>
      </c>
      <c r="I292" s="4">
        <f t="shared" si="14"/>
        <v>36.383193723899083</v>
      </c>
      <c r="J292" s="6">
        <v>0.08</v>
      </c>
      <c r="K292" s="99">
        <v>1.0723</v>
      </c>
      <c r="L292" s="1" t="s">
        <v>887</v>
      </c>
      <c r="M292" s="1">
        <v>2</v>
      </c>
      <c r="N292" s="9">
        <v>45323</v>
      </c>
      <c r="O292" s="1" t="s">
        <v>276</v>
      </c>
      <c r="P292" s="1" t="s">
        <v>39</v>
      </c>
      <c r="Q292" s="1" t="s">
        <v>1745</v>
      </c>
      <c r="R292" s="1" t="s">
        <v>1746</v>
      </c>
      <c r="S292" s="1" t="b">
        <v>1</v>
      </c>
      <c r="T292" s="96"/>
      <c r="U292" s="97"/>
      <c r="V292" s="97"/>
      <c r="W292" s="97"/>
      <c r="X292" s="97"/>
      <c r="Y292" s="97" t="str">
        <f>IF(anleihenkäufe[[#This Row],[Verkauft am]]="","",anleihenkäufe[[#This Row],[Gewinn aus Kursänderung]]+anleihenkäufe[[#This Row],[Gewinn aus Zinsen]]+anleihenkäufe[[#This Row],[Gewinn aus Währungseffekten]])</f>
        <v/>
      </c>
      <c r="Z292" s="156" t="str">
        <f>IF(anleihenkäufe[[#This Row],[Verkauft am]]="","",anleihenkäufe[[#This Row],[Gewinn gesamt]]/anleihenkäufe[[#This Row],[Dirty Kaufpreis]])</f>
        <v/>
      </c>
    </row>
    <row r="293" spans="1:26" ht="14.25" x14ac:dyDescent="0.2">
      <c r="A293" s="9">
        <v>45412</v>
      </c>
      <c r="B293" s="1" t="s">
        <v>1711</v>
      </c>
      <c r="C293" s="1" t="s">
        <v>1</v>
      </c>
      <c r="D293" s="5">
        <f t="shared" si="12"/>
        <v>1914.0779198215585</v>
      </c>
      <c r="E293" s="5">
        <f t="shared" si="13"/>
        <v>1870.7451272964652</v>
      </c>
      <c r="F293" s="1">
        <v>2</v>
      </c>
      <c r="G293" s="1">
        <v>1000</v>
      </c>
      <c r="H293" s="6">
        <v>1.0029999999999999</v>
      </c>
      <c r="I293" s="4">
        <f t="shared" si="14"/>
        <v>43.332792525093289</v>
      </c>
      <c r="J293" s="6">
        <v>0.08</v>
      </c>
      <c r="K293" s="99">
        <v>1.0723</v>
      </c>
      <c r="L293" s="1" t="s">
        <v>887</v>
      </c>
      <c r="M293" s="1">
        <v>2</v>
      </c>
      <c r="N293" s="9">
        <v>45306</v>
      </c>
      <c r="O293" s="1" t="s">
        <v>276</v>
      </c>
      <c r="P293" s="1" t="s">
        <v>109</v>
      </c>
      <c r="Q293" s="1" t="s">
        <v>1712</v>
      </c>
      <c r="R293" s="1" t="s">
        <v>1713</v>
      </c>
      <c r="S293" s="1" t="b">
        <v>1</v>
      </c>
      <c r="T293" s="9"/>
      <c r="U293" s="4"/>
      <c r="V293" s="4"/>
      <c r="W293" s="4"/>
      <c r="X293" s="4"/>
      <c r="Y293" s="4" t="str">
        <f>IF(anleihenkäufe[[#This Row],[Verkauft am]]="","",anleihenkäufe[[#This Row],[Gewinn aus Kursänderung]]+anleihenkäufe[[#This Row],[Gewinn aus Zinsen]]+anleihenkäufe[[#This Row],[Gewinn aus Währungseffekten]])</f>
        <v/>
      </c>
      <c r="Z293" s="156" t="str">
        <f>IF(anleihenkäufe[[#This Row],[Verkauft am]]="","",anleihenkäufe[[#This Row],[Gewinn gesamt]]/anleihenkäufe[[#This Row],[Dirty Kaufpreis]])</f>
        <v/>
      </c>
    </row>
    <row r="294" spans="1:26" ht="14.25" x14ac:dyDescent="0.2">
      <c r="A294" s="9">
        <v>45412</v>
      </c>
      <c r="B294" s="1" t="s">
        <v>1750</v>
      </c>
      <c r="C294" s="1" t="s">
        <v>11</v>
      </c>
      <c r="D294" s="5">
        <f t="shared" si="12"/>
        <v>1903.2012866977777</v>
      </c>
      <c r="E294" s="5">
        <f t="shared" si="13"/>
        <v>1854.1452951599363</v>
      </c>
      <c r="F294" s="1">
        <v>20</v>
      </c>
      <c r="G294" s="1">
        <v>100</v>
      </c>
      <c r="H294" s="6">
        <v>0.99409999999999998</v>
      </c>
      <c r="I294" s="4">
        <f t="shared" si="14"/>
        <v>49.055991537841457</v>
      </c>
      <c r="J294" s="6">
        <v>0.08</v>
      </c>
      <c r="K294" s="99">
        <v>1.0723</v>
      </c>
      <c r="L294" s="1" t="s">
        <v>887</v>
      </c>
      <c r="M294" s="1">
        <v>2</v>
      </c>
      <c r="N294" s="9">
        <v>45292</v>
      </c>
      <c r="O294" s="1" t="s">
        <v>1751</v>
      </c>
      <c r="P294" s="1" t="s">
        <v>984</v>
      </c>
      <c r="Q294" s="1" t="s">
        <v>1752</v>
      </c>
      <c r="R294" s="1" t="s">
        <v>1753</v>
      </c>
      <c r="S294" s="1" t="b">
        <v>1</v>
      </c>
      <c r="T294" s="9"/>
      <c r="U294" s="4"/>
      <c r="V294" s="4"/>
      <c r="W294" s="4"/>
      <c r="X294" s="4"/>
      <c r="Y294" s="4" t="str">
        <f>IF(anleihenkäufe[[#This Row],[Verkauft am]]="","",anleihenkäufe[[#This Row],[Gewinn aus Kursänderung]]+anleihenkäufe[[#This Row],[Gewinn aus Zinsen]]+anleihenkäufe[[#This Row],[Gewinn aus Währungseffekten]])</f>
        <v/>
      </c>
      <c r="Z294" s="156" t="str">
        <f>IF(anleihenkäufe[[#This Row],[Verkauft am]]="","",anleihenkäufe[[#This Row],[Gewinn gesamt]]/anleihenkäufe[[#This Row],[Dirty Kaufpreis]])</f>
        <v/>
      </c>
    </row>
    <row r="295" spans="1:26" ht="14.25" x14ac:dyDescent="0.2">
      <c r="A295" s="9">
        <v>45412</v>
      </c>
      <c r="B295" s="1" t="s">
        <v>1729</v>
      </c>
      <c r="C295" s="1" t="s">
        <v>0</v>
      </c>
      <c r="D295" s="5">
        <f t="shared" si="12"/>
        <v>2368.5816814196596</v>
      </c>
      <c r="E295" s="5">
        <f t="shared" si="13"/>
        <v>2306.4440921383939</v>
      </c>
      <c r="F295" s="1">
        <v>2</v>
      </c>
      <c r="G295" s="1">
        <v>1000</v>
      </c>
      <c r="H295" s="6">
        <v>1.2365999999999999</v>
      </c>
      <c r="I295" s="4">
        <f t="shared" si="14"/>
        <v>62.137589281265846</v>
      </c>
      <c r="J295" s="6">
        <v>0.08</v>
      </c>
      <c r="K295" s="99">
        <v>1.0723</v>
      </c>
      <c r="L295" s="1" t="s">
        <v>887</v>
      </c>
      <c r="M295" s="1">
        <v>2</v>
      </c>
      <c r="N295" s="9">
        <v>45260</v>
      </c>
      <c r="O295" s="1" t="s">
        <v>276</v>
      </c>
      <c r="P295" s="1" t="s">
        <v>57</v>
      </c>
      <c r="Q295" s="1" t="s">
        <v>1730</v>
      </c>
      <c r="R295" s="1" t="s">
        <v>1731</v>
      </c>
      <c r="S295" s="1" t="b">
        <v>1</v>
      </c>
      <c r="T295" s="9"/>
      <c r="U295" s="4"/>
      <c r="V295" s="4"/>
      <c r="W295" s="4"/>
      <c r="X295" s="4"/>
      <c r="Y295" s="4" t="str">
        <f>IF(anleihenkäufe[[#This Row],[Verkauft am]]="","",anleihenkäufe[[#This Row],[Gewinn aus Kursänderung]]+anleihenkäufe[[#This Row],[Gewinn aus Zinsen]]+anleihenkäufe[[#This Row],[Gewinn aus Währungseffekten]])</f>
        <v/>
      </c>
      <c r="Z295" s="156" t="str">
        <f>IF(anleihenkäufe[[#This Row],[Verkauft am]]="","",anleihenkäufe[[#This Row],[Gewinn gesamt]]/anleihenkäufe[[#This Row],[Dirty Kaufpreis]])</f>
        <v/>
      </c>
    </row>
    <row r="296" spans="1:26" ht="14.25" x14ac:dyDescent="0.2">
      <c r="A296" s="9">
        <v>45412</v>
      </c>
      <c r="B296" s="1" t="s">
        <v>1764</v>
      </c>
      <c r="C296" s="1" t="s">
        <v>0</v>
      </c>
      <c r="D296" s="5">
        <f t="shared" si="12"/>
        <v>2051.613546096663</v>
      </c>
      <c r="E296" s="5">
        <f t="shared" si="13"/>
        <v>1988.2495570269509</v>
      </c>
      <c r="F296" s="1">
        <v>2</v>
      </c>
      <c r="G296" s="1">
        <v>1000</v>
      </c>
      <c r="H296" s="6">
        <v>1.0659999999999998</v>
      </c>
      <c r="I296" s="4">
        <f t="shared" si="14"/>
        <v>63.363989069711884</v>
      </c>
      <c r="J296" s="6">
        <v>0.08</v>
      </c>
      <c r="K296" s="99">
        <v>1.0723</v>
      </c>
      <c r="L296" s="1" t="s">
        <v>887</v>
      </c>
      <c r="M296" s="1">
        <v>2</v>
      </c>
      <c r="N296" s="9">
        <v>45257</v>
      </c>
      <c r="O296" s="1" t="s">
        <v>1141</v>
      </c>
      <c r="P296" s="1" t="s">
        <v>52</v>
      </c>
      <c r="Q296" s="1" t="s">
        <v>1765</v>
      </c>
      <c r="R296" s="1" t="s">
        <v>1766</v>
      </c>
      <c r="S296" s="1" t="b">
        <v>1</v>
      </c>
      <c r="T296" s="9"/>
      <c r="U296" s="4"/>
      <c r="V296" s="4"/>
      <c r="W296" s="4"/>
      <c r="X296" s="4"/>
      <c r="Y296" s="4" t="str">
        <f>IF(anleihenkäufe[[#This Row],[Verkauft am]]="","",anleihenkäufe[[#This Row],[Gewinn aus Kursänderung]]+anleihenkäufe[[#This Row],[Gewinn aus Zinsen]]+anleihenkäufe[[#This Row],[Gewinn aus Währungseffekten]])</f>
        <v/>
      </c>
      <c r="Z296" s="156" t="str">
        <f>IF(anleihenkäufe[[#This Row],[Verkauft am]]="","",anleihenkäufe[[#This Row],[Gewinn gesamt]]/anleihenkäufe[[#This Row],[Dirty Kaufpreis]])</f>
        <v/>
      </c>
    </row>
    <row r="297" spans="1:26" ht="14.25" x14ac:dyDescent="0.2">
      <c r="A297" s="9">
        <v>45412</v>
      </c>
      <c r="B297" s="1" t="s">
        <v>1741</v>
      </c>
      <c r="C297" s="1" t="s">
        <v>0</v>
      </c>
      <c r="D297" s="5">
        <f t="shared" si="12"/>
        <v>2012.7034578086534</v>
      </c>
      <c r="E297" s="5">
        <f t="shared" si="13"/>
        <v>1948.5218688799775</v>
      </c>
      <c r="F297" s="1">
        <v>2</v>
      </c>
      <c r="G297" s="1">
        <v>1000</v>
      </c>
      <c r="H297" s="6">
        <v>1.0447</v>
      </c>
      <c r="I297" s="4">
        <f t="shared" si="14"/>
        <v>64.181588928675907</v>
      </c>
      <c r="J297" s="6">
        <v>0.08</v>
      </c>
      <c r="K297" s="99">
        <v>1.0723</v>
      </c>
      <c r="L297" s="1" t="s">
        <v>887</v>
      </c>
      <c r="M297" s="1">
        <v>2</v>
      </c>
      <c r="N297" s="9">
        <v>45255</v>
      </c>
      <c r="O297" s="1" t="s">
        <v>276</v>
      </c>
      <c r="P297" s="1" t="s">
        <v>39</v>
      </c>
      <c r="Q297" s="1" t="s">
        <v>1742</v>
      </c>
      <c r="R297" s="1" t="s">
        <v>1743</v>
      </c>
      <c r="S297" s="1" t="b">
        <v>1</v>
      </c>
      <c r="T297" s="9"/>
      <c r="U297" s="4"/>
      <c r="V297" s="4"/>
      <c r="W297" s="4"/>
      <c r="X297" s="4"/>
      <c r="Y297" s="4" t="str">
        <f>IF(anleihenkäufe[[#This Row],[Verkauft am]]="","",anleihenkäufe[[#This Row],[Gewinn aus Kursänderung]]+anleihenkäufe[[#This Row],[Gewinn aus Zinsen]]+anleihenkäufe[[#This Row],[Gewinn aus Währungseffekten]])</f>
        <v/>
      </c>
      <c r="Z297" s="156" t="str">
        <f>IF(anleihenkäufe[[#This Row],[Verkauft am]]="","",anleihenkäufe[[#This Row],[Gewinn gesamt]]/anleihenkäufe[[#This Row],[Dirty Kaufpreis]])</f>
        <v/>
      </c>
    </row>
    <row r="298" spans="1:26" ht="14.25" x14ac:dyDescent="0.2">
      <c r="A298" s="9">
        <v>45412</v>
      </c>
      <c r="B298" s="1" t="s">
        <v>1767</v>
      </c>
      <c r="C298" s="1" t="s">
        <v>0</v>
      </c>
      <c r="D298" s="5">
        <f t="shared" si="12"/>
        <v>1928.3475923600404</v>
      </c>
      <c r="E298" s="5">
        <f t="shared" si="13"/>
        <v>1860.4868040660263</v>
      </c>
      <c r="F298" s="1">
        <v>2</v>
      </c>
      <c r="G298" s="1">
        <v>1000</v>
      </c>
      <c r="H298" s="6">
        <v>0.99750000000000005</v>
      </c>
      <c r="I298" s="4">
        <f t="shared" si="14"/>
        <v>67.860788294014029</v>
      </c>
      <c r="J298" s="6">
        <v>0.08</v>
      </c>
      <c r="K298" s="99">
        <v>1.0723</v>
      </c>
      <c r="L298" s="1" t="s">
        <v>887</v>
      </c>
      <c r="M298" s="1">
        <v>2</v>
      </c>
      <c r="N298" s="9">
        <v>45246</v>
      </c>
      <c r="O298" s="1" t="s">
        <v>51</v>
      </c>
      <c r="P298" s="1" t="s">
        <v>39</v>
      </c>
      <c r="Q298" s="1" t="s">
        <v>1768</v>
      </c>
      <c r="R298" s="1" t="s">
        <v>1769</v>
      </c>
      <c r="S298" s="1" t="b">
        <v>1</v>
      </c>
      <c r="T298" s="9"/>
      <c r="U298" s="4"/>
      <c r="V298" s="4"/>
      <c r="W298" s="4"/>
      <c r="X298" s="4"/>
      <c r="Y298" s="4" t="str">
        <f>IF(anleihenkäufe[[#This Row],[Verkauft am]]="","",anleihenkäufe[[#This Row],[Gewinn aus Kursänderung]]+anleihenkäufe[[#This Row],[Gewinn aus Zinsen]]+anleihenkäufe[[#This Row],[Gewinn aus Währungseffekten]])</f>
        <v/>
      </c>
      <c r="Z298" s="156" t="str">
        <f>IF(anleihenkäufe[[#This Row],[Verkauft am]]="","",anleihenkäufe[[#This Row],[Gewinn gesamt]]/anleihenkäufe[[#This Row],[Dirty Kaufpreis]])</f>
        <v/>
      </c>
    </row>
    <row r="299" spans="1:26" ht="14.25" x14ac:dyDescent="0.2">
      <c r="A299" s="9">
        <v>45412</v>
      </c>
      <c r="B299" s="1" t="s">
        <v>1735</v>
      </c>
      <c r="C299" s="1" t="s">
        <v>10</v>
      </c>
      <c r="D299" s="5">
        <f t="shared" si="12"/>
        <v>1851.3526806416623</v>
      </c>
      <c r="E299" s="5">
        <f t="shared" si="13"/>
        <v>1783.0830924181664</v>
      </c>
      <c r="F299" s="1">
        <v>2</v>
      </c>
      <c r="G299" s="1">
        <v>1000</v>
      </c>
      <c r="H299" s="6">
        <v>0.95599999999999996</v>
      </c>
      <c r="I299" s="4">
        <f t="shared" si="14"/>
        <v>68.269588223496029</v>
      </c>
      <c r="J299" s="6">
        <v>0.08</v>
      </c>
      <c r="K299" s="99">
        <v>1.0723</v>
      </c>
      <c r="L299" s="1" t="s">
        <v>887</v>
      </c>
      <c r="M299" s="1">
        <v>2</v>
      </c>
      <c r="N299" s="9">
        <v>45245</v>
      </c>
      <c r="O299" s="1" t="s">
        <v>276</v>
      </c>
      <c r="P299" s="1" t="s">
        <v>39</v>
      </c>
      <c r="Q299" s="1" t="s">
        <v>1736</v>
      </c>
      <c r="R299" s="1" t="s">
        <v>1737</v>
      </c>
      <c r="S299" s="1" t="b">
        <v>1</v>
      </c>
      <c r="T299" s="9"/>
      <c r="U299" s="4"/>
      <c r="V299" s="4"/>
      <c r="W299" s="4"/>
      <c r="X299" s="4"/>
      <c r="Y299" s="4" t="str">
        <f>IF(anleihenkäufe[[#This Row],[Verkauft am]]="","",anleihenkäufe[[#This Row],[Gewinn aus Kursänderung]]+anleihenkäufe[[#This Row],[Gewinn aus Zinsen]]+anleihenkäufe[[#This Row],[Gewinn aus Währungseffekten]])</f>
        <v/>
      </c>
      <c r="Z299" s="156" t="str">
        <f>IF(anleihenkäufe[[#This Row],[Verkauft am]]="","",anleihenkäufe[[#This Row],[Gewinn gesamt]]/anleihenkäufe[[#This Row],[Dirty Kaufpreis]])</f>
        <v/>
      </c>
    </row>
    <row r="300" spans="1:26" ht="14.25" x14ac:dyDescent="0.2">
      <c r="A300" s="9">
        <v>45412</v>
      </c>
      <c r="B300" s="1" t="s">
        <v>1705</v>
      </c>
      <c r="C300" s="1" t="s">
        <v>4</v>
      </c>
      <c r="D300" s="5">
        <f t="shared" si="12"/>
        <v>1991.798451414767</v>
      </c>
      <c r="E300" s="5">
        <f t="shared" si="13"/>
        <v>1923.5288631912711</v>
      </c>
      <c r="F300" s="1">
        <v>2</v>
      </c>
      <c r="G300" s="1">
        <v>1000</v>
      </c>
      <c r="H300" s="6">
        <v>1.0312999999999999</v>
      </c>
      <c r="I300" s="4">
        <f t="shared" si="14"/>
        <v>68.269588223496029</v>
      </c>
      <c r="J300" s="6">
        <v>0.08</v>
      </c>
      <c r="K300" s="99">
        <v>1.0723</v>
      </c>
      <c r="L300" s="1" t="s">
        <v>887</v>
      </c>
      <c r="M300" s="1">
        <v>2</v>
      </c>
      <c r="N300" s="9">
        <v>45245</v>
      </c>
      <c r="O300" s="1" t="s">
        <v>276</v>
      </c>
      <c r="P300" s="1" t="s">
        <v>1011</v>
      </c>
      <c r="Q300" s="1" t="s">
        <v>1706</v>
      </c>
      <c r="R300" s="1" t="s">
        <v>1707</v>
      </c>
      <c r="S300" s="1" t="b">
        <v>1</v>
      </c>
      <c r="T300" s="9"/>
      <c r="U300" s="4"/>
      <c r="V300" s="4"/>
      <c r="W300" s="4"/>
      <c r="X300" s="4"/>
      <c r="Y300" s="4" t="str">
        <f>IF(anleihenkäufe[[#This Row],[Verkauft am]]="","",anleihenkäufe[[#This Row],[Gewinn aus Kursänderung]]+anleihenkäufe[[#This Row],[Gewinn aus Zinsen]]+anleihenkäufe[[#This Row],[Gewinn aus Währungseffekten]])</f>
        <v/>
      </c>
      <c r="Z300" s="156" t="str">
        <f>IF(anleihenkäufe[[#This Row],[Verkauft am]]="","",anleihenkäufe[[#This Row],[Gewinn gesamt]]/anleihenkäufe[[#This Row],[Dirty Kaufpreis]])</f>
        <v/>
      </c>
    </row>
    <row r="301" spans="1:26" ht="14.25" x14ac:dyDescent="0.2">
      <c r="A301" s="9">
        <v>45412</v>
      </c>
      <c r="B301" s="1" t="s">
        <v>1732</v>
      </c>
      <c r="C301" s="1" t="s">
        <v>10</v>
      </c>
      <c r="D301" s="5">
        <f t="shared" si="12"/>
        <v>1949.2142737605377</v>
      </c>
      <c r="E301" s="5">
        <f t="shared" si="13"/>
        <v>1875.2214865242936</v>
      </c>
      <c r="F301" s="1">
        <v>2</v>
      </c>
      <c r="G301" s="1">
        <v>1000</v>
      </c>
      <c r="H301" s="6">
        <v>1.0054000000000001</v>
      </c>
      <c r="I301" s="4">
        <f t="shared" si="14"/>
        <v>73.992787236244197</v>
      </c>
      <c r="J301" s="6">
        <v>0.08</v>
      </c>
      <c r="K301" s="99">
        <v>1.0723</v>
      </c>
      <c r="L301" s="1" t="s">
        <v>887</v>
      </c>
      <c r="M301" s="1">
        <v>2</v>
      </c>
      <c r="N301" s="9">
        <v>45231</v>
      </c>
      <c r="O301" s="1" t="s">
        <v>276</v>
      </c>
      <c r="P301" s="1" t="s">
        <v>61</v>
      </c>
      <c r="Q301" s="1" t="s">
        <v>1733</v>
      </c>
      <c r="R301" s="1" t="s">
        <v>1734</v>
      </c>
      <c r="S301" s="1" t="b">
        <v>1</v>
      </c>
      <c r="T301" s="9"/>
      <c r="U301" s="4"/>
      <c r="V301" s="4"/>
      <c r="W301" s="4"/>
      <c r="X301" s="4"/>
      <c r="Y301" s="4" t="str">
        <f>IF(anleihenkäufe[[#This Row],[Verkauft am]]="","",anleihenkäufe[[#This Row],[Gewinn aus Kursänderung]]+anleihenkäufe[[#This Row],[Gewinn aus Zinsen]]+anleihenkäufe[[#This Row],[Gewinn aus Währungseffekten]])</f>
        <v/>
      </c>
      <c r="Z301" s="156" t="str">
        <f>IF(anleihenkäufe[[#This Row],[Verkauft am]]="","",anleihenkäufe[[#This Row],[Gewinn gesamt]]/anleihenkäufe[[#This Row],[Dirty Kaufpreis]])</f>
        <v/>
      </c>
    </row>
    <row r="302" spans="1:26" ht="14.25" x14ac:dyDescent="0.2">
      <c r="A302" s="9">
        <v>45412</v>
      </c>
      <c r="B302" s="1" t="s">
        <v>1708</v>
      </c>
      <c r="C302" s="1" t="s">
        <v>0</v>
      </c>
      <c r="D302" s="5">
        <f t="shared" si="12"/>
        <v>2083.1320206597265</v>
      </c>
      <c r="E302" s="5">
        <f t="shared" si="13"/>
        <v>2009.1392334234822</v>
      </c>
      <c r="F302" s="1">
        <v>2</v>
      </c>
      <c r="G302" s="1">
        <v>1000</v>
      </c>
      <c r="H302" s="6">
        <v>1.0771999999999999</v>
      </c>
      <c r="I302" s="4">
        <f t="shared" si="14"/>
        <v>73.992787236244197</v>
      </c>
      <c r="J302" s="6">
        <v>0.08</v>
      </c>
      <c r="K302" s="99">
        <v>1.0723</v>
      </c>
      <c r="L302" s="1" t="s">
        <v>887</v>
      </c>
      <c r="M302" s="1">
        <v>2</v>
      </c>
      <c r="N302" s="9">
        <v>45231</v>
      </c>
      <c r="O302" s="1" t="s">
        <v>276</v>
      </c>
      <c r="P302" s="1" t="s">
        <v>1011</v>
      </c>
      <c r="Q302" s="1" t="s">
        <v>1709</v>
      </c>
      <c r="R302" s="1" t="s">
        <v>1710</v>
      </c>
      <c r="S302" s="1" t="b">
        <v>1</v>
      </c>
      <c r="T302" s="9"/>
      <c r="U302" s="4"/>
      <c r="V302" s="4"/>
      <c r="W302" s="4"/>
      <c r="X302" s="4"/>
      <c r="Y302" s="4" t="str">
        <f>IF(anleihenkäufe[[#This Row],[Verkauft am]]="","",anleihenkäufe[[#This Row],[Gewinn aus Kursänderung]]+anleihenkäufe[[#This Row],[Gewinn aus Zinsen]]+anleihenkäufe[[#This Row],[Gewinn aus Währungseffekten]])</f>
        <v/>
      </c>
      <c r="Z302" s="156" t="str">
        <f>IF(anleihenkäufe[[#This Row],[Verkauft am]]="","",anleihenkäufe[[#This Row],[Gewinn gesamt]]/anleihenkäufe[[#This Row],[Dirty Kaufpreis]])</f>
        <v/>
      </c>
    </row>
    <row r="303" spans="1:26" ht="14.25" x14ac:dyDescent="0.2">
      <c r="A303" s="9">
        <v>45412</v>
      </c>
      <c r="B303" s="1" t="s">
        <v>1699</v>
      </c>
      <c r="C303" s="1" t="s">
        <v>0</v>
      </c>
      <c r="D303" s="5">
        <f t="shared" si="12"/>
        <v>1833.9947801359006</v>
      </c>
      <c r="E303" s="5">
        <f t="shared" si="13"/>
        <v>1777.6741583512078</v>
      </c>
      <c r="F303" s="1">
        <v>2</v>
      </c>
      <c r="G303" s="1">
        <v>1000</v>
      </c>
      <c r="H303" s="6">
        <v>0.95310000000000006</v>
      </c>
      <c r="I303" s="4">
        <f t="shared" si="14"/>
        <v>56.320621784692733</v>
      </c>
      <c r="J303" s="6">
        <v>8.0449999999999994E-2</v>
      </c>
      <c r="K303" s="99">
        <v>1.0723</v>
      </c>
      <c r="L303" s="1" t="s">
        <v>887</v>
      </c>
      <c r="M303" s="1">
        <v>2</v>
      </c>
      <c r="N303" s="9">
        <v>45275</v>
      </c>
      <c r="O303" s="1" t="s">
        <v>986</v>
      </c>
      <c r="P303" s="1" t="s">
        <v>39</v>
      </c>
      <c r="Q303" s="1" t="s">
        <v>1700</v>
      </c>
      <c r="R303" s="1" t="s">
        <v>1701</v>
      </c>
      <c r="S303" s="1" t="b">
        <v>1</v>
      </c>
      <c r="T303" s="96"/>
      <c r="U303" s="97"/>
      <c r="V303" s="97"/>
      <c r="W303" s="97"/>
      <c r="X303" s="97"/>
      <c r="Y303" s="97" t="str">
        <f>IF(anleihenkäufe[[#This Row],[Verkauft am]]="","",anleihenkäufe[[#This Row],[Gewinn aus Kursänderung]]+anleihenkäufe[[#This Row],[Gewinn aus Zinsen]]+anleihenkäufe[[#This Row],[Gewinn aus Währungseffekten]])</f>
        <v/>
      </c>
      <c r="Z303" s="156" t="str">
        <f>IF(anleihenkäufe[[#This Row],[Verkauft am]]="","",anleihenkäufe[[#This Row],[Gewinn gesamt]]/anleihenkäufe[[#This Row],[Dirty Kaufpreis]])</f>
        <v/>
      </c>
    </row>
    <row r="304" spans="1:26" ht="14.25" x14ac:dyDescent="0.2">
      <c r="A304" s="9">
        <v>45412</v>
      </c>
      <c r="B304" s="1" t="s">
        <v>1696</v>
      </c>
      <c r="C304" s="1" t="s">
        <v>4</v>
      </c>
      <c r="D304" s="5">
        <f t="shared" si="12"/>
        <v>2057.088910152163</v>
      </c>
      <c r="E304" s="5">
        <f t="shared" si="13"/>
        <v>2050.9185862165436</v>
      </c>
      <c r="F304" s="1">
        <v>2</v>
      </c>
      <c r="G304" s="1">
        <v>1000</v>
      </c>
      <c r="H304" s="6">
        <v>1.0995999999999999</v>
      </c>
      <c r="I304" s="4">
        <f t="shared" si="14"/>
        <v>6.1703239356191215</v>
      </c>
      <c r="J304" s="6">
        <v>8.0500000000000002E-2</v>
      </c>
      <c r="K304" s="99">
        <v>1.0723</v>
      </c>
      <c r="L304" s="1" t="s">
        <v>887</v>
      </c>
      <c r="M304" s="1">
        <v>2</v>
      </c>
      <c r="N304" s="9">
        <v>45397</v>
      </c>
      <c r="O304" s="1" t="s">
        <v>276</v>
      </c>
      <c r="P304" s="1" t="s">
        <v>39</v>
      </c>
      <c r="Q304" s="1" t="s">
        <v>1697</v>
      </c>
      <c r="R304" s="1" t="s">
        <v>1698</v>
      </c>
      <c r="S304" s="1" t="b">
        <v>1</v>
      </c>
      <c r="T304" s="9"/>
      <c r="U304" s="4"/>
      <c r="V304" s="4"/>
      <c r="W304" s="4"/>
      <c r="X304" s="4"/>
      <c r="Y304" s="4" t="str">
        <f>IF(anleihenkäufe[[#This Row],[Verkauft am]]="","",anleihenkäufe[[#This Row],[Gewinn aus Kursänderung]]+anleihenkäufe[[#This Row],[Gewinn aus Zinsen]]+anleihenkäufe[[#This Row],[Gewinn aus Währungseffekten]])</f>
        <v/>
      </c>
      <c r="Z304" s="156" t="str">
        <f>IF(anleihenkäufe[[#This Row],[Verkauft am]]="","",anleihenkäufe[[#This Row],[Gewinn gesamt]]/anleihenkäufe[[#This Row],[Dirty Kaufpreis]])</f>
        <v/>
      </c>
    </row>
    <row r="305" spans="1:26" ht="14.25" x14ac:dyDescent="0.2">
      <c r="A305" s="9">
        <v>45412</v>
      </c>
      <c r="B305" s="1" t="s">
        <v>1693</v>
      </c>
      <c r="C305" s="1" t="s">
        <v>11</v>
      </c>
      <c r="D305" s="5">
        <f t="shared" si="12"/>
        <v>1432.8028728415045</v>
      </c>
      <c r="E305" s="5">
        <f t="shared" si="13"/>
        <v>1398.8622586962604</v>
      </c>
      <c r="F305" s="1">
        <v>2000</v>
      </c>
      <c r="G305" s="1">
        <v>1</v>
      </c>
      <c r="H305" s="6">
        <v>0.75</v>
      </c>
      <c r="I305" s="4">
        <f t="shared" si="14"/>
        <v>33.940614145244069</v>
      </c>
      <c r="J305" s="6">
        <v>8.1000000000000003E-2</v>
      </c>
      <c r="K305" s="99">
        <v>1.0723</v>
      </c>
      <c r="L305" s="1" t="s">
        <v>887</v>
      </c>
      <c r="M305" s="1">
        <v>2</v>
      </c>
      <c r="N305" s="9">
        <v>45330</v>
      </c>
      <c r="O305" s="1" t="s">
        <v>1105</v>
      </c>
      <c r="P305" s="1" t="s">
        <v>39</v>
      </c>
      <c r="Q305" s="1" t="s">
        <v>1694</v>
      </c>
      <c r="R305" s="1" t="s">
        <v>1695</v>
      </c>
      <c r="S305" s="1" t="b">
        <v>1</v>
      </c>
      <c r="T305" s="96"/>
      <c r="U305" s="97"/>
      <c r="V305" s="97"/>
      <c r="W305" s="97"/>
      <c r="X305" s="97"/>
      <c r="Y305" s="97" t="str">
        <f>IF(anleihenkäufe[[#This Row],[Verkauft am]]="","",anleihenkäufe[[#This Row],[Gewinn aus Kursänderung]]+anleihenkäufe[[#This Row],[Gewinn aus Zinsen]]+anleihenkäufe[[#This Row],[Gewinn aus Währungseffekten]])</f>
        <v/>
      </c>
      <c r="Z305" s="156" t="str">
        <f>IF(anleihenkäufe[[#This Row],[Verkauft am]]="","",anleihenkäufe[[#This Row],[Gewinn gesamt]]/anleihenkäufe[[#This Row],[Dirty Kaufpreis]])</f>
        <v/>
      </c>
    </row>
    <row r="306" spans="1:26" ht="14.25" x14ac:dyDescent="0.2">
      <c r="A306" s="9">
        <v>45412</v>
      </c>
      <c r="B306" s="1" t="s">
        <v>1602</v>
      </c>
      <c r="C306" s="1" t="s">
        <v>5</v>
      </c>
      <c r="D306" s="5">
        <f t="shared" si="12"/>
        <v>2227.4051807726059</v>
      </c>
      <c r="E306" s="5">
        <f t="shared" si="13"/>
        <v>2183.5307283409488</v>
      </c>
      <c r="F306" s="1">
        <v>2</v>
      </c>
      <c r="G306" s="1">
        <v>1000</v>
      </c>
      <c r="H306" s="6">
        <v>1.1706999999999999</v>
      </c>
      <c r="I306" s="4">
        <f t="shared" si="14"/>
        <v>43.874452431656948</v>
      </c>
      <c r="J306" s="6">
        <v>8.1000000000000003E-2</v>
      </c>
      <c r="K306" s="99">
        <v>1.0723</v>
      </c>
      <c r="L306" s="1" t="s">
        <v>887</v>
      </c>
      <c r="M306" s="1">
        <v>2</v>
      </c>
      <c r="N306" s="9">
        <v>45306</v>
      </c>
      <c r="O306" s="1" t="s">
        <v>276</v>
      </c>
      <c r="P306" s="1" t="s">
        <v>39</v>
      </c>
      <c r="Q306" s="1" t="s">
        <v>1603</v>
      </c>
      <c r="R306" s="1" t="s">
        <v>1604</v>
      </c>
      <c r="S306" s="1" t="b">
        <v>1</v>
      </c>
      <c r="T306" s="9"/>
      <c r="U306" s="4"/>
      <c r="V306" s="4"/>
      <c r="W306" s="4"/>
      <c r="X306" s="4"/>
      <c r="Y306" s="4" t="str">
        <f>IF(anleihenkäufe[[#This Row],[Verkauft am]]="","",anleihenkäufe[[#This Row],[Gewinn aus Kursänderung]]+anleihenkäufe[[#This Row],[Gewinn aus Zinsen]]+anleihenkäufe[[#This Row],[Gewinn aus Währungseffekten]])</f>
        <v/>
      </c>
      <c r="Z306" s="156" t="str">
        <f>IF(anleihenkäufe[[#This Row],[Verkauft am]]="","",anleihenkäufe[[#This Row],[Gewinn gesamt]]/anleihenkäufe[[#This Row],[Dirty Kaufpreis]])</f>
        <v/>
      </c>
    </row>
    <row r="307" spans="1:26" ht="14.25" x14ac:dyDescent="0.2">
      <c r="A307" s="9">
        <v>45412</v>
      </c>
      <c r="B307" s="1" t="s">
        <v>1683</v>
      </c>
      <c r="C307" s="1" t="s">
        <v>0</v>
      </c>
      <c r="D307" s="5">
        <f t="shared" si="12"/>
        <v>1911.9649351860489</v>
      </c>
      <c r="E307" s="5">
        <f t="shared" si="13"/>
        <v>1911.9649351860489</v>
      </c>
      <c r="F307" s="1">
        <v>2</v>
      </c>
      <c r="G307" s="1">
        <v>1000</v>
      </c>
      <c r="H307" s="6">
        <v>1.0251000000000001</v>
      </c>
      <c r="I307" s="4">
        <f t="shared" si="14"/>
        <v>0</v>
      </c>
      <c r="J307" s="6">
        <v>8.1250000000000003E-2</v>
      </c>
      <c r="K307" s="99">
        <v>1.0723</v>
      </c>
      <c r="L307" s="1" t="s">
        <v>887</v>
      </c>
      <c r="M307" s="1">
        <v>4</v>
      </c>
      <c r="N307" s="9">
        <v>45412</v>
      </c>
      <c r="O307" s="1" t="s">
        <v>1096</v>
      </c>
      <c r="P307" s="1" t="s">
        <v>39</v>
      </c>
      <c r="Q307" s="1" t="s">
        <v>1684</v>
      </c>
      <c r="R307" s="1" t="s">
        <v>1685</v>
      </c>
      <c r="S307" s="1" t="b">
        <v>1</v>
      </c>
      <c r="T307" s="9"/>
      <c r="U307" s="4"/>
      <c r="V307" s="4"/>
      <c r="W307" s="4"/>
      <c r="X307" s="4"/>
      <c r="Y307" s="4" t="str">
        <f>IF(anleihenkäufe[[#This Row],[Verkauft am]]="","",anleihenkäufe[[#This Row],[Gewinn aus Kursänderung]]+anleihenkäufe[[#This Row],[Gewinn aus Zinsen]]+anleihenkäufe[[#This Row],[Gewinn aus Währungseffekten]])</f>
        <v/>
      </c>
      <c r="Z307" s="156" t="str">
        <f>IF(anleihenkäufe[[#This Row],[Verkauft am]]="","",anleihenkäufe[[#This Row],[Gewinn gesamt]]/anleihenkäufe[[#This Row],[Dirty Kaufpreis]])</f>
        <v/>
      </c>
    </row>
    <row r="308" spans="1:26" ht="14.25" x14ac:dyDescent="0.2">
      <c r="A308" s="9">
        <v>45412</v>
      </c>
      <c r="B308" s="1" t="s">
        <v>1686</v>
      </c>
      <c r="C308" s="1" t="s">
        <v>11</v>
      </c>
      <c r="D308" s="5">
        <f t="shared" si="12"/>
        <v>1982.7333129785029</v>
      </c>
      <c r="E308" s="5">
        <f t="shared" si="13"/>
        <v>1972.768814697379</v>
      </c>
      <c r="F308" s="1">
        <v>2</v>
      </c>
      <c r="G308" s="1">
        <v>1000</v>
      </c>
      <c r="H308" s="6">
        <v>1.0576999999999999</v>
      </c>
      <c r="I308" s="4">
        <f t="shared" si="14"/>
        <v>9.9644982811240457</v>
      </c>
      <c r="J308" s="6">
        <v>8.1250000000000003E-2</v>
      </c>
      <c r="K308" s="99">
        <v>1.0723</v>
      </c>
      <c r="L308" s="1" t="s">
        <v>887</v>
      </c>
      <c r="M308" s="1">
        <v>2</v>
      </c>
      <c r="N308" s="9">
        <v>45388</v>
      </c>
      <c r="O308" s="1" t="s">
        <v>1687</v>
      </c>
      <c r="P308" s="1" t="s">
        <v>52</v>
      </c>
      <c r="Q308" s="1" t="s">
        <v>1688</v>
      </c>
      <c r="R308" s="1" t="s">
        <v>1689</v>
      </c>
      <c r="S308" s="1" t="b">
        <v>1</v>
      </c>
      <c r="T308" s="9"/>
      <c r="U308" s="4"/>
      <c r="V308" s="4"/>
      <c r="W308" s="4"/>
      <c r="X308" s="4"/>
      <c r="Y308" s="4" t="str">
        <f>IF(anleihenkäufe[[#This Row],[Verkauft am]]="","",anleihenkäufe[[#This Row],[Gewinn aus Kursänderung]]+anleihenkäufe[[#This Row],[Gewinn aus Zinsen]]+anleihenkäufe[[#This Row],[Gewinn aus Währungseffekten]])</f>
        <v/>
      </c>
      <c r="Z308" s="156" t="str">
        <f>IF(anleihenkäufe[[#This Row],[Verkauft am]]="","",anleihenkäufe[[#This Row],[Gewinn gesamt]]/anleihenkäufe[[#This Row],[Dirty Kaufpreis]])</f>
        <v/>
      </c>
    </row>
    <row r="309" spans="1:26" ht="14.25" x14ac:dyDescent="0.2">
      <c r="A309" s="9">
        <v>45412</v>
      </c>
      <c r="B309" s="1" t="s">
        <v>1674</v>
      </c>
      <c r="C309" s="1" t="s">
        <v>0</v>
      </c>
      <c r="D309" s="5">
        <f t="shared" si="12"/>
        <v>1622.6035701008841</v>
      </c>
      <c r="E309" s="5">
        <f t="shared" si="13"/>
        <v>1606.8264478224378</v>
      </c>
      <c r="F309" s="1">
        <v>2</v>
      </c>
      <c r="G309" s="1">
        <v>1000</v>
      </c>
      <c r="H309" s="6">
        <v>0.86150000000000004</v>
      </c>
      <c r="I309" s="4">
        <f t="shared" si="14"/>
        <v>15.777122278446406</v>
      </c>
      <c r="J309" s="6">
        <v>8.1250000000000003E-2</v>
      </c>
      <c r="K309" s="99">
        <v>1.0723</v>
      </c>
      <c r="L309" s="1" t="s">
        <v>887</v>
      </c>
      <c r="M309" s="1">
        <v>4</v>
      </c>
      <c r="N309" s="9">
        <v>45374</v>
      </c>
      <c r="O309" s="1" t="s">
        <v>102</v>
      </c>
      <c r="P309" s="1" t="s">
        <v>1533</v>
      </c>
      <c r="Q309" s="1" t="s">
        <v>1675</v>
      </c>
      <c r="R309" s="1" t="s">
        <v>1676</v>
      </c>
      <c r="S309" s="1" t="b">
        <v>1</v>
      </c>
      <c r="T309" s="96"/>
      <c r="U309" s="97"/>
      <c r="V309" s="97"/>
      <c r="W309" s="97"/>
      <c r="X309" s="97"/>
      <c r="Y309" s="97" t="str">
        <f>IF(anleihenkäufe[[#This Row],[Verkauft am]]="","",anleihenkäufe[[#This Row],[Gewinn aus Kursänderung]]+anleihenkäufe[[#This Row],[Gewinn aus Zinsen]]+anleihenkäufe[[#This Row],[Gewinn aus Währungseffekten]])</f>
        <v/>
      </c>
      <c r="Z309" s="156" t="str">
        <f>IF(anleihenkäufe[[#This Row],[Verkauft am]]="","",anleihenkäufe[[#This Row],[Gewinn gesamt]]/anleihenkäufe[[#This Row],[Dirty Kaufpreis]])</f>
        <v/>
      </c>
    </row>
    <row r="310" spans="1:26" ht="14.25" x14ac:dyDescent="0.2">
      <c r="A310" s="9">
        <v>45412</v>
      </c>
      <c r="B310" s="1" t="s">
        <v>1668</v>
      </c>
      <c r="C310" s="1" t="s">
        <v>8</v>
      </c>
      <c r="D310" s="5">
        <f t="shared" si="12"/>
        <v>1459.1283108003663</v>
      </c>
      <c r="E310" s="5">
        <f t="shared" si="13"/>
        <v>1422.1766296745313</v>
      </c>
      <c r="F310" s="1">
        <v>2</v>
      </c>
      <c r="G310" s="1">
        <v>1000</v>
      </c>
      <c r="H310" s="6">
        <v>0.76249999999999996</v>
      </c>
      <c r="I310" s="4">
        <f t="shared" si="14"/>
        <v>36.951681125835002</v>
      </c>
      <c r="J310" s="6">
        <v>8.1250000000000003E-2</v>
      </c>
      <c r="K310" s="99">
        <v>1.0723</v>
      </c>
      <c r="L310" s="1" t="s">
        <v>887</v>
      </c>
      <c r="M310" s="1">
        <v>2</v>
      </c>
      <c r="N310" s="9">
        <v>45323</v>
      </c>
      <c r="O310" s="1" t="s">
        <v>102</v>
      </c>
      <c r="P310" s="1" t="s">
        <v>1011</v>
      </c>
      <c r="Q310" s="1" t="s">
        <v>1669</v>
      </c>
      <c r="R310" s="1" t="s">
        <v>1670</v>
      </c>
      <c r="S310" s="1" t="b">
        <v>1</v>
      </c>
      <c r="T310" s="96"/>
      <c r="U310" s="97"/>
      <c r="V310" s="97"/>
      <c r="W310" s="97"/>
      <c r="X310" s="97"/>
      <c r="Y310" s="97" t="str">
        <f>IF(anleihenkäufe[[#This Row],[Verkauft am]]="","",anleihenkäufe[[#This Row],[Gewinn aus Kursänderung]]+anleihenkäufe[[#This Row],[Gewinn aus Zinsen]]+anleihenkäufe[[#This Row],[Gewinn aus Währungseffekten]])</f>
        <v/>
      </c>
      <c r="Z310" s="156" t="str">
        <f>IF(anleihenkäufe[[#This Row],[Verkauft am]]="","",anleihenkäufe[[#This Row],[Gewinn gesamt]]/anleihenkäufe[[#This Row],[Dirty Kaufpreis]])</f>
        <v/>
      </c>
    </row>
    <row r="311" spans="1:26" ht="14.25" x14ac:dyDescent="0.2">
      <c r="A311" s="9">
        <v>45412</v>
      </c>
      <c r="B311" s="1" t="s">
        <v>1671</v>
      </c>
      <c r="C311" s="1" t="s">
        <v>0</v>
      </c>
      <c r="D311" s="5">
        <f t="shared" si="12"/>
        <v>2302.8926427510191</v>
      </c>
      <c r="E311" s="5">
        <f t="shared" si="13"/>
        <v>2258.8827753427213</v>
      </c>
      <c r="F311" s="1">
        <v>2</v>
      </c>
      <c r="G311" s="1">
        <v>1000</v>
      </c>
      <c r="H311" s="6">
        <v>1.2111000000000001</v>
      </c>
      <c r="I311" s="4">
        <f t="shared" si="14"/>
        <v>44.009867408297872</v>
      </c>
      <c r="J311" s="6">
        <v>8.1250000000000003E-2</v>
      </c>
      <c r="K311" s="99">
        <v>1.0723</v>
      </c>
      <c r="L311" s="1" t="s">
        <v>887</v>
      </c>
      <c r="M311" s="1">
        <v>2</v>
      </c>
      <c r="N311" s="9">
        <v>45306</v>
      </c>
      <c r="O311" s="1" t="s">
        <v>276</v>
      </c>
      <c r="P311" s="1" t="s">
        <v>39</v>
      </c>
      <c r="Q311" s="1" t="s">
        <v>1672</v>
      </c>
      <c r="R311" s="1" t="s">
        <v>1673</v>
      </c>
      <c r="S311" s="1" t="b">
        <v>1</v>
      </c>
      <c r="T311" s="9"/>
      <c r="U311" s="4"/>
      <c r="V311" s="4"/>
      <c r="W311" s="4"/>
      <c r="X311" s="4"/>
      <c r="Y311" s="4" t="str">
        <f>IF(anleihenkäufe[[#This Row],[Verkauft am]]="","",anleihenkäufe[[#This Row],[Gewinn aus Kursänderung]]+anleihenkäufe[[#This Row],[Gewinn aus Zinsen]]+anleihenkäufe[[#This Row],[Gewinn aus Währungseffekten]])</f>
        <v/>
      </c>
      <c r="Z311" s="156" t="str">
        <f>IF(anleihenkäufe[[#This Row],[Verkauft am]]="","",anleihenkäufe[[#This Row],[Gewinn gesamt]]/anleihenkäufe[[#This Row],[Dirty Kaufpreis]])</f>
        <v/>
      </c>
    </row>
    <row r="312" spans="1:26" ht="14.25" x14ac:dyDescent="0.2">
      <c r="A312" s="9">
        <v>45412</v>
      </c>
      <c r="B312" s="1" t="s">
        <v>1680</v>
      </c>
      <c r="C312" s="1" t="s">
        <v>8</v>
      </c>
      <c r="D312" s="5">
        <f t="shared" si="12"/>
        <v>1945.3741094229661</v>
      </c>
      <c r="E312" s="5">
        <f t="shared" si="13"/>
        <v>1895.5516180173458</v>
      </c>
      <c r="F312" s="1">
        <v>2</v>
      </c>
      <c r="G312" s="1">
        <v>1000</v>
      </c>
      <c r="H312" s="6">
        <v>1.0163</v>
      </c>
      <c r="I312" s="4">
        <f t="shared" si="14"/>
        <v>49.822491405620234</v>
      </c>
      <c r="J312" s="6">
        <v>8.1250000000000003E-2</v>
      </c>
      <c r="K312" s="99">
        <v>1.0723</v>
      </c>
      <c r="L312" s="1" t="s">
        <v>887</v>
      </c>
      <c r="M312" s="1">
        <v>2</v>
      </c>
      <c r="N312" s="9">
        <v>45292</v>
      </c>
      <c r="O312" s="1" t="s">
        <v>276</v>
      </c>
      <c r="P312" s="1" t="s">
        <v>1011</v>
      </c>
      <c r="Q312" s="1" t="s">
        <v>1681</v>
      </c>
      <c r="R312" s="1" t="s">
        <v>1682</v>
      </c>
      <c r="S312" s="1" t="b">
        <v>1</v>
      </c>
      <c r="T312" s="9"/>
      <c r="U312" s="4"/>
      <c r="V312" s="4"/>
      <c r="W312" s="4"/>
      <c r="X312" s="4"/>
      <c r="Y312" s="4" t="str">
        <f>IF(anleihenkäufe[[#This Row],[Verkauft am]]="","",anleihenkäufe[[#This Row],[Gewinn aus Kursänderung]]+anleihenkäufe[[#This Row],[Gewinn aus Zinsen]]+anleihenkäufe[[#This Row],[Gewinn aus Währungseffekten]])</f>
        <v/>
      </c>
      <c r="Z312" s="156" t="str">
        <f>IF(anleihenkäufe[[#This Row],[Verkauft am]]="","",anleihenkäufe[[#This Row],[Gewinn gesamt]]/anleihenkäufe[[#This Row],[Dirty Kaufpreis]])</f>
        <v/>
      </c>
    </row>
    <row r="313" spans="1:26" ht="14.25" x14ac:dyDescent="0.2">
      <c r="A313" s="9">
        <v>45412</v>
      </c>
      <c r="B313" s="1" t="s">
        <v>1677</v>
      </c>
      <c r="C313" s="1" t="s">
        <v>7</v>
      </c>
      <c r="D313" s="5">
        <f t="shared" si="12"/>
        <v>1941.4279126036849</v>
      </c>
      <c r="E313" s="5">
        <f t="shared" si="13"/>
        <v>1884.5472349156018</v>
      </c>
      <c r="F313" s="1">
        <v>2</v>
      </c>
      <c r="G313" s="1">
        <v>1000</v>
      </c>
      <c r="H313" s="6">
        <v>1.0104</v>
      </c>
      <c r="I313" s="4">
        <f t="shared" si="14"/>
        <v>56.880677688083097</v>
      </c>
      <c r="J313" s="6">
        <v>8.1250000000000003E-2</v>
      </c>
      <c r="K313" s="99">
        <v>1.0723</v>
      </c>
      <c r="L313" s="1" t="s">
        <v>887</v>
      </c>
      <c r="M313" s="1">
        <v>2</v>
      </c>
      <c r="N313" s="9">
        <v>45275</v>
      </c>
      <c r="O313" s="1" t="s">
        <v>276</v>
      </c>
      <c r="P313" s="1" t="s">
        <v>109</v>
      </c>
      <c r="Q313" s="1" t="s">
        <v>1678</v>
      </c>
      <c r="R313" s="1" t="s">
        <v>1679</v>
      </c>
      <c r="S313" s="1" t="b">
        <v>1</v>
      </c>
      <c r="T313" s="9"/>
      <c r="U313" s="4"/>
      <c r="V313" s="4"/>
      <c r="W313" s="4"/>
      <c r="X313" s="4"/>
      <c r="Y313" s="4" t="str">
        <f>IF(anleihenkäufe[[#This Row],[Verkauft am]]="","",anleihenkäufe[[#This Row],[Gewinn aus Kursänderung]]+anleihenkäufe[[#This Row],[Gewinn aus Zinsen]]+anleihenkäufe[[#This Row],[Gewinn aus Währungseffekten]])</f>
        <v/>
      </c>
      <c r="Z313" s="156" t="str">
        <f>IF(anleihenkäufe[[#This Row],[Verkauft am]]="","",anleihenkäufe[[#This Row],[Gewinn gesamt]]/anleihenkäufe[[#This Row],[Dirty Kaufpreis]])</f>
        <v/>
      </c>
    </row>
    <row r="314" spans="1:26" ht="14.25" x14ac:dyDescent="0.2">
      <c r="A314" s="9">
        <v>45412</v>
      </c>
      <c r="B314" s="1" t="s">
        <v>1690</v>
      </c>
      <c r="C314" s="1" t="s">
        <v>0</v>
      </c>
      <c r="D314" s="5">
        <f t="shared" si="12"/>
        <v>1948.4375538945219</v>
      </c>
      <c r="E314" s="5">
        <f t="shared" si="13"/>
        <v>1888.6505642077775</v>
      </c>
      <c r="F314" s="1">
        <v>2</v>
      </c>
      <c r="G314" s="1">
        <v>1000</v>
      </c>
      <c r="H314" s="6">
        <v>1.0125999999999999</v>
      </c>
      <c r="I314" s="4">
        <f t="shared" si="14"/>
        <v>59.786989686744278</v>
      </c>
      <c r="J314" s="6">
        <v>8.1250000000000003E-2</v>
      </c>
      <c r="K314" s="99">
        <v>1.0723</v>
      </c>
      <c r="L314" s="1" t="s">
        <v>887</v>
      </c>
      <c r="M314" s="1">
        <v>2</v>
      </c>
      <c r="N314" s="9">
        <v>45268</v>
      </c>
      <c r="O314" s="1" t="s">
        <v>986</v>
      </c>
      <c r="P314" s="1" t="s">
        <v>39</v>
      </c>
      <c r="Q314" s="1" t="s">
        <v>1691</v>
      </c>
      <c r="R314" s="1" t="s">
        <v>1692</v>
      </c>
      <c r="S314" s="1" t="b">
        <v>1</v>
      </c>
      <c r="T314" s="9"/>
      <c r="U314" s="4"/>
      <c r="V314" s="4"/>
      <c r="W314" s="4"/>
      <c r="X314" s="4"/>
      <c r="Y314" s="4" t="str">
        <f>IF(anleihenkäufe[[#This Row],[Verkauft am]]="","",anleihenkäufe[[#This Row],[Gewinn aus Kursänderung]]+anleihenkäufe[[#This Row],[Gewinn aus Zinsen]]+anleihenkäufe[[#This Row],[Gewinn aus Währungseffekten]])</f>
        <v/>
      </c>
      <c r="Z314" s="156" t="str">
        <f>IF(anleihenkäufe[[#This Row],[Verkauft am]]="","",anleihenkäufe[[#This Row],[Gewinn gesamt]]/anleihenkäufe[[#This Row],[Dirty Kaufpreis]])</f>
        <v/>
      </c>
    </row>
    <row r="315" spans="1:26" ht="14.25" x14ac:dyDescent="0.2">
      <c r="A315" s="9">
        <v>45412</v>
      </c>
      <c r="B315" s="1" t="s">
        <v>1665</v>
      </c>
      <c r="C315" s="1" t="s">
        <v>6</v>
      </c>
      <c r="D315" s="5">
        <f t="shared" si="12"/>
        <v>2028.0630931591163</v>
      </c>
      <c r="E315" s="5">
        <f t="shared" si="13"/>
        <v>2008.9527184556559</v>
      </c>
      <c r="F315" s="1">
        <v>2</v>
      </c>
      <c r="G315" s="1">
        <v>1000</v>
      </c>
      <c r="H315" s="6">
        <v>1.0770999999999999</v>
      </c>
      <c r="I315" s="4">
        <f t="shared" si="14"/>
        <v>19.110374703460366</v>
      </c>
      <c r="J315" s="6">
        <v>8.1300000000000011E-2</v>
      </c>
      <c r="K315" s="99">
        <v>1.0723</v>
      </c>
      <c r="L315" s="1" t="s">
        <v>887</v>
      </c>
      <c r="M315" s="1">
        <v>2</v>
      </c>
      <c r="N315" s="9">
        <v>45366</v>
      </c>
      <c r="O315" s="1" t="s">
        <v>51</v>
      </c>
      <c r="P315" s="1" t="s">
        <v>39</v>
      </c>
      <c r="Q315" s="1" t="s">
        <v>1666</v>
      </c>
      <c r="R315" s="1" t="s">
        <v>1667</v>
      </c>
      <c r="S315" s="1" t="b">
        <v>1</v>
      </c>
      <c r="T315" s="9"/>
      <c r="U315" s="4"/>
      <c r="V315" s="4"/>
      <c r="W315" s="4"/>
      <c r="X315" s="4"/>
      <c r="Y315" s="4" t="str">
        <f>IF(anleihenkäufe[[#This Row],[Verkauft am]]="","",anleihenkäufe[[#This Row],[Gewinn aus Kursänderung]]+anleihenkäufe[[#This Row],[Gewinn aus Zinsen]]+anleihenkäufe[[#This Row],[Gewinn aus Währungseffekten]])</f>
        <v/>
      </c>
      <c r="Z315" s="156" t="str">
        <f>IF(anleihenkäufe[[#This Row],[Verkauft am]]="","",anleihenkäufe[[#This Row],[Gewinn gesamt]]/anleihenkäufe[[#This Row],[Dirty Kaufpreis]])</f>
        <v/>
      </c>
    </row>
    <row r="316" spans="1:26" ht="14.25" x14ac:dyDescent="0.2">
      <c r="A316" s="9">
        <v>45412</v>
      </c>
      <c r="B316" s="1" t="s">
        <v>1662</v>
      </c>
      <c r="C316" s="1" t="s">
        <v>0</v>
      </c>
      <c r="D316" s="5">
        <f t="shared" si="12"/>
        <v>2302.29988285327</v>
      </c>
      <c r="E316" s="5">
        <f t="shared" si="13"/>
        <v>2284.8083558705584</v>
      </c>
      <c r="F316" s="1">
        <v>2</v>
      </c>
      <c r="G316" s="1">
        <v>1000</v>
      </c>
      <c r="H316" s="6">
        <v>1.2250000000000001</v>
      </c>
      <c r="I316" s="4">
        <f t="shared" si="14"/>
        <v>17.491526982711594</v>
      </c>
      <c r="J316" s="6">
        <v>8.1500000000000003E-2</v>
      </c>
      <c r="K316" s="99">
        <v>1.0723</v>
      </c>
      <c r="L316" s="1" t="s">
        <v>887</v>
      </c>
      <c r="M316" s="1">
        <v>2</v>
      </c>
      <c r="N316" s="9">
        <v>45370</v>
      </c>
      <c r="O316" s="1" t="s">
        <v>276</v>
      </c>
      <c r="P316" s="1" t="s">
        <v>57</v>
      </c>
      <c r="Q316" s="1" t="s">
        <v>1663</v>
      </c>
      <c r="R316" s="1" t="s">
        <v>1664</v>
      </c>
      <c r="S316" s="1" t="b">
        <v>1</v>
      </c>
      <c r="T316" s="9"/>
      <c r="U316" s="4"/>
      <c r="V316" s="4"/>
      <c r="W316" s="4"/>
      <c r="X316" s="4"/>
      <c r="Y316" s="4" t="str">
        <f>IF(anleihenkäufe[[#This Row],[Verkauft am]]="","",anleihenkäufe[[#This Row],[Gewinn aus Kursänderung]]+anleihenkäufe[[#This Row],[Gewinn aus Zinsen]]+anleihenkäufe[[#This Row],[Gewinn aus Währungseffekten]])</f>
        <v/>
      </c>
      <c r="Z316" s="156" t="str">
        <f>IF(anleihenkäufe[[#This Row],[Verkauft am]]="","",anleihenkäufe[[#This Row],[Gewinn gesamt]]/anleihenkäufe[[#This Row],[Dirty Kaufpreis]])</f>
        <v/>
      </c>
    </row>
    <row r="317" spans="1:26" ht="14.25" x14ac:dyDescent="0.2">
      <c r="A317" s="9">
        <v>45412</v>
      </c>
      <c r="B317" s="1" t="s">
        <v>1659</v>
      </c>
      <c r="C317" s="1" t="s">
        <v>0</v>
      </c>
      <c r="D317" s="5">
        <f t="shared" si="12"/>
        <v>2052.6801051126818</v>
      </c>
      <c r="E317" s="5">
        <f t="shared" si="13"/>
        <v>2001.8651496782616</v>
      </c>
      <c r="F317" s="1">
        <v>2</v>
      </c>
      <c r="G317" s="1">
        <v>1000</v>
      </c>
      <c r="H317" s="6">
        <v>1.0732999999999999</v>
      </c>
      <c r="I317" s="4">
        <f t="shared" si="14"/>
        <v>50.814955434420192</v>
      </c>
      <c r="J317" s="6">
        <v>8.1509999999999999E-2</v>
      </c>
      <c r="K317" s="99">
        <v>1.0723</v>
      </c>
      <c r="L317" s="1" t="s">
        <v>887</v>
      </c>
      <c r="M317" s="1">
        <v>2</v>
      </c>
      <c r="N317" s="9">
        <v>45290</v>
      </c>
      <c r="O317" s="1" t="s">
        <v>276</v>
      </c>
      <c r="P317" s="1" t="s">
        <v>39</v>
      </c>
      <c r="Q317" s="1" t="s">
        <v>1660</v>
      </c>
      <c r="R317" s="1" t="s">
        <v>1661</v>
      </c>
      <c r="S317" s="1" t="b">
        <v>1</v>
      </c>
      <c r="T317" s="9"/>
      <c r="U317" s="4"/>
      <c r="V317" s="4"/>
      <c r="W317" s="4"/>
      <c r="X317" s="4"/>
      <c r="Y317" s="4" t="str">
        <f>IF(anleihenkäufe[[#This Row],[Verkauft am]]="","",anleihenkäufe[[#This Row],[Gewinn aus Kursänderung]]+anleihenkäufe[[#This Row],[Gewinn aus Zinsen]]+anleihenkäufe[[#This Row],[Gewinn aus Währungseffekten]])</f>
        <v/>
      </c>
      <c r="Z317" s="156" t="str">
        <f>IF(anleihenkäufe[[#This Row],[Verkauft am]]="","",anleihenkäufe[[#This Row],[Gewinn gesamt]]/anleihenkäufe[[#This Row],[Dirty Kaufpreis]])</f>
        <v/>
      </c>
    </row>
    <row r="318" spans="1:26" ht="14.25" x14ac:dyDescent="0.2">
      <c r="A318" s="9">
        <v>45412</v>
      </c>
      <c r="B318" s="1" t="s">
        <v>1656</v>
      </c>
      <c r="C318" s="1" t="s">
        <v>0</v>
      </c>
      <c r="D318" s="5">
        <f t="shared" si="12"/>
        <v>2018.1175018747308</v>
      </c>
      <c r="E318" s="5">
        <f t="shared" si="13"/>
        <v>1973.7013895365103</v>
      </c>
      <c r="F318" s="1">
        <v>2</v>
      </c>
      <c r="G318" s="1">
        <v>1000</v>
      </c>
      <c r="H318" s="6">
        <v>1.0582</v>
      </c>
      <c r="I318" s="4">
        <f t="shared" si="14"/>
        <v>44.416112338220614</v>
      </c>
      <c r="J318" s="6">
        <v>8.199999999999999E-2</v>
      </c>
      <c r="K318" s="99">
        <v>1.0723</v>
      </c>
      <c r="L318" s="1" t="s">
        <v>887</v>
      </c>
      <c r="M318" s="1">
        <v>2</v>
      </c>
      <c r="N318" s="9">
        <v>45306</v>
      </c>
      <c r="O318" s="1" t="s">
        <v>1027</v>
      </c>
      <c r="P318" s="1" t="s">
        <v>52</v>
      </c>
      <c r="Q318" s="1" t="s">
        <v>1657</v>
      </c>
      <c r="R318" s="1" t="s">
        <v>1658</v>
      </c>
      <c r="S318" s="1" t="b">
        <v>1</v>
      </c>
      <c r="T318" s="9"/>
      <c r="U318" s="4"/>
      <c r="V318" s="4"/>
      <c r="W318" s="4"/>
      <c r="X318" s="4"/>
      <c r="Y318" s="4" t="str">
        <f>IF(anleihenkäufe[[#This Row],[Verkauft am]]="","",anleihenkäufe[[#This Row],[Gewinn aus Kursänderung]]+anleihenkäufe[[#This Row],[Gewinn aus Zinsen]]+anleihenkäufe[[#This Row],[Gewinn aus Währungseffekten]])</f>
        <v/>
      </c>
      <c r="Z318" s="156" t="str">
        <f>IF(anleihenkäufe[[#This Row],[Verkauft am]]="","",anleihenkäufe[[#This Row],[Gewinn gesamt]]/anleihenkäufe[[#This Row],[Dirty Kaufpreis]])</f>
        <v/>
      </c>
    </row>
    <row r="319" spans="1:26" ht="14.25" x14ac:dyDescent="0.2">
      <c r="A319" s="9">
        <v>45412</v>
      </c>
      <c r="B319" s="1" t="s">
        <v>1653</v>
      </c>
      <c r="C319" s="1" t="s">
        <v>9</v>
      </c>
      <c r="D319" s="5">
        <f t="shared" si="12"/>
        <v>2357.5747433183565</v>
      </c>
      <c r="E319" s="5">
        <f t="shared" si="13"/>
        <v>2313.158630980136</v>
      </c>
      <c r="F319" s="1">
        <v>2</v>
      </c>
      <c r="G319" s="1">
        <v>1000</v>
      </c>
      <c r="H319" s="6">
        <v>1.2402</v>
      </c>
      <c r="I319" s="4">
        <f t="shared" si="14"/>
        <v>44.416112338220614</v>
      </c>
      <c r="J319" s="6">
        <v>8.199999999999999E-2</v>
      </c>
      <c r="K319" s="99">
        <v>1.0723</v>
      </c>
      <c r="L319" s="1" t="s">
        <v>887</v>
      </c>
      <c r="M319" s="1">
        <v>2</v>
      </c>
      <c r="N319" s="9">
        <v>45306</v>
      </c>
      <c r="O319" s="1" t="s">
        <v>276</v>
      </c>
      <c r="P319" s="1" t="s">
        <v>109</v>
      </c>
      <c r="Q319" s="1" t="s">
        <v>1654</v>
      </c>
      <c r="R319" s="1" t="s">
        <v>1655</v>
      </c>
      <c r="S319" s="1" t="b">
        <v>1</v>
      </c>
      <c r="T319" s="9"/>
      <c r="U319" s="4"/>
      <c r="V319" s="4"/>
      <c r="W319" s="4"/>
      <c r="X319" s="4"/>
      <c r="Y319" s="4" t="str">
        <f>IF(anleihenkäufe[[#This Row],[Verkauft am]]="","",anleihenkäufe[[#This Row],[Gewinn aus Kursänderung]]+anleihenkäufe[[#This Row],[Gewinn aus Zinsen]]+anleihenkäufe[[#This Row],[Gewinn aus Währungseffekten]])</f>
        <v/>
      </c>
      <c r="Z319" s="156" t="str">
        <f>IF(anleihenkäufe[[#This Row],[Verkauft am]]="","",anleihenkäufe[[#This Row],[Gewinn gesamt]]/anleihenkäufe[[#This Row],[Dirty Kaufpreis]])</f>
        <v/>
      </c>
    </row>
    <row r="320" spans="1:26" ht="14.25" x14ac:dyDescent="0.2">
      <c r="A320" s="9">
        <v>45412</v>
      </c>
      <c r="B320" s="1" t="s">
        <v>1412</v>
      </c>
      <c r="C320" s="1" t="s">
        <v>0</v>
      </c>
      <c r="D320" s="5">
        <f t="shared" si="12"/>
        <v>1785.0631148766126</v>
      </c>
      <c r="E320" s="5">
        <f t="shared" si="13"/>
        <v>1777.4876433833815</v>
      </c>
      <c r="F320" s="1">
        <v>2</v>
      </c>
      <c r="G320" s="1">
        <v>1000</v>
      </c>
      <c r="H320" s="6">
        <v>0.95299999999999996</v>
      </c>
      <c r="I320" s="4">
        <f t="shared" si="14"/>
        <v>7.5754714932311682</v>
      </c>
      <c r="J320" s="6">
        <v>8.2360000000000003E-2</v>
      </c>
      <c r="K320" s="99">
        <v>1.0723</v>
      </c>
      <c r="L320" s="1" t="s">
        <v>887</v>
      </c>
      <c r="M320" s="1">
        <v>4</v>
      </c>
      <c r="N320" s="9">
        <v>45394</v>
      </c>
      <c r="O320" s="1" t="s">
        <v>1096</v>
      </c>
      <c r="P320" s="1" t="s">
        <v>61</v>
      </c>
      <c r="Q320" s="1" t="s">
        <v>1487</v>
      </c>
      <c r="R320" s="1" t="s">
        <v>1488</v>
      </c>
      <c r="S320" s="1" t="b">
        <v>1</v>
      </c>
      <c r="T320" s="96"/>
      <c r="U320" s="97"/>
      <c r="V320" s="97"/>
      <c r="W320" s="97"/>
      <c r="X320" s="97"/>
      <c r="Y320" s="97" t="str">
        <f>IF(anleihenkäufe[[#This Row],[Verkauft am]]="","",anleihenkäufe[[#This Row],[Gewinn aus Kursänderung]]+anleihenkäufe[[#This Row],[Gewinn aus Zinsen]]+anleihenkäufe[[#This Row],[Gewinn aus Währungseffekten]])</f>
        <v/>
      </c>
      <c r="Z320" s="156" t="str">
        <f>IF(anleihenkäufe[[#This Row],[Verkauft am]]="","",anleihenkäufe[[#This Row],[Gewinn gesamt]]/anleihenkäufe[[#This Row],[Dirty Kaufpreis]])</f>
        <v/>
      </c>
    </row>
    <row r="321" spans="1:26" ht="14.25" x14ac:dyDescent="0.2">
      <c r="A321" s="9">
        <v>45412</v>
      </c>
      <c r="B321" s="1" t="s">
        <v>1629</v>
      </c>
      <c r="C321" s="1" t="s">
        <v>0</v>
      </c>
      <c r="D321" s="5">
        <f t="shared" si="12"/>
        <v>587.2538736987068</v>
      </c>
      <c r="E321" s="5">
        <f t="shared" si="13"/>
        <v>553.94945444371911</v>
      </c>
      <c r="F321" s="1">
        <v>2</v>
      </c>
      <c r="G321" s="1">
        <v>1000</v>
      </c>
      <c r="H321" s="6">
        <v>0.29699999999999999</v>
      </c>
      <c r="I321" s="4">
        <f t="shared" si="14"/>
        <v>33.304419254987678</v>
      </c>
      <c r="J321" s="6">
        <v>8.2500000000000004E-2</v>
      </c>
      <c r="K321" s="99">
        <v>1.0723</v>
      </c>
      <c r="L321" s="1" t="s">
        <v>887</v>
      </c>
      <c r="M321" s="1">
        <v>2</v>
      </c>
      <c r="N321" s="9">
        <v>45333</v>
      </c>
      <c r="O321" s="1" t="s">
        <v>1020</v>
      </c>
      <c r="P321" s="1" t="s">
        <v>39</v>
      </c>
      <c r="Q321" s="1" t="s">
        <v>1630</v>
      </c>
      <c r="R321" s="1" t="s">
        <v>1631</v>
      </c>
      <c r="S321" s="1" t="b">
        <v>1</v>
      </c>
      <c r="T321" s="96" t="s">
        <v>164</v>
      </c>
      <c r="U321" s="97"/>
      <c r="V321" s="97"/>
      <c r="W321" s="97"/>
      <c r="X321" s="97"/>
      <c r="Y321" s="97" t="str">
        <f>IF(anleihenkäufe[[#This Row],[Verkauft am]]="","",anleihenkäufe[[#This Row],[Gewinn aus Kursänderung]]+anleihenkäufe[[#This Row],[Gewinn aus Zinsen]]+anleihenkäufe[[#This Row],[Gewinn aus Währungseffekten]])</f>
        <v/>
      </c>
      <c r="Z321" s="156" t="str">
        <f>IF(anleihenkäufe[[#This Row],[Verkauft am]]="","",anleihenkäufe[[#This Row],[Gewinn gesamt]]/anleihenkäufe[[#This Row],[Dirty Kaufpreis]])</f>
        <v/>
      </c>
    </row>
    <row r="322" spans="1:26" ht="14.25" x14ac:dyDescent="0.2">
      <c r="A322" s="9">
        <v>45412</v>
      </c>
      <c r="B322" s="1" t="s">
        <v>1638</v>
      </c>
      <c r="C322" s="1" t="s">
        <v>8</v>
      </c>
      <c r="D322" s="5">
        <f t="shared" ref="D322:D385" si="15">E322+I322</f>
        <v>743.83702168811362</v>
      </c>
      <c r="E322" s="5">
        <f t="shared" ref="E322:E385" si="16">G322*H322*F322/K322</f>
        <v>709.68945257856933</v>
      </c>
      <c r="F322" s="1">
        <v>2</v>
      </c>
      <c r="G322" s="1">
        <v>1000</v>
      </c>
      <c r="H322" s="6">
        <v>0.38049999999999995</v>
      </c>
      <c r="I322" s="4">
        <f t="shared" ref="I322:I385" si="17">G322*J322*(A322-N322)/365*F322/K322</f>
        <v>34.147569109544321</v>
      </c>
      <c r="J322" s="6">
        <v>8.2500000000000004E-2</v>
      </c>
      <c r="K322" s="99">
        <v>1.0723</v>
      </c>
      <c r="L322" s="1" t="s">
        <v>887</v>
      </c>
      <c r="M322" s="1">
        <v>2</v>
      </c>
      <c r="N322" s="9">
        <v>45331</v>
      </c>
      <c r="O322" s="1" t="s">
        <v>1020</v>
      </c>
      <c r="P322" s="1" t="s">
        <v>52</v>
      </c>
      <c r="Q322" s="1" t="s">
        <v>1639</v>
      </c>
      <c r="R322" s="1" t="s">
        <v>1640</v>
      </c>
      <c r="S322" s="1" t="b">
        <v>1</v>
      </c>
      <c r="T322" s="96" t="s">
        <v>164</v>
      </c>
      <c r="U322" s="97"/>
      <c r="V322" s="97"/>
      <c r="W322" s="97"/>
      <c r="X322" s="97"/>
      <c r="Y322" s="97" t="str">
        <f>IF(anleihenkäufe[[#This Row],[Verkauft am]]="","",anleihenkäufe[[#This Row],[Gewinn aus Kursänderung]]+anleihenkäufe[[#This Row],[Gewinn aus Zinsen]]+anleihenkäufe[[#This Row],[Gewinn aus Währungseffekten]])</f>
        <v/>
      </c>
      <c r="Z322" s="156" t="str">
        <f>IF(anleihenkäufe[[#This Row],[Verkauft am]]="","",anleihenkäufe[[#This Row],[Gewinn gesamt]]/anleihenkäufe[[#This Row],[Dirty Kaufpreis]])</f>
        <v/>
      </c>
    </row>
    <row r="323" spans="1:26" ht="14.25" x14ac:dyDescent="0.2">
      <c r="A323" s="9">
        <v>45412</v>
      </c>
      <c r="B323" s="1" t="s">
        <v>1641</v>
      </c>
      <c r="C323" s="1" t="s">
        <v>1</v>
      </c>
      <c r="D323" s="5">
        <f t="shared" si="15"/>
        <v>1210.8832761226347</v>
      </c>
      <c r="E323" s="5">
        <f t="shared" si="16"/>
        <v>1163.6668842674624</v>
      </c>
      <c r="F323" s="1">
        <v>2</v>
      </c>
      <c r="G323" s="1">
        <v>1000</v>
      </c>
      <c r="H323" s="6">
        <v>0.62390000000000001</v>
      </c>
      <c r="I323" s="4">
        <f t="shared" si="17"/>
        <v>47.216391855172404</v>
      </c>
      <c r="J323" s="6">
        <v>8.2500000000000004E-2</v>
      </c>
      <c r="K323" s="99">
        <v>1.0723</v>
      </c>
      <c r="L323" s="1" t="s">
        <v>887</v>
      </c>
      <c r="M323" s="1">
        <v>2</v>
      </c>
      <c r="N323" s="9">
        <v>45300</v>
      </c>
      <c r="O323" s="1" t="s">
        <v>65</v>
      </c>
      <c r="P323" s="1" t="s">
        <v>39</v>
      </c>
      <c r="Q323" s="1" t="s">
        <v>1642</v>
      </c>
      <c r="R323" s="1" t="s">
        <v>1643</v>
      </c>
      <c r="S323" s="1" t="b">
        <v>1</v>
      </c>
      <c r="T323" s="96" t="s">
        <v>164</v>
      </c>
      <c r="U323" s="97"/>
      <c r="V323" s="97"/>
      <c r="W323" s="97"/>
      <c r="X323" s="97"/>
      <c r="Y323" s="97" t="str">
        <f>IF(anleihenkäufe[[#This Row],[Verkauft am]]="","",anleihenkäufe[[#This Row],[Gewinn aus Kursänderung]]+anleihenkäufe[[#This Row],[Gewinn aus Zinsen]]+anleihenkäufe[[#This Row],[Gewinn aus Währungseffekten]])</f>
        <v/>
      </c>
      <c r="Z323" s="156" t="str">
        <f>IF(anleihenkäufe[[#This Row],[Verkauft am]]="","",anleihenkäufe[[#This Row],[Gewinn gesamt]]/anleihenkäufe[[#This Row],[Dirty Kaufpreis]])</f>
        <v/>
      </c>
    </row>
    <row r="324" spans="1:26" ht="14.25" x14ac:dyDescent="0.2">
      <c r="A324" s="9">
        <v>45412</v>
      </c>
      <c r="B324" s="1" t="s">
        <v>1635</v>
      </c>
      <c r="C324" s="1" t="s">
        <v>7</v>
      </c>
      <c r="D324" s="5">
        <f t="shared" si="15"/>
        <v>1865.5380381946886</v>
      </c>
      <c r="E324" s="5">
        <f t="shared" si="16"/>
        <v>1862.165438776462</v>
      </c>
      <c r="F324" s="1">
        <v>2</v>
      </c>
      <c r="G324" s="1">
        <v>1000</v>
      </c>
      <c r="H324" s="6">
        <v>0.99840000000000007</v>
      </c>
      <c r="I324" s="4">
        <f t="shared" si="17"/>
        <v>3.3725994182266001</v>
      </c>
      <c r="J324" s="6">
        <v>8.2500000000000004E-2</v>
      </c>
      <c r="K324" s="99">
        <v>1.0723</v>
      </c>
      <c r="L324" s="1" t="s">
        <v>887</v>
      </c>
      <c r="M324" s="1">
        <v>2</v>
      </c>
      <c r="N324" s="9">
        <v>45404</v>
      </c>
      <c r="O324" s="1" t="s">
        <v>567</v>
      </c>
      <c r="P324" s="1" t="s">
        <v>52</v>
      </c>
      <c r="Q324" s="1" t="s">
        <v>1636</v>
      </c>
      <c r="R324" s="1" t="s">
        <v>1637</v>
      </c>
      <c r="S324" s="1" t="b">
        <v>1</v>
      </c>
      <c r="T324" s="9"/>
      <c r="U324" s="4"/>
      <c r="V324" s="4"/>
      <c r="W324" s="4"/>
      <c r="X324" s="4"/>
      <c r="Y324" s="4" t="str">
        <f>IF(anleihenkäufe[[#This Row],[Verkauft am]]="","",anleihenkäufe[[#This Row],[Gewinn aus Kursänderung]]+anleihenkäufe[[#This Row],[Gewinn aus Zinsen]]+anleihenkäufe[[#This Row],[Gewinn aus Währungseffekten]])</f>
        <v/>
      </c>
      <c r="Z324" s="156" t="str">
        <f>IF(anleihenkäufe[[#This Row],[Verkauft am]]="","",anleihenkäufe[[#This Row],[Gewinn gesamt]]/anleihenkäufe[[#This Row],[Dirty Kaufpreis]])</f>
        <v/>
      </c>
    </row>
    <row r="325" spans="1:26" ht="14.25" x14ac:dyDescent="0.2">
      <c r="A325" s="9">
        <v>45412</v>
      </c>
      <c r="B325" s="1" t="s">
        <v>1626</v>
      </c>
      <c r="C325" s="1" t="s">
        <v>10</v>
      </c>
      <c r="D325" s="5">
        <f t="shared" si="15"/>
        <v>1914.931289674352</v>
      </c>
      <c r="E325" s="5">
        <f t="shared" si="16"/>
        <v>1908.6076657651772</v>
      </c>
      <c r="F325" s="1">
        <v>2</v>
      </c>
      <c r="G325" s="1">
        <v>1000</v>
      </c>
      <c r="H325" s="6">
        <v>1.0232999999999999</v>
      </c>
      <c r="I325" s="4">
        <f t="shared" si="17"/>
        <v>6.3236239091748754</v>
      </c>
      <c r="J325" s="6">
        <v>8.2500000000000004E-2</v>
      </c>
      <c r="K325" s="99">
        <v>1.0723</v>
      </c>
      <c r="L325" s="1" t="s">
        <v>887</v>
      </c>
      <c r="M325" s="1">
        <v>2</v>
      </c>
      <c r="N325" s="9">
        <v>45397</v>
      </c>
      <c r="O325" s="1" t="s">
        <v>284</v>
      </c>
      <c r="P325" s="1" t="s">
        <v>61</v>
      </c>
      <c r="Q325" s="1" t="s">
        <v>1627</v>
      </c>
      <c r="R325" s="1" t="s">
        <v>1628</v>
      </c>
      <c r="S325" s="1" t="b">
        <v>1</v>
      </c>
      <c r="T325" s="9"/>
      <c r="U325" s="4"/>
      <c r="V325" s="4"/>
      <c r="W325" s="4"/>
      <c r="X325" s="4"/>
      <c r="Y325" s="4" t="str">
        <f>IF(anleihenkäufe[[#This Row],[Verkauft am]]="","",anleihenkäufe[[#This Row],[Gewinn aus Kursänderung]]+anleihenkäufe[[#This Row],[Gewinn aus Zinsen]]+anleihenkäufe[[#This Row],[Gewinn aus Währungseffekten]])</f>
        <v/>
      </c>
      <c r="Z325" s="156" t="str">
        <f>IF(anleihenkäufe[[#This Row],[Verkauft am]]="","",anleihenkäufe[[#This Row],[Gewinn gesamt]]/anleihenkäufe[[#This Row],[Dirty Kaufpreis]])</f>
        <v/>
      </c>
    </row>
    <row r="326" spans="1:26" ht="14.25" x14ac:dyDescent="0.2">
      <c r="A326" s="9">
        <v>45412</v>
      </c>
      <c r="B326" s="1" t="s">
        <v>1614</v>
      </c>
      <c r="C326" s="1" t="s">
        <v>1</v>
      </c>
      <c r="D326" s="5">
        <f t="shared" si="15"/>
        <v>1936.753540910014</v>
      </c>
      <c r="E326" s="5">
        <f t="shared" si="16"/>
        <v>1930.4299170008392</v>
      </c>
      <c r="F326" s="1">
        <v>2</v>
      </c>
      <c r="G326" s="1">
        <v>1000</v>
      </c>
      <c r="H326" s="6">
        <v>1.0349999999999999</v>
      </c>
      <c r="I326" s="4">
        <f t="shared" si="17"/>
        <v>6.3236239091748754</v>
      </c>
      <c r="J326" s="6">
        <v>8.2500000000000004E-2</v>
      </c>
      <c r="K326" s="99">
        <v>1.0723</v>
      </c>
      <c r="L326" s="1" t="s">
        <v>887</v>
      </c>
      <c r="M326" s="1">
        <v>2</v>
      </c>
      <c r="N326" s="9">
        <v>45397</v>
      </c>
      <c r="O326" s="1" t="s">
        <v>276</v>
      </c>
      <c r="P326" s="1" t="s">
        <v>61</v>
      </c>
      <c r="Q326" s="1" t="s">
        <v>1615</v>
      </c>
      <c r="R326" s="1" t="s">
        <v>1616</v>
      </c>
      <c r="S326" s="1" t="b">
        <v>1</v>
      </c>
      <c r="T326" s="9"/>
      <c r="U326" s="4"/>
      <c r="V326" s="4"/>
      <c r="W326" s="4"/>
      <c r="X326" s="4"/>
      <c r="Y326" s="4" t="str">
        <f>IF(anleihenkäufe[[#This Row],[Verkauft am]]="","",anleihenkäufe[[#This Row],[Gewinn aus Kursänderung]]+anleihenkäufe[[#This Row],[Gewinn aus Zinsen]]+anleihenkäufe[[#This Row],[Gewinn aus Währungseffekten]])</f>
        <v/>
      </c>
      <c r="Z326" s="156" t="str">
        <f>IF(anleihenkäufe[[#This Row],[Verkauft am]]="","",anleihenkäufe[[#This Row],[Gewinn gesamt]]/anleihenkäufe[[#This Row],[Dirty Kaufpreis]])</f>
        <v/>
      </c>
    </row>
    <row r="327" spans="1:26" ht="14.25" x14ac:dyDescent="0.2">
      <c r="A327" s="9">
        <v>45412</v>
      </c>
      <c r="B327" s="1" t="s">
        <v>1273</v>
      </c>
      <c r="C327" s="1" t="s">
        <v>11</v>
      </c>
      <c r="D327" s="5">
        <f t="shared" si="15"/>
        <v>1463.506302545163</v>
      </c>
      <c r="E327" s="5">
        <f t="shared" si="16"/>
        <v>1449.5943299449782</v>
      </c>
      <c r="F327" s="1">
        <v>2</v>
      </c>
      <c r="G327" s="1">
        <v>1000</v>
      </c>
      <c r="H327" s="6">
        <v>0.7772</v>
      </c>
      <c r="I327" s="4">
        <f t="shared" si="17"/>
        <v>13.911972600184727</v>
      </c>
      <c r="J327" s="6">
        <v>8.2500000000000004E-2</v>
      </c>
      <c r="K327" s="99">
        <v>1.0723</v>
      </c>
      <c r="L327" s="1" t="s">
        <v>887</v>
      </c>
      <c r="M327" s="1">
        <v>2</v>
      </c>
      <c r="N327" s="9">
        <v>45379</v>
      </c>
      <c r="O327" s="1" t="s">
        <v>1274</v>
      </c>
      <c r="P327" s="1" t="s">
        <v>61</v>
      </c>
      <c r="Q327" s="1" t="s">
        <v>1485</v>
      </c>
      <c r="R327" s="1" t="s">
        <v>1486</v>
      </c>
      <c r="S327" s="1" t="b">
        <v>1</v>
      </c>
      <c r="T327" s="96"/>
      <c r="U327" s="97"/>
      <c r="V327" s="97"/>
      <c r="W327" s="97"/>
      <c r="X327" s="97"/>
      <c r="Y327" s="97" t="str">
        <f>IF(anleihenkäufe[[#This Row],[Verkauft am]]="","",anleihenkäufe[[#This Row],[Gewinn aus Kursänderung]]+anleihenkäufe[[#This Row],[Gewinn aus Zinsen]]+anleihenkäufe[[#This Row],[Gewinn aus Währungseffekten]])</f>
        <v/>
      </c>
      <c r="Z327" s="156" t="str">
        <f>IF(anleihenkäufe[[#This Row],[Verkauft am]]="","",anleihenkäufe[[#This Row],[Gewinn gesamt]]/anleihenkäufe[[#This Row],[Dirty Kaufpreis]])</f>
        <v/>
      </c>
    </row>
    <row r="328" spans="1:26" ht="14.25" x14ac:dyDescent="0.2">
      <c r="A328" s="9">
        <v>45412</v>
      </c>
      <c r="B328" s="1" t="s">
        <v>1617</v>
      </c>
      <c r="C328" s="1" t="s">
        <v>8</v>
      </c>
      <c r="D328" s="5">
        <f t="shared" si="15"/>
        <v>2097.9152481096198</v>
      </c>
      <c r="E328" s="5">
        <f t="shared" si="16"/>
        <v>2078.522801454817</v>
      </c>
      <c r="F328" s="1">
        <v>2</v>
      </c>
      <c r="G328" s="1">
        <v>1000</v>
      </c>
      <c r="H328" s="6">
        <v>1.1144000000000001</v>
      </c>
      <c r="I328" s="4">
        <f t="shared" si="17"/>
        <v>19.392446654802949</v>
      </c>
      <c r="J328" s="6">
        <v>8.2500000000000004E-2</v>
      </c>
      <c r="K328" s="99">
        <v>1.0723</v>
      </c>
      <c r="L328" s="1" t="s">
        <v>887</v>
      </c>
      <c r="M328" s="1">
        <v>2</v>
      </c>
      <c r="N328" s="9">
        <v>45366</v>
      </c>
      <c r="O328" s="1" t="s">
        <v>51</v>
      </c>
      <c r="P328" s="1" t="s">
        <v>61</v>
      </c>
      <c r="Q328" s="1" t="s">
        <v>1618</v>
      </c>
      <c r="R328" s="1" t="s">
        <v>1619</v>
      </c>
      <c r="S328" s="1" t="b">
        <v>1</v>
      </c>
      <c r="T328" s="9"/>
      <c r="U328" s="4"/>
      <c r="V328" s="4"/>
      <c r="W328" s="4"/>
      <c r="X328" s="4"/>
      <c r="Y328" s="4" t="str">
        <f>IF(anleihenkäufe[[#This Row],[Verkauft am]]="","",anleihenkäufe[[#This Row],[Gewinn aus Kursänderung]]+anleihenkäufe[[#This Row],[Gewinn aus Zinsen]]+anleihenkäufe[[#This Row],[Gewinn aus Währungseffekten]])</f>
        <v/>
      </c>
      <c r="Z328" s="156" t="str">
        <f>IF(anleihenkäufe[[#This Row],[Verkauft am]]="","",anleihenkäufe[[#This Row],[Gewinn gesamt]]/anleihenkäufe[[#This Row],[Dirty Kaufpreis]])</f>
        <v/>
      </c>
    </row>
    <row r="329" spans="1:26" ht="14.25" x14ac:dyDescent="0.2">
      <c r="A329" s="9">
        <v>45412</v>
      </c>
      <c r="B329" s="1" t="s">
        <v>1144</v>
      </c>
      <c r="C329" s="1" t="s">
        <v>11</v>
      </c>
      <c r="D329" s="5">
        <f t="shared" si="15"/>
        <v>1596.2206446519388</v>
      </c>
      <c r="E329" s="5">
        <f t="shared" si="16"/>
        <v>1570.0829991606827</v>
      </c>
      <c r="F329" s="1">
        <v>2</v>
      </c>
      <c r="G329" s="1">
        <v>1000</v>
      </c>
      <c r="H329" s="6">
        <v>0.8418000000000001</v>
      </c>
      <c r="I329" s="4">
        <f t="shared" si="17"/>
        <v>26.137645491256151</v>
      </c>
      <c r="J329" s="6">
        <v>8.2500000000000004E-2</v>
      </c>
      <c r="K329" s="99">
        <v>1.0723</v>
      </c>
      <c r="L329" s="1" t="s">
        <v>887</v>
      </c>
      <c r="M329" s="1">
        <v>2</v>
      </c>
      <c r="N329" s="9">
        <v>45350</v>
      </c>
      <c r="O329" s="1" t="s">
        <v>1145</v>
      </c>
      <c r="P329" s="1" t="s">
        <v>52</v>
      </c>
      <c r="Q329" s="1" t="s">
        <v>1483</v>
      </c>
      <c r="R329" s="1" t="s">
        <v>1484</v>
      </c>
      <c r="S329" s="1" t="b">
        <v>1</v>
      </c>
      <c r="T329" s="96"/>
      <c r="U329" s="97"/>
      <c r="V329" s="97"/>
      <c r="W329" s="97"/>
      <c r="X329" s="97"/>
      <c r="Y329" s="97" t="str">
        <f>IF(anleihenkäufe[[#This Row],[Verkauft am]]="","",anleihenkäufe[[#This Row],[Gewinn aus Kursänderung]]+anleihenkäufe[[#This Row],[Gewinn aus Zinsen]]+anleihenkäufe[[#This Row],[Gewinn aus Währungseffekten]])</f>
        <v/>
      </c>
      <c r="Z329" s="156" t="str">
        <f>IF(anleihenkäufe[[#This Row],[Verkauft am]]="","",anleihenkäufe[[#This Row],[Gewinn gesamt]]/anleihenkäufe[[#This Row],[Dirty Kaufpreis]])</f>
        <v/>
      </c>
    </row>
    <row r="330" spans="1:26" ht="14.25" x14ac:dyDescent="0.2">
      <c r="A330" s="9">
        <v>45412</v>
      </c>
      <c r="B330" s="1" t="s">
        <v>1650</v>
      </c>
      <c r="C330" s="1" t="s">
        <v>0</v>
      </c>
      <c r="D330" s="5">
        <f t="shared" si="15"/>
        <v>1914.9082946783192</v>
      </c>
      <c r="E330" s="5">
        <f t="shared" si="16"/>
        <v>1882.8686002051666</v>
      </c>
      <c r="F330" s="1">
        <v>2</v>
      </c>
      <c r="G330" s="1">
        <v>1000</v>
      </c>
      <c r="H330" s="6">
        <v>1.0095000000000001</v>
      </c>
      <c r="I330" s="4">
        <f t="shared" si="17"/>
        <v>32.0396944731527</v>
      </c>
      <c r="J330" s="6">
        <v>8.2500000000000004E-2</v>
      </c>
      <c r="K330" s="99">
        <v>1.0723</v>
      </c>
      <c r="L330" s="1" t="s">
        <v>887</v>
      </c>
      <c r="M330" s="1">
        <v>2</v>
      </c>
      <c r="N330" s="9">
        <v>45336</v>
      </c>
      <c r="O330" s="1" t="s">
        <v>1004</v>
      </c>
      <c r="P330" s="1" t="s">
        <v>61</v>
      </c>
      <c r="Q330" s="1" t="s">
        <v>1651</v>
      </c>
      <c r="R330" s="1" t="s">
        <v>1652</v>
      </c>
      <c r="S330" s="1" t="b">
        <v>1</v>
      </c>
      <c r="T330" s="9"/>
      <c r="U330" s="4"/>
      <c r="V330" s="4"/>
      <c r="W330" s="4"/>
      <c r="X330" s="4"/>
      <c r="Y330" s="4" t="str">
        <f>IF(anleihenkäufe[[#This Row],[Verkauft am]]="","",anleihenkäufe[[#This Row],[Gewinn aus Kursänderung]]+anleihenkäufe[[#This Row],[Gewinn aus Zinsen]]+anleihenkäufe[[#This Row],[Gewinn aus Währungseffekten]])</f>
        <v/>
      </c>
      <c r="Z330" s="156" t="str">
        <f>IF(anleihenkäufe[[#This Row],[Verkauft am]]="","",anleihenkäufe[[#This Row],[Gewinn gesamt]]/anleihenkäufe[[#This Row],[Dirty Kaufpreis]])</f>
        <v/>
      </c>
    </row>
    <row r="331" spans="1:26" ht="14.25" x14ac:dyDescent="0.2">
      <c r="A331" s="9">
        <v>45412</v>
      </c>
      <c r="B331" s="1" t="s">
        <v>1644</v>
      </c>
      <c r="C331" s="1" t="s">
        <v>1</v>
      </c>
      <c r="D331" s="5">
        <f t="shared" si="15"/>
        <v>1869.2274575582633</v>
      </c>
      <c r="E331" s="5">
        <f t="shared" si="16"/>
        <v>1833.815163666884</v>
      </c>
      <c r="F331" s="1">
        <v>2</v>
      </c>
      <c r="G331" s="1">
        <v>1000</v>
      </c>
      <c r="H331" s="6">
        <v>0.98319999999999996</v>
      </c>
      <c r="I331" s="4">
        <f t="shared" si="17"/>
        <v>35.412293891379306</v>
      </c>
      <c r="J331" s="6">
        <v>8.2500000000000004E-2</v>
      </c>
      <c r="K331" s="99">
        <v>1.0723</v>
      </c>
      <c r="L331" s="1" t="s">
        <v>887</v>
      </c>
      <c r="M331" s="1">
        <v>2</v>
      </c>
      <c r="N331" s="9">
        <v>45328</v>
      </c>
      <c r="O331" s="1" t="s">
        <v>1564</v>
      </c>
      <c r="P331" s="1" t="s">
        <v>52</v>
      </c>
      <c r="Q331" s="1" t="s">
        <v>1645</v>
      </c>
      <c r="R331" s="1" t="s">
        <v>1646</v>
      </c>
      <c r="S331" s="1" t="b">
        <v>1</v>
      </c>
      <c r="T331" s="9"/>
      <c r="U331" s="4"/>
      <c r="V331" s="4"/>
      <c r="W331" s="4"/>
      <c r="X331" s="4"/>
      <c r="Y331" s="4" t="str">
        <f>IF(anleihenkäufe[[#This Row],[Verkauft am]]="","",anleihenkäufe[[#This Row],[Gewinn aus Kursänderung]]+anleihenkäufe[[#This Row],[Gewinn aus Zinsen]]+anleihenkäufe[[#This Row],[Gewinn aus Währungseffekten]])</f>
        <v/>
      </c>
      <c r="Z331" s="156" t="str">
        <f>IF(anleihenkäufe[[#This Row],[Verkauft am]]="","",anleihenkäufe[[#This Row],[Gewinn gesamt]]/anleihenkäufe[[#This Row],[Dirty Kaufpreis]])</f>
        <v/>
      </c>
    </row>
    <row r="332" spans="1:26" ht="14.25" x14ac:dyDescent="0.2">
      <c r="A332" s="9">
        <v>45412</v>
      </c>
      <c r="B332" s="1" t="s">
        <v>1620</v>
      </c>
      <c r="C332" s="1" t="s">
        <v>2</v>
      </c>
      <c r="D332" s="5">
        <f t="shared" si="15"/>
        <v>2156.6853479717774</v>
      </c>
      <c r="E332" s="5">
        <f t="shared" si="16"/>
        <v>2112.8415555348315</v>
      </c>
      <c r="F332" s="1">
        <v>2</v>
      </c>
      <c r="G332" s="1">
        <v>1000</v>
      </c>
      <c r="H332" s="6">
        <v>1.1328</v>
      </c>
      <c r="I332" s="4">
        <f t="shared" si="17"/>
        <v>43.843792436945805</v>
      </c>
      <c r="J332" s="6">
        <v>8.2500000000000004E-2</v>
      </c>
      <c r="K332" s="99">
        <v>1.0723</v>
      </c>
      <c r="L332" s="1" t="s">
        <v>887</v>
      </c>
      <c r="M332" s="1">
        <v>2</v>
      </c>
      <c r="N332" s="9">
        <v>45308</v>
      </c>
      <c r="O332" s="1" t="s">
        <v>986</v>
      </c>
      <c r="P332" s="1" t="s">
        <v>61</v>
      </c>
      <c r="Q332" s="1" t="s">
        <v>1621</v>
      </c>
      <c r="R332" s="1" t="s">
        <v>1622</v>
      </c>
      <c r="S332" s="1" t="b">
        <v>1</v>
      </c>
      <c r="T332" s="9"/>
      <c r="U332" s="4"/>
      <c r="V332" s="4"/>
      <c r="W332" s="4"/>
      <c r="X332" s="4"/>
      <c r="Y332" s="4" t="str">
        <f>IF(anleihenkäufe[[#This Row],[Verkauft am]]="","",anleihenkäufe[[#This Row],[Gewinn aus Kursänderung]]+anleihenkäufe[[#This Row],[Gewinn aus Zinsen]]+anleihenkäufe[[#This Row],[Gewinn aus Währungseffekten]])</f>
        <v/>
      </c>
      <c r="Z332" s="156" t="str">
        <f>IF(anleihenkäufe[[#This Row],[Verkauft am]]="","",anleihenkäufe[[#This Row],[Gewinn gesamt]]/anleihenkäufe[[#This Row],[Dirty Kaufpreis]])</f>
        <v/>
      </c>
    </row>
    <row r="333" spans="1:26" ht="14.25" x14ac:dyDescent="0.2">
      <c r="A333" s="9">
        <v>45412</v>
      </c>
      <c r="B333" s="1" t="s">
        <v>1434</v>
      </c>
      <c r="C333" s="1" t="s">
        <v>4</v>
      </c>
      <c r="D333" s="5">
        <f t="shared" si="15"/>
        <v>1945.8340093436334</v>
      </c>
      <c r="E333" s="5">
        <f t="shared" si="16"/>
        <v>1901.147067052131</v>
      </c>
      <c r="F333" s="1">
        <v>2</v>
      </c>
      <c r="G333" s="1">
        <v>1000</v>
      </c>
      <c r="H333" s="6">
        <v>1.0193000000000001</v>
      </c>
      <c r="I333" s="4">
        <f t="shared" si="17"/>
        <v>44.686942291502454</v>
      </c>
      <c r="J333" s="6">
        <v>8.2500000000000004E-2</v>
      </c>
      <c r="K333" s="99">
        <v>1.0723</v>
      </c>
      <c r="L333" s="1" t="s">
        <v>887</v>
      </c>
      <c r="M333" s="1">
        <v>2</v>
      </c>
      <c r="N333" s="9">
        <v>45306</v>
      </c>
      <c r="O333" s="1" t="s">
        <v>1096</v>
      </c>
      <c r="P333" s="1" t="s">
        <v>39</v>
      </c>
      <c r="Q333" s="1" t="s">
        <v>1536</v>
      </c>
      <c r="R333" s="1" t="s">
        <v>1537</v>
      </c>
      <c r="S333" s="1" t="b">
        <v>1</v>
      </c>
      <c r="T333" s="9"/>
      <c r="U333" s="4"/>
      <c r="V333" s="4"/>
      <c r="W333" s="4"/>
      <c r="X333" s="4"/>
      <c r="Y333" s="4" t="str">
        <f>IF(anleihenkäufe[[#This Row],[Verkauft am]]="","",anleihenkäufe[[#This Row],[Gewinn aus Kursänderung]]+anleihenkäufe[[#This Row],[Gewinn aus Zinsen]]+anleihenkäufe[[#This Row],[Gewinn aus Währungseffekten]])</f>
        <v/>
      </c>
      <c r="Z333" s="156" t="str">
        <f>IF(anleihenkäufe[[#This Row],[Verkauft am]]="","",anleihenkäufe[[#This Row],[Gewinn gesamt]]/anleihenkäufe[[#This Row],[Dirty Kaufpreis]])</f>
        <v/>
      </c>
    </row>
    <row r="334" spans="1:26" ht="14.25" x14ac:dyDescent="0.2">
      <c r="A334" s="9">
        <v>45412</v>
      </c>
      <c r="B334" s="1" t="s">
        <v>1632</v>
      </c>
      <c r="C334" s="1" t="s">
        <v>9</v>
      </c>
      <c r="D334" s="5">
        <f t="shared" si="15"/>
        <v>1957.0249074132037</v>
      </c>
      <c r="E334" s="5">
        <f t="shared" si="16"/>
        <v>1912.3379651217012</v>
      </c>
      <c r="F334" s="1">
        <v>2</v>
      </c>
      <c r="G334" s="1">
        <v>1000</v>
      </c>
      <c r="H334" s="6">
        <v>1.0253000000000001</v>
      </c>
      <c r="I334" s="4">
        <f t="shared" si="17"/>
        <v>44.686942291502454</v>
      </c>
      <c r="J334" s="6">
        <v>8.2500000000000004E-2</v>
      </c>
      <c r="K334" s="99">
        <v>1.0723</v>
      </c>
      <c r="L334" s="1" t="s">
        <v>887</v>
      </c>
      <c r="M334" s="1">
        <v>2</v>
      </c>
      <c r="N334" s="9">
        <v>45306</v>
      </c>
      <c r="O334" s="1" t="s">
        <v>276</v>
      </c>
      <c r="P334" s="1" t="s">
        <v>39</v>
      </c>
      <c r="Q334" s="1" t="s">
        <v>1633</v>
      </c>
      <c r="R334" s="1" t="s">
        <v>1634</v>
      </c>
      <c r="S334" s="1" t="b">
        <v>1</v>
      </c>
      <c r="T334" s="9"/>
      <c r="U334" s="4"/>
      <c r="V334" s="4"/>
      <c r="W334" s="4"/>
      <c r="X334" s="4"/>
      <c r="Y334" s="4" t="str">
        <f>IF(anleihenkäufe[[#This Row],[Verkauft am]]="","",anleihenkäufe[[#This Row],[Gewinn aus Kursänderung]]+anleihenkäufe[[#This Row],[Gewinn aus Zinsen]]+anleihenkäufe[[#This Row],[Gewinn aus Währungseffekten]])</f>
        <v/>
      </c>
      <c r="Z334" s="156" t="str">
        <f>IF(anleihenkäufe[[#This Row],[Verkauft am]]="","",anleihenkäufe[[#This Row],[Gewinn gesamt]]/anleihenkäufe[[#This Row],[Dirty Kaufpreis]])</f>
        <v/>
      </c>
    </row>
    <row r="335" spans="1:26" ht="14.25" x14ac:dyDescent="0.2">
      <c r="A335" s="9">
        <v>45412</v>
      </c>
      <c r="B335" s="1" t="s">
        <v>1647</v>
      </c>
      <c r="C335" s="1" t="s">
        <v>1</v>
      </c>
      <c r="D335" s="5">
        <f t="shared" si="15"/>
        <v>1981.062343266746</v>
      </c>
      <c r="E335" s="5">
        <f t="shared" si="16"/>
        <v>1910.6593304112657</v>
      </c>
      <c r="F335" s="1">
        <v>2</v>
      </c>
      <c r="G335" s="1">
        <v>1000</v>
      </c>
      <c r="H335" s="6">
        <v>1.0244</v>
      </c>
      <c r="I335" s="4">
        <f t="shared" si="17"/>
        <v>70.403012855480284</v>
      </c>
      <c r="J335" s="6">
        <v>8.2500000000000004E-2</v>
      </c>
      <c r="K335" s="99">
        <v>1.0723</v>
      </c>
      <c r="L335" s="1" t="s">
        <v>887</v>
      </c>
      <c r="M335" s="1">
        <v>2</v>
      </c>
      <c r="N335" s="9">
        <v>45245</v>
      </c>
      <c r="O335" s="1" t="s">
        <v>1004</v>
      </c>
      <c r="P335" s="1" t="s">
        <v>52</v>
      </c>
      <c r="Q335" s="1" t="s">
        <v>1648</v>
      </c>
      <c r="R335" s="1" t="s">
        <v>1649</v>
      </c>
      <c r="S335" s="1" t="b">
        <v>1</v>
      </c>
      <c r="T335" s="9"/>
      <c r="U335" s="4"/>
      <c r="V335" s="4"/>
      <c r="W335" s="4"/>
      <c r="X335" s="4"/>
      <c r="Y335" s="4" t="str">
        <f>IF(anleihenkäufe[[#This Row],[Verkauft am]]="","",anleihenkäufe[[#This Row],[Gewinn aus Kursänderung]]+anleihenkäufe[[#This Row],[Gewinn aus Zinsen]]+anleihenkäufe[[#This Row],[Gewinn aus Währungseffekten]])</f>
        <v/>
      </c>
      <c r="Z335" s="156" t="str">
        <f>IF(anleihenkäufe[[#This Row],[Verkauft am]]="","",anleihenkäufe[[#This Row],[Gewinn gesamt]]/anleihenkäufe[[#This Row],[Dirty Kaufpreis]])</f>
        <v/>
      </c>
    </row>
    <row r="336" spans="1:26" ht="14.25" x14ac:dyDescent="0.2">
      <c r="A336" s="9">
        <v>45412</v>
      </c>
      <c r="B336" s="1" t="s">
        <v>1623</v>
      </c>
      <c r="C336" s="1" t="s">
        <v>2</v>
      </c>
      <c r="D336" s="5">
        <f t="shared" si="15"/>
        <v>1967.3803206268947</v>
      </c>
      <c r="E336" s="5">
        <f t="shared" si="16"/>
        <v>1891.0752587895179</v>
      </c>
      <c r="F336" s="1">
        <v>2</v>
      </c>
      <c r="G336" s="1">
        <v>1000</v>
      </c>
      <c r="H336" s="6">
        <v>1.0139</v>
      </c>
      <c r="I336" s="4">
        <f t="shared" si="17"/>
        <v>76.30506183737684</v>
      </c>
      <c r="J336" s="6">
        <v>8.2500000000000004E-2</v>
      </c>
      <c r="K336" s="99">
        <v>1.0723</v>
      </c>
      <c r="L336" s="1" t="s">
        <v>887</v>
      </c>
      <c r="M336" s="1">
        <v>2</v>
      </c>
      <c r="N336" s="9">
        <v>45231</v>
      </c>
      <c r="O336" s="1" t="s">
        <v>1096</v>
      </c>
      <c r="P336" s="1" t="s">
        <v>39</v>
      </c>
      <c r="Q336" s="1" t="s">
        <v>1624</v>
      </c>
      <c r="R336" s="1" t="s">
        <v>1625</v>
      </c>
      <c r="S336" s="1" t="b">
        <v>1</v>
      </c>
      <c r="T336" s="9"/>
      <c r="U336" s="4"/>
      <c r="V336" s="4"/>
      <c r="W336" s="4"/>
      <c r="X336" s="4"/>
      <c r="Y336" s="4" t="str">
        <f>IF(anleihenkäufe[[#This Row],[Verkauft am]]="","",anleihenkäufe[[#This Row],[Gewinn aus Kursänderung]]+anleihenkäufe[[#This Row],[Gewinn aus Zinsen]]+anleihenkäufe[[#This Row],[Gewinn aus Währungseffekten]])</f>
        <v/>
      </c>
      <c r="Z336" s="156" t="str">
        <f>IF(anleihenkäufe[[#This Row],[Verkauft am]]="","",anleihenkäufe[[#This Row],[Gewinn gesamt]]/anleihenkäufe[[#This Row],[Dirty Kaufpreis]])</f>
        <v/>
      </c>
    </row>
    <row r="337" spans="1:26" ht="14.25" x14ac:dyDescent="0.2">
      <c r="A337" s="9">
        <v>45412</v>
      </c>
      <c r="B337" s="1" t="s">
        <v>1611</v>
      </c>
      <c r="C337" s="1" t="s">
        <v>0</v>
      </c>
      <c r="D337" s="5">
        <f t="shared" si="15"/>
        <v>1782.9055710487889</v>
      </c>
      <c r="E337" s="5">
        <f t="shared" si="16"/>
        <v>1763.4990207964188</v>
      </c>
      <c r="F337" s="1">
        <v>2</v>
      </c>
      <c r="G337" s="1">
        <v>1000</v>
      </c>
      <c r="H337" s="6">
        <v>0.94550000000000001</v>
      </c>
      <c r="I337" s="4">
        <f t="shared" si="17"/>
        <v>19.406550252370085</v>
      </c>
      <c r="J337" s="6">
        <v>8.2560000000000008E-2</v>
      </c>
      <c r="K337" s="99">
        <v>1.0723</v>
      </c>
      <c r="L337" s="1" t="s">
        <v>887</v>
      </c>
      <c r="M337" s="1">
        <v>4</v>
      </c>
      <c r="N337" s="9">
        <v>45366</v>
      </c>
      <c r="O337" s="1" t="s">
        <v>276</v>
      </c>
      <c r="P337" s="1" t="s">
        <v>61</v>
      </c>
      <c r="Q337" s="1" t="s">
        <v>1612</v>
      </c>
      <c r="R337" s="1" t="s">
        <v>1613</v>
      </c>
      <c r="S337" s="1" t="b">
        <v>1</v>
      </c>
      <c r="T337" s="96"/>
      <c r="U337" s="97"/>
      <c r="V337" s="97"/>
      <c r="W337" s="97"/>
      <c r="X337" s="97"/>
      <c r="Y337" s="97" t="str">
        <f>IF(anleihenkäufe[[#This Row],[Verkauft am]]="","",anleihenkäufe[[#This Row],[Gewinn aus Kursänderung]]+anleihenkäufe[[#This Row],[Gewinn aus Zinsen]]+anleihenkäufe[[#This Row],[Gewinn aus Währungseffekten]])</f>
        <v/>
      </c>
      <c r="Z337" s="156" t="str">
        <f>IF(anleihenkäufe[[#This Row],[Verkauft am]]="","",anleihenkäufe[[#This Row],[Gewinn gesamt]]/anleihenkäufe[[#This Row],[Dirty Kaufpreis]])</f>
        <v/>
      </c>
    </row>
    <row r="338" spans="1:26" ht="14.25" x14ac:dyDescent="0.2">
      <c r="A338" s="9">
        <v>45412</v>
      </c>
      <c r="B338" s="1" t="s">
        <v>1608</v>
      </c>
      <c r="C338" s="1" t="s">
        <v>0</v>
      </c>
      <c r="D338" s="5">
        <f t="shared" si="15"/>
        <v>1880.8729411494176</v>
      </c>
      <c r="E338" s="5">
        <f t="shared" si="16"/>
        <v>1861.4193789051571</v>
      </c>
      <c r="F338" s="1">
        <v>2</v>
      </c>
      <c r="G338" s="1">
        <v>1000</v>
      </c>
      <c r="H338" s="6">
        <v>0.998</v>
      </c>
      <c r="I338" s="4">
        <f t="shared" si="17"/>
        <v>19.45356224426051</v>
      </c>
      <c r="J338" s="6">
        <v>8.276E-2</v>
      </c>
      <c r="K338" s="99">
        <v>1.0723</v>
      </c>
      <c r="L338" s="1" t="s">
        <v>887</v>
      </c>
      <c r="M338" s="1">
        <v>4</v>
      </c>
      <c r="N338" s="9">
        <v>45366</v>
      </c>
      <c r="O338" s="1" t="s">
        <v>276</v>
      </c>
      <c r="P338" s="1" t="s">
        <v>39</v>
      </c>
      <c r="Q338" s="1" t="s">
        <v>1609</v>
      </c>
      <c r="R338" s="1" t="s">
        <v>1610</v>
      </c>
      <c r="S338" s="1" t="b">
        <v>1</v>
      </c>
      <c r="T338" s="9"/>
      <c r="U338" s="4"/>
      <c r="V338" s="4"/>
      <c r="W338" s="4"/>
      <c r="X338" s="4"/>
      <c r="Y338" s="4" t="str">
        <f>IF(anleihenkäufe[[#This Row],[Verkauft am]]="","",anleihenkäufe[[#This Row],[Gewinn aus Kursänderung]]+anleihenkäufe[[#This Row],[Gewinn aus Zinsen]]+anleihenkäufe[[#This Row],[Gewinn aus Währungseffekten]])</f>
        <v/>
      </c>
      <c r="Z338" s="156" t="str">
        <f>IF(anleihenkäufe[[#This Row],[Verkauft am]]="","",anleihenkäufe[[#This Row],[Gewinn gesamt]]/anleihenkäufe[[#This Row],[Dirty Kaufpreis]])</f>
        <v/>
      </c>
    </row>
    <row r="339" spans="1:26" ht="14.25" x14ac:dyDescent="0.2">
      <c r="A339" s="9">
        <v>45412</v>
      </c>
      <c r="B339" s="1" t="s">
        <v>1605</v>
      </c>
      <c r="C339" s="1" t="s">
        <v>0</v>
      </c>
      <c r="D339" s="5">
        <f t="shared" si="15"/>
        <v>1677.0959875009421</v>
      </c>
      <c r="E339" s="5">
        <f t="shared" si="16"/>
        <v>1641.3317168702788</v>
      </c>
      <c r="F339" s="1">
        <v>2</v>
      </c>
      <c r="G339" s="1">
        <v>1000</v>
      </c>
      <c r="H339" s="6">
        <v>0.88</v>
      </c>
      <c r="I339" s="4">
        <f t="shared" si="17"/>
        <v>35.764270630663319</v>
      </c>
      <c r="J339" s="6">
        <v>8.3320000000000005E-2</v>
      </c>
      <c r="K339" s="99">
        <v>1.0723</v>
      </c>
      <c r="L339" s="1" t="s">
        <v>887</v>
      </c>
      <c r="M339" s="1">
        <v>4</v>
      </c>
      <c r="N339" s="9">
        <v>45328</v>
      </c>
      <c r="O339" s="1" t="s">
        <v>276</v>
      </c>
      <c r="P339" s="1" t="s">
        <v>39</v>
      </c>
      <c r="Q339" s="1" t="s">
        <v>1606</v>
      </c>
      <c r="R339" s="1" t="s">
        <v>1607</v>
      </c>
      <c r="S339" s="1" t="b">
        <v>1</v>
      </c>
      <c r="T339" s="96"/>
      <c r="U339" s="97"/>
      <c r="V339" s="97"/>
      <c r="W339" s="97"/>
      <c r="X339" s="97"/>
      <c r="Y339" s="97" t="str">
        <f>IF(anleihenkäufe[[#This Row],[Verkauft am]]="","",anleihenkäufe[[#This Row],[Gewinn aus Kursänderung]]+anleihenkäufe[[#This Row],[Gewinn aus Zinsen]]+anleihenkäufe[[#This Row],[Gewinn aus Währungseffekten]])</f>
        <v/>
      </c>
      <c r="Z339" s="156" t="str">
        <f>IF(anleihenkäufe[[#This Row],[Verkauft am]]="","",anleihenkäufe[[#This Row],[Gewinn gesamt]]/anleihenkäufe[[#This Row],[Dirty Kaufpreis]])</f>
        <v/>
      </c>
    </row>
    <row r="340" spans="1:26" ht="14.25" x14ac:dyDescent="0.2">
      <c r="A340" s="9">
        <v>45412</v>
      </c>
      <c r="B340" s="1" t="s">
        <v>1589</v>
      </c>
      <c r="C340" s="1" t="s">
        <v>11</v>
      </c>
      <c r="D340" s="5">
        <f t="shared" si="15"/>
        <v>950.12129860407595</v>
      </c>
      <c r="E340" s="5">
        <f t="shared" si="16"/>
        <v>932.57483913084025</v>
      </c>
      <c r="F340" s="1">
        <v>2000</v>
      </c>
      <c r="G340" s="1">
        <v>1</v>
      </c>
      <c r="H340" s="6">
        <v>0.5</v>
      </c>
      <c r="I340" s="4">
        <f t="shared" si="17"/>
        <v>17.546459473235743</v>
      </c>
      <c r="J340" s="6">
        <v>8.3750000000000005E-2</v>
      </c>
      <c r="K340" s="99">
        <v>1.0723</v>
      </c>
      <c r="L340" s="1" t="s">
        <v>887</v>
      </c>
      <c r="M340" s="1">
        <v>2</v>
      </c>
      <c r="N340" s="9">
        <v>45371</v>
      </c>
      <c r="O340" s="1" t="s">
        <v>1105</v>
      </c>
      <c r="P340" s="1" t="s">
        <v>39</v>
      </c>
      <c r="Q340" s="1" t="s">
        <v>1590</v>
      </c>
      <c r="R340" s="1" t="s">
        <v>1591</v>
      </c>
      <c r="S340" s="1" t="b">
        <v>1</v>
      </c>
      <c r="T340" s="96" t="s">
        <v>164</v>
      </c>
      <c r="U340" s="97"/>
      <c r="V340" s="97"/>
      <c r="W340" s="97"/>
      <c r="X340" s="97"/>
      <c r="Y340" s="97" t="str">
        <f>IF(anleihenkäufe[[#This Row],[Verkauft am]]="","",anleihenkäufe[[#This Row],[Gewinn aus Kursänderung]]+anleihenkäufe[[#This Row],[Gewinn aus Zinsen]]+anleihenkäufe[[#This Row],[Gewinn aus Währungseffekten]])</f>
        <v/>
      </c>
      <c r="Z340" s="156" t="str">
        <f>IF(anleihenkäufe[[#This Row],[Verkauft am]]="","",anleihenkäufe[[#This Row],[Gewinn gesamt]]/anleihenkäufe[[#This Row],[Dirty Kaufpreis]])</f>
        <v/>
      </c>
    </row>
    <row r="341" spans="1:26" ht="14.25" x14ac:dyDescent="0.2">
      <c r="A341" s="9">
        <v>45412</v>
      </c>
      <c r="B341" s="1" t="s">
        <v>1596</v>
      </c>
      <c r="C341" s="1" t="s">
        <v>1</v>
      </c>
      <c r="D341" s="5">
        <f t="shared" si="15"/>
        <v>1370.6563410617809</v>
      </c>
      <c r="E341" s="5">
        <f t="shared" si="16"/>
        <v>1298.3306910379556</v>
      </c>
      <c r="F341" s="1">
        <v>2</v>
      </c>
      <c r="G341" s="1">
        <v>1000</v>
      </c>
      <c r="H341" s="6">
        <v>0.69609999999999994</v>
      </c>
      <c r="I341" s="4">
        <f t="shared" si="17"/>
        <v>72.325650023825361</v>
      </c>
      <c r="J341" s="6">
        <v>8.3750000000000005E-2</v>
      </c>
      <c r="K341" s="99">
        <v>1.0723</v>
      </c>
      <c r="L341" s="1" t="s">
        <v>887</v>
      </c>
      <c r="M341" s="1">
        <v>2</v>
      </c>
      <c r="N341" s="9">
        <v>45243</v>
      </c>
      <c r="O341" s="1" t="s">
        <v>218</v>
      </c>
      <c r="P341" s="1" t="s">
        <v>52</v>
      </c>
      <c r="Q341" s="1" t="s">
        <v>1597</v>
      </c>
      <c r="R341" s="1" t="s">
        <v>1598</v>
      </c>
      <c r="S341" s="1" t="b">
        <v>1</v>
      </c>
      <c r="T341" s="96" t="s">
        <v>164</v>
      </c>
      <c r="U341" s="97"/>
      <c r="V341" s="97"/>
      <c r="W341" s="97"/>
      <c r="X341" s="97"/>
      <c r="Y341" s="97" t="str">
        <f>IF(anleihenkäufe[[#This Row],[Verkauft am]]="","",anleihenkäufe[[#This Row],[Gewinn aus Kursänderung]]+anleihenkäufe[[#This Row],[Gewinn aus Zinsen]]+anleihenkäufe[[#This Row],[Gewinn aus Währungseffekten]])</f>
        <v/>
      </c>
      <c r="Z341" s="156" t="str">
        <f>IF(anleihenkäufe[[#This Row],[Verkauft am]]="","",anleihenkäufe[[#This Row],[Gewinn gesamt]]/anleihenkäufe[[#This Row],[Dirty Kaufpreis]])</f>
        <v/>
      </c>
    </row>
    <row r="342" spans="1:26" ht="14.25" x14ac:dyDescent="0.2">
      <c r="A342" s="9">
        <v>45412</v>
      </c>
      <c r="B342" s="1" t="s">
        <v>1582</v>
      </c>
      <c r="C342" s="1" t="s">
        <v>0</v>
      </c>
      <c r="D342" s="5">
        <f t="shared" si="15"/>
        <v>1867.3342028848499</v>
      </c>
      <c r="E342" s="5">
        <f t="shared" si="16"/>
        <v>1860.4868040660263</v>
      </c>
      <c r="F342" s="1">
        <v>2</v>
      </c>
      <c r="G342" s="1">
        <v>1000</v>
      </c>
      <c r="H342" s="6">
        <v>0.99750000000000005</v>
      </c>
      <c r="I342" s="4">
        <f t="shared" si="17"/>
        <v>6.8473988188237032</v>
      </c>
      <c r="J342" s="6">
        <v>8.3750000000000005E-2</v>
      </c>
      <c r="K342" s="99">
        <v>1.0723</v>
      </c>
      <c r="L342" s="1" t="s">
        <v>887</v>
      </c>
      <c r="M342" s="1">
        <v>4</v>
      </c>
      <c r="N342" s="9">
        <v>45396</v>
      </c>
      <c r="O342" s="1" t="s">
        <v>1020</v>
      </c>
      <c r="P342" s="1" t="s">
        <v>1011</v>
      </c>
      <c r="Q342" s="1" t="s">
        <v>1583</v>
      </c>
      <c r="R342" s="1" t="s">
        <v>1584</v>
      </c>
      <c r="S342" s="1" t="b">
        <v>1</v>
      </c>
      <c r="T342" s="96"/>
      <c r="U342" s="97"/>
      <c r="V342" s="97"/>
      <c r="W342" s="97"/>
      <c r="X342" s="97"/>
      <c r="Y342" s="97" t="str">
        <f>IF(anleihenkäufe[[#This Row],[Verkauft am]]="","",anleihenkäufe[[#This Row],[Gewinn aus Kursänderung]]+anleihenkäufe[[#This Row],[Gewinn aus Zinsen]]+anleihenkäufe[[#This Row],[Gewinn aus Währungseffekten]])</f>
        <v/>
      </c>
      <c r="Z342" s="156" t="str">
        <f>IF(anleihenkäufe[[#This Row],[Verkauft am]]="","",anleihenkäufe[[#This Row],[Gewinn gesamt]]/anleihenkäufe[[#This Row],[Dirty Kaufpreis]])</f>
        <v/>
      </c>
    </row>
    <row r="343" spans="1:26" ht="14.25" x14ac:dyDescent="0.2">
      <c r="A343" s="9">
        <v>45412</v>
      </c>
      <c r="B343" s="1" t="s">
        <v>1585</v>
      </c>
      <c r="C343" s="1" t="s">
        <v>11</v>
      </c>
      <c r="D343" s="5">
        <f t="shared" si="15"/>
        <v>1764.7407505822202</v>
      </c>
      <c r="E343" s="5">
        <f t="shared" si="16"/>
        <v>1753.6137275016317</v>
      </c>
      <c r="F343" s="1">
        <v>2</v>
      </c>
      <c r="G343" s="1">
        <v>1000</v>
      </c>
      <c r="H343" s="6">
        <v>0.94019999999999992</v>
      </c>
      <c r="I343" s="4">
        <f t="shared" si="17"/>
        <v>11.127023080588518</v>
      </c>
      <c r="J343" s="6">
        <v>8.3750000000000005E-2</v>
      </c>
      <c r="K343" s="99">
        <v>1.0723</v>
      </c>
      <c r="L343" s="1" t="s">
        <v>887</v>
      </c>
      <c r="M343" s="1">
        <v>2</v>
      </c>
      <c r="N343" s="9">
        <v>45386</v>
      </c>
      <c r="O343" s="1" t="s">
        <v>1586</v>
      </c>
      <c r="P343" s="1" t="s">
        <v>39</v>
      </c>
      <c r="Q343" s="1" t="s">
        <v>1587</v>
      </c>
      <c r="R343" s="1" t="s">
        <v>1588</v>
      </c>
      <c r="S343" s="1" t="b">
        <v>1</v>
      </c>
      <c r="T343" s="96"/>
      <c r="U343" s="97"/>
      <c r="V343" s="97"/>
      <c r="W343" s="97"/>
      <c r="X343" s="97"/>
      <c r="Y343" s="97" t="str">
        <f>IF(anleihenkäufe[[#This Row],[Verkauft am]]="","",anleihenkäufe[[#This Row],[Gewinn aus Kursänderung]]+anleihenkäufe[[#This Row],[Gewinn aus Zinsen]]+anleihenkäufe[[#This Row],[Gewinn aus Währungseffekten]])</f>
        <v/>
      </c>
      <c r="Z343" s="156" t="str">
        <f>IF(anleihenkäufe[[#This Row],[Verkauft am]]="","",anleihenkäufe[[#This Row],[Gewinn gesamt]]/anleihenkäufe[[#This Row],[Dirty Kaufpreis]])</f>
        <v/>
      </c>
    </row>
    <row r="344" spans="1:26" ht="14.25" x14ac:dyDescent="0.2">
      <c r="A344" s="9">
        <v>45412</v>
      </c>
      <c r="B344" s="1" t="s">
        <v>1579</v>
      </c>
      <c r="C344" s="1" t="s">
        <v>6</v>
      </c>
      <c r="D344" s="5">
        <f t="shared" si="15"/>
        <v>1927.9196299338641</v>
      </c>
      <c r="E344" s="5">
        <f t="shared" si="16"/>
        <v>1915.5087195747462</v>
      </c>
      <c r="F344" s="1">
        <v>2</v>
      </c>
      <c r="G344" s="1">
        <v>1000</v>
      </c>
      <c r="H344" s="6">
        <v>1.0270000000000001</v>
      </c>
      <c r="I344" s="4">
        <f t="shared" si="17"/>
        <v>12.410910359117963</v>
      </c>
      <c r="J344" s="6">
        <v>8.3750000000000005E-2</v>
      </c>
      <c r="K344" s="99">
        <v>1.0723</v>
      </c>
      <c r="L344" s="1" t="s">
        <v>887</v>
      </c>
      <c r="M344" s="1">
        <v>2</v>
      </c>
      <c r="N344" s="9">
        <v>45383</v>
      </c>
      <c r="O344" s="1" t="s">
        <v>1096</v>
      </c>
      <c r="P344" s="1" t="s">
        <v>39</v>
      </c>
      <c r="Q344" s="1" t="s">
        <v>1580</v>
      </c>
      <c r="R344" s="1" t="s">
        <v>1581</v>
      </c>
      <c r="S344" s="1" t="b">
        <v>1</v>
      </c>
      <c r="T344" s="9"/>
      <c r="U344" s="4"/>
      <c r="V344" s="4"/>
      <c r="W344" s="4"/>
      <c r="X344" s="4"/>
      <c r="Y344" s="4" t="str">
        <f>IF(anleihenkäufe[[#This Row],[Verkauft am]]="","",anleihenkäufe[[#This Row],[Gewinn aus Kursänderung]]+anleihenkäufe[[#This Row],[Gewinn aus Zinsen]]+anleihenkäufe[[#This Row],[Gewinn aus Währungseffekten]])</f>
        <v/>
      </c>
      <c r="Z344" s="156" t="str">
        <f>IF(anleihenkäufe[[#This Row],[Verkauft am]]="","",anleihenkäufe[[#This Row],[Gewinn gesamt]]/anleihenkäufe[[#This Row],[Dirty Kaufpreis]])</f>
        <v/>
      </c>
    </row>
    <row r="345" spans="1:26" ht="14.25" x14ac:dyDescent="0.2">
      <c r="A345" s="9">
        <v>45412</v>
      </c>
      <c r="B345" s="1" t="s">
        <v>1599</v>
      </c>
      <c r="C345" s="1" t="s">
        <v>0</v>
      </c>
      <c r="D345" s="5">
        <f t="shared" si="15"/>
        <v>1866.1307980924373</v>
      </c>
      <c r="E345" s="5">
        <f t="shared" si="16"/>
        <v>1839.5971276694954</v>
      </c>
      <c r="F345" s="1">
        <v>2</v>
      </c>
      <c r="G345" s="1">
        <v>1000</v>
      </c>
      <c r="H345" s="6">
        <v>0.98629999999999995</v>
      </c>
      <c r="I345" s="4">
        <f t="shared" si="17"/>
        <v>26.533670422941853</v>
      </c>
      <c r="J345" s="6">
        <v>8.3750000000000005E-2</v>
      </c>
      <c r="K345" s="99">
        <v>1.0723</v>
      </c>
      <c r="L345" s="1" t="s">
        <v>887</v>
      </c>
      <c r="M345" s="1">
        <v>2</v>
      </c>
      <c r="N345" s="9">
        <v>45350</v>
      </c>
      <c r="O345" s="1" t="s">
        <v>1004</v>
      </c>
      <c r="P345" s="1" t="s">
        <v>52</v>
      </c>
      <c r="Q345" s="1" t="s">
        <v>1600</v>
      </c>
      <c r="R345" s="1" t="s">
        <v>1601</v>
      </c>
      <c r="S345" s="1" t="b">
        <v>1</v>
      </c>
      <c r="T345" s="96"/>
      <c r="U345" s="97"/>
      <c r="V345" s="97"/>
      <c r="W345" s="97"/>
      <c r="X345" s="97"/>
      <c r="Y345" s="97" t="str">
        <f>IF(anleihenkäufe[[#This Row],[Verkauft am]]="","",anleihenkäufe[[#This Row],[Gewinn aus Kursänderung]]+anleihenkäufe[[#This Row],[Gewinn aus Zinsen]]+anleihenkäufe[[#This Row],[Gewinn aus Währungseffekten]])</f>
        <v/>
      </c>
      <c r="Z345" s="156" t="str">
        <f>IF(anleihenkäufe[[#This Row],[Verkauft am]]="","",anleihenkäufe[[#This Row],[Gewinn gesamt]]/anleihenkäufe[[#This Row],[Dirty Kaufpreis]])</f>
        <v/>
      </c>
    </row>
    <row r="346" spans="1:26" ht="14.25" x14ac:dyDescent="0.2">
      <c r="A346" s="9">
        <v>45412</v>
      </c>
      <c r="B346" s="1" t="s">
        <v>1573</v>
      </c>
      <c r="C346" s="1" t="s">
        <v>0</v>
      </c>
      <c r="D346" s="5">
        <f t="shared" si="15"/>
        <v>1861.2724664304994</v>
      </c>
      <c r="E346" s="5">
        <f t="shared" si="16"/>
        <v>1823.1838105007926</v>
      </c>
      <c r="F346" s="1">
        <v>2</v>
      </c>
      <c r="G346" s="1">
        <v>1000</v>
      </c>
      <c r="H346" s="6">
        <v>0.97750000000000004</v>
      </c>
      <c r="I346" s="4">
        <f t="shared" si="17"/>
        <v>38.088655929706846</v>
      </c>
      <c r="J346" s="6">
        <v>8.3750000000000005E-2</v>
      </c>
      <c r="K346" s="99">
        <v>1.0723</v>
      </c>
      <c r="L346" s="1" t="s">
        <v>887</v>
      </c>
      <c r="M346" s="1">
        <v>2</v>
      </c>
      <c r="N346" s="9">
        <v>45323</v>
      </c>
      <c r="O346" s="1" t="s">
        <v>276</v>
      </c>
      <c r="P346" s="1" t="s">
        <v>1011</v>
      </c>
      <c r="Q346" s="1" t="s">
        <v>1574</v>
      </c>
      <c r="R346" s="1" t="s">
        <v>1575</v>
      </c>
      <c r="S346" s="1" t="b">
        <v>1</v>
      </c>
      <c r="T346" s="96"/>
      <c r="U346" s="97"/>
      <c r="V346" s="97"/>
      <c r="W346" s="97"/>
      <c r="X346" s="97"/>
      <c r="Y346" s="97" t="str">
        <f>IF(anleihenkäufe[[#This Row],[Verkauft am]]="","",anleihenkäufe[[#This Row],[Gewinn aus Kursänderung]]+anleihenkäufe[[#This Row],[Gewinn aus Zinsen]]+anleihenkäufe[[#This Row],[Gewinn aus Währungseffekten]])</f>
        <v/>
      </c>
      <c r="Z346" s="156" t="str">
        <f>IF(anleihenkäufe[[#This Row],[Verkauft am]]="","",anleihenkäufe[[#This Row],[Gewinn gesamt]]/anleihenkäufe[[#This Row],[Dirty Kaufpreis]])</f>
        <v/>
      </c>
    </row>
    <row r="347" spans="1:26" ht="14.25" x14ac:dyDescent="0.2">
      <c r="A347" s="9">
        <v>45412</v>
      </c>
      <c r="B347" s="1" t="s">
        <v>1576</v>
      </c>
      <c r="C347" s="1" t="s">
        <v>8</v>
      </c>
      <c r="D347" s="5">
        <f t="shared" si="15"/>
        <v>2058.7930948581916</v>
      </c>
      <c r="E347" s="5">
        <f t="shared" si="16"/>
        <v>2013.4290776834844</v>
      </c>
      <c r="F347" s="1">
        <v>2</v>
      </c>
      <c r="G347" s="1">
        <v>1000</v>
      </c>
      <c r="H347" s="6">
        <v>1.0795000000000001</v>
      </c>
      <c r="I347" s="4">
        <f t="shared" si="17"/>
        <v>45.364017174707037</v>
      </c>
      <c r="J347" s="6">
        <v>8.3750000000000005E-2</v>
      </c>
      <c r="K347" s="99">
        <v>1.0723</v>
      </c>
      <c r="L347" s="1" t="s">
        <v>887</v>
      </c>
      <c r="M347" s="1">
        <v>2</v>
      </c>
      <c r="N347" s="9">
        <v>45306</v>
      </c>
      <c r="O347" s="1" t="s">
        <v>276</v>
      </c>
      <c r="P347" s="1" t="s">
        <v>39</v>
      </c>
      <c r="Q347" s="1" t="s">
        <v>1577</v>
      </c>
      <c r="R347" s="1" t="s">
        <v>1578</v>
      </c>
      <c r="S347" s="1" t="b">
        <v>1</v>
      </c>
      <c r="T347" s="9"/>
      <c r="U347" s="4"/>
      <c r="V347" s="4"/>
      <c r="W347" s="4"/>
      <c r="X347" s="4"/>
      <c r="Y347" s="4" t="str">
        <f>IF(anleihenkäufe[[#This Row],[Verkauft am]]="","",anleihenkäufe[[#This Row],[Gewinn aus Kursänderung]]+anleihenkäufe[[#This Row],[Gewinn aus Zinsen]]+anleihenkäufe[[#This Row],[Gewinn aus Währungseffekten]])</f>
        <v/>
      </c>
      <c r="Z347" s="156" t="str">
        <f>IF(anleihenkäufe[[#This Row],[Verkauft am]]="","",anleihenkäufe[[#This Row],[Gewinn gesamt]]/anleihenkäufe[[#This Row],[Dirty Kaufpreis]])</f>
        <v/>
      </c>
    </row>
    <row r="348" spans="1:26" ht="14.25" x14ac:dyDescent="0.2">
      <c r="A348" s="9">
        <v>45412</v>
      </c>
      <c r="B348" s="1" t="s">
        <v>1592</v>
      </c>
      <c r="C348" s="1" t="s">
        <v>4</v>
      </c>
      <c r="D348" s="5">
        <f t="shared" si="15"/>
        <v>2040.7611854686957</v>
      </c>
      <c r="E348" s="5">
        <f t="shared" si="16"/>
        <v>1965.8677608878113</v>
      </c>
      <c r="F348" s="1">
        <v>2</v>
      </c>
      <c r="G348" s="1">
        <v>1000</v>
      </c>
      <c r="H348" s="6">
        <v>1.054</v>
      </c>
      <c r="I348" s="4">
        <f t="shared" si="17"/>
        <v>74.893424580884258</v>
      </c>
      <c r="J348" s="6">
        <v>8.3750000000000005E-2</v>
      </c>
      <c r="K348" s="99">
        <v>1.0723</v>
      </c>
      <c r="L348" s="1" t="s">
        <v>887</v>
      </c>
      <c r="M348" s="1">
        <v>2</v>
      </c>
      <c r="N348" s="9">
        <v>45237</v>
      </c>
      <c r="O348" s="1" t="s">
        <v>1593</v>
      </c>
      <c r="P348" s="1" t="s">
        <v>39</v>
      </c>
      <c r="Q348" s="1" t="s">
        <v>1594</v>
      </c>
      <c r="R348" s="1" t="s">
        <v>1595</v>
      </c>
      <c r="S348" s="1" t="b">
        <v>1</v>
      </c>
      <c r="T348" s="9"/>
      <c r="U348" s="4"/>
      <c r="V348" s="4"/>
      <c r="W348" s="4"/>
      <c r="X348" s="4"/>
      <c r="Y348" s="4" t="str">
        <f>IF(anleihenkäufe[[#This Row],[Verkauft am]]="","",anleihenkäufe[[#This Row],[Gewinn aus Kursänderung]]+anleihenkäufe[[#This Row],[Gewinn aus Zinsen]]+anleihenkäufe[[#This Row],[Gewinn aus Währungseffekten]])</f>
        <v/>
      </c>
      <c r="Z348" s="156" t="str">
        <f>IF(anleihenkäufe[[#This Row],[Verkauft am]]="","",anleihenkäufe[[#This Row],[Gewinn gesamt]]/anleihenkäufe[[#This Row],[Dirty Kaufpreis]])</f>
        <v/>
      </c>
    </row>
    <row r="349" spans="1:26" ht="14.25" x14ac:dyDescent="0.2">
      <c r="A349" s="9">
        <v>45412</v>
      </c>
      <c r="B349" s="1" t="s">
        <v>1570</v>
      </c>
      <c r="C349" s="1" t="s">
        <v>0</v>
      </c>
      <c r="D349" s="5">
        <f t="shared" si="15"/>
        <v>2017.6499369553856</v>
      </c>
      <c r="E349" s="5">
        <f t="shared" si="16"/>
        <v>1945.5376293947586</v>
      </c>
      <c r="F349" s="1">
        <v>2</v>
      </c>
      <c r="G349" s="1">
        <v>1000</v>
      </c>
      <c r="H349" s="6">
        <v>1.0430999999999999</v>
      </c>
      <c r="I349" s="4">
        <f t="shared" si="17"/>
        <v>72.112307560626945</v>
      </c>
      <c r="J349" s="6">
        <v>8.4000000000000005E-2</v>
      </c>
      <c r="K349" s="99">
        <v>1.0723</v>
      </c>
      <c r="L349" s="1" t="s">
        <v>887</v>
      </c>
      <c r="M349" s="1">
        <v>2</v>
      </c>
      <c r="N349" s="9">
        <v>45244</v>
      </c>
      <c r="O349" s="1" t="s">
        <v>276</v>
      </c>
      <c r="P349" s="1" t="s">
        <v>39</v>
      </c>
      <c r="Q349" s="1" t="s">
        <v>1571</v>
      </c>
      <c r="R349" s="1" t="s">
        <v>1572</v>
      </c>
      <c r="S349" s="1" t="b">
        <v>1</v>
      </c>
      <c r="T349" s="9"/>
      <c r="U349" s="4"/>
      <c r="V349" s="4"/>
      <c r="W349" s="4"/>
      <c r="X349" s="4"/>
      <c r="Y349" s="4" t="str">
        <f>IF(anleihenkäufe[[#This Row],[Verkauft am]]="","",anleihenkäufe[[#This Row],[Gewinn aus Kursänderung]]+anleihenkäufe[[#This Row],[Gewinn aus Zinsen]]+anleihenkäufe[[#This Row],[Gewinn aus Währungseffekten]])</f>
        <v/>
      </c>
      <c r="Z349" s="156" t="str">
        <f>IF(anleihenkäufe[[#This Row],[Verkauft am]]="","",anleihenkäufe[[#This Row],[Gewinn gesamt]]/anleihenkäufe[[#This Row],[Dirty Kaufpreis]])</f>
        <v/>
      </c>
    </row>
    <row r="350" spans="1:26" ht="14.25" x14ac:dyDescent="0.2">
      <c r="A350" s="9">
        <v>45412</v>
      </c>
      <c r="B350" s="1" t="s">
        <v>1567</v>
      </c>
      <c r="C350" s="1" t="s">
        <v>9</v>
      </c>
      <c r="D350" s="5">
        <f t="shared" si="15"/>
        <v>1514.7468187061736</v>
      </c>
      <c r="E350" s="5">
        <f t="shared" si="16"/>
        <v>1514.3150237806583</v>
      </c>
      <c r="F350" s="1">
        <v>2</v>
      </c>
      <c r="G350" s="1">
        <v>1000</v>
      </c>
      <c r="H350" s="6">
        <v>0.81189999999999996</v>
      </c>
      <c r="I350" s="4">
        <f t="shared" si="17"/>
        <v>0.43179492551537529</v>
      </c>
      <c r="J350" s="6">
        <v>8.4499999999999992E-2</v>
      </c>
      <c r="K350" s="99">
        <v>1.0723</v>
      </c>
      <c r="L350" s="1" t="s">
        <v>887</v>
      </c>
      <c r="M350" s="1">
        <v>2</v>
      </c>
      <c r="N350" s="9">
        <v>45411</v>
      </c>
      <c r="O350" s="1" t="s">
        <v>176</v>
      </c>
      <c r="P350" s="1" t="s">
        <v>52</v>
      </c>
      <c r="Q350" s="1" t="s">
        <v>1568</v>
      </c>
      <c r="R350" s="1" t="s">
        <v>1569</v>
      </c>
      <c r="S350" s="1" t="b">
        <v>1</v>
      </c>
      <c r="T350" s="96"/>
      <c r="U350" s="97"/>
      <c r="V350" s="97"/>
      <c r="W350" s="97"/>
      <c r="X350" s="97"/>
      <c r="Y350" s="97" t="str">
        <f>IF(anleihenkäufe[[#This Row],[Verkauft am]]="","",anleihenkäufe[[#This Row],[Gewinn aus Kursänderung]]+anleihenkäufe[[#This Row],[Gewinn aus Zinsen]]+anleihenkäufe[[#This Row],[Gewinn aus Währungseffekten]])</f>
        <v/>
      </c>
      <c r="Z350" s="156" t="str">
        <f>IF(anleihenkäufe[[#This Row],[Verkauft am]]="","",anleihenkäufe[[#This Row],[Gewinn gesamt]]/anleihenkäufe[[#This Row],[Dirty Kaufpreis]])</f>
        <v/>
      </c>
    </row>
    <row r="351" spans="1:26" ht="14.25" x14ac:dyDescent="0.2">
      <c r="A351" s="9">
        <v>45412</v>
      </c>
      <c r="B351" s="1" t="s">
        <v>1557</v>
      </c>
      <c r="C351" s="1" t="s">
        <v>9</v>
      </c>
      <c r="D351" s="5">
        <f t="shared" si="15"/>
        <v>1737.1058753492364</v>
      </c>
      <c r="E351" s="5">
        <f t="shared" si="16"/>
        <v>1717.2433087755292</v>
      </c>
      <c r="F351" s="1">
        <v>2</v>
      </c>
      <c r="G351" s="1">
        <v>1000</v>
      </c>
      <c r="H351" s="6">
        <v>0.92069999999999996</v>
      </c>
      <c r="I351" s="4">
        <f t="shared" si="17"/>
        <v>19.862566573707262</v>
      </c>
      <c r="J351" s="6">
        <v>8.4499999999999992E-2</v>
      </c>
      <c r="K351" s="99">
        <v>1.0723</v>
      </c>
      <c r="L351" s="1" t="s">
        <v>887</v>
      </c>
      <c r="M351" s="1">
        <v>2</v>
      </c>
      <c r="N351" s="9">
        <v>45366</v>
      </c>
      <c r="O351" s="1" t="s">
        <v>276</v>
      </c>
      <c r="P351" s="1" t="s">
        <v>39</v>
      </c>
      <c r="Q351" s="1" t="s">
        <v>1558</v>
      </c>
      <c r="R351" s="1" t="s">
        <v>1559</v>
      </c>
      <c r="S351" s="1" t="b">
        <v>1</v>
      </c>
      <c r="T351" s="96"/>
      <c r="U351" s="97"/>
      <c r="V351" s="97"/>
      <c r="W351" s="97"/>
      <c r="X351" s="97"/>
      <c r="Y351" s="97" t="str">
        <f>IF(anleihenkäufe[[#This Row],[Verkauft am]]="","",anleihenkäufe[[#This Row],[Gewinn aus Kursänderung]]+anleihenkäufe[[#This Row],[Gewinn aus Zinsen]]+anleihenkäufe[[#This Row],[Gewinn aus Währungseffekten]])</f>
        <v/>
      </c>
      <c r="Z351" s="156" t="str">
        <f>IF(anleihenkäufe[[#This Row],[Verkauft am]]="","",anleihenkäufe[[#This Row],[Gewinn gesamt]]/anleihenkäufe[[#This Row],[Dirty Kaufpreis]])</f>
        <v/>
      </c>
    </row>
    <row r="352" spans="1:26" ht="14.25" x14ac:dyDescent="0.2">
      <c r="A352" s="9">
        <v>45412</v>
      </c>
      <c r="B352" s="1" t="s">
        <v>1563</v>
      </c>
      <c r="C352" s="1" t="s">
        <v>7</v>
      </c>
      <c r="D352" s="5">
        <f t="shared" si="15"/>
        <v>1859.4060392524584</v>
      </c>
      <c r="E352" s="5">
        <f t="shared" si="16"/>
        <v>1824.8624452112283</v>
      </c>
      <c r="F352" s="1">
        <v>2</v>
      </c>
      <c r="G352" s="1">
        <v>1000</v>
      </c>
      <c r="H352" s="6">
        <v>0.97840000000000005</v>
      </c>
      <c r="I352" s="4">
        <f t="shared" si="17"/>
        <v>34.543594041230023</v>
      </c>
      <c r="J352" s="6">
        <v>8.4499999999999992E-2</v>
      </c>
      <c r="K352" s="99">
        <v>1.0723</v>
      </c>
      <c r="L352" s="1" t="s">
        <v>887</v>
      </c>
      <c r="M352" s="1">
        <v>2</v>
      </c>
      <c r="N352" s="9">
        <v>45332</v>
      </c>
      <c r="O352" s="1" t="s">
        <v>1564</v>
      </c>
      <c r="P352" s="1" t="s">
        <v>109</v>
      </c>
      <c r="Q352" s="1" t="s">
        <v>1565</v>
      </c>
      <c r="R352" s="1" t="s">
        <v>1566</v>
      </c>
      <c r="S352" s="1" t="b">
        <v>1</v>
      </c>
      <c r="T352" s="96"/>
      <c r="U352" s="97"/>
      <c r="V352" s="97"/>
      <c r="W352" s="97"/>
      <c r="X352" s="97"/>
      <c r="Y352" s="97" t="str">
        <f>IF(anleihenkäufe[[#This Row],[Verkauft am]]="","",anleihenkäufe[[#This Row],[Gewinn aus Kursänderung]]+anleihenkäufe[[#This Row],[Gewinn aus Zinsen]]+anleihenkäufe[[#This Row],[Gewinn aus Währungseffekten]])</f>
        <v/>
      </c>
      <c r="Z352" s="156" t="str">
        <f>IF(anleihenkäufe[[#This Row],[Verkauft am]]="","",anleihenkäufe[[#This Row],[Gewinn gesamt]]/anleihenkäufe[[#This Row],[Dirty Kaufpreis]])</f>
        <v/>
      </c>
    </row>
    <row r="353" spans="1:26" ht="14.25" x14ac:dyDescent="0.2">
      <c r="A353" s="9">
        <v>45412</v>
      </c>
      <c r="B353" s="1" t="s">
        <v>1560</v>
      </c>
      <c r="C353" s="1" t="s">
        <v>0</v>
      </c>
      <c r="D353" s="5">
        <f t="shared" si="15"/>
        <v>1976.4531240618362</v>
      </c>
      <c r="E353" s="5">
        <f t="shared" si="16"/>
        <v>1923.342348223445</v>
      </c>
      <c r="F353" s="1">
        <v>2</v>
      </c>
      <c r="G353" s="1">
        <v>1000</v>
      </c>
      <c r="H353" s="6">
        <v>1.0312000000000001</v>
      </c>
      <c r="I353" s="4">
        <f t="shared" si="17"/>
        <v>53.110775838391163</v>
      </c>
      <c r="J353" s="6">
        <v>8.4499999999999992E-2</v>
      </c>
      <c r="K353" s="99">
        <v>1.0723</v>
      </c>
      <c r="L353" s="1" t="s">
        <v>887</v>
      </c>
      <c r="M353" s="1">
        <v>2</v>
      </c>
      <c r="N353" s="9">
        <v>45289</v>
      </c>
      <c r="O353" s="1" t="s">
        <v>1020</v>
      </c>
      <c r="P353" s="1" t="s">
        <v>39</v>
      </c>
      <c r="Q353" s="1" t="s">
        <v>1561</v>
      </c>
      <c r="R353" s="1" t="s">
        <v>1562</v>
      </c>
      <c r="S353" s="1" t="b">
        <v>1</v>
      </c>
      <c r="T353" s="9"/>
      <c r="U353" s="4"/>
      <c r="V353" s="4"/>
      <c r="W353" s="4"/>
      <c r="X353" s="4"/>
      <c r="Y353" s="4" t="str">
        <f>IF(anleihenkäufe[[#This Row],[Verkauft am]]="","",anleihenkäufe[[#This Row],[Gewinn aus Kursänderung]]+anleihenkäufe[[#This Row],[Gewinn aus Zinsen]]+anleihenkäufe[[#This Row],[Gewinn aus Währungseffekten]])</f>
        <v/>
      </c>
      <c r="Z353" s="156" t="str">
        <f>IF(anleihenkäufe[[#This Row],[Verkauft am]]="","",anleihenkäufe[[#This Row],[Gewinn gesamt]]/anleihenkäufe[[#This Row],[Dirty Kaufpreis]])</f>
        <v/>
      </c>
    </row>
    <row r="354" spans="1:26" ht="14.25" x14ac:dyDescent="0.2">
      <c r="A354" s="9">
        <v>45412</v>
      </c>
      <c r="B354" s="1" t="s">
        <v>1480</v>
      </c>
      <c r="C354" s="1" t="s">
        <v>0</v>
      </c>
      <c r="D354" s="5">
        <f t="shared" si="15"/>
        <v>1798.1443038201076</v>
      </c>
      <c r="E354" s="5">
        <f t="shared" si="16"/>
        <v>1791.6627809381703</v>
      </c>
      <c r="F354" s="1">
        <v>2</v>
      </c>
      <c r="G354" s="1">
        <v>1000</v>
      </c>
      <c r="H354" s="6">
        <v>0.96060000000000001</v>
      </c>
      <c r="I354" s="4">
        <f t="shared" si="17"/>
        <v>6.4815228819373027</v>
      </c>
      <c r="J354" s="6">
        <v>8.4559999999999996E-2</v>
      </c>
      <c r="K354" s="99">
        <v>1.0723</v>
      </c>
      <c r="L354" s="1" t="s">
        <v>887</v>
      </c>
      <c r="M354" s="1">
        <v>4</v>
      </c>
      <c r="N354" s="9">
        <v>45397</v>
      </c>
      <c r="O354" s="1" t="s">
        <v>276</v>
      </c>
      <c r="P354" s="1" t="s">
        <v>39</v>
      </c>
      <c r="Q354" s="1" t="s">
        <v>1481</v>
      </c>
      <c r="R354" s="1" t="s">
        <v>1482</v>
      </c>
      <c r="S354" s="1" t="b">
        <v>1</v>
      </c>
      <c r="T354" s="96"/>
      <c r="U354" s="97"/>
      <c r="V354" s="97"/>
      <c r="W354" s="97"/>
      <c r="X354" s="97"/>
      <c r="Y354" s="97" t="str">
        <f>IF(anleihenkäufe[[#This Row],[Verkauft am]]="","",anleihenkäufe[[#This Row],[Gewinn aus Kursänderung]]+anleihenkäufe[[#This Row],[Gewinn aus Zinsen]]+anleihenkäufe[[#This Row],[Gewinn aus Währungseffekten]])</f>
        <v/>
      </c>
      <c r="Z354" s="156" t="str">
        <f>IF(anleihenkäufe[[#This Row],[Verkauft am]]="","",anleihenkäufe[[#This Row],[Gewinn gesamt]]/anleihenkäufe[[#This Row],[Dirty Kaufpreis]])</f>
        <v/>
      </c>
    </row>
    <row r="355" spans="1:26" ht="14.25" x14ac:dyDescent="0.2">
      <c r="A355" s="9">
        <v>45412</v>
      </c>
      <c r="B355" s="1" t="s">
        <v>1269</v>
      </c>
      <c r="C355" s="1" t="s">
        <v>6</v>
      </c>
      <c r="D355" s="5">
        <f t="shared" si="15"/>
        <v>1192.6865692615668</v>
      </c>
      <c r="E355" s="5">
        <f t="shared" si="16"/>
        <v>1153.5950760048493</v>
      </c>
      <c r="F355" s="1">
        <v>2</v>
      </c>
      <c r="G355" s="1">
        <v>1000</v>
      </c>
      <c r="H355" s="6">
        <v>0.61850000000000005</v>
      </c>
      <c r="I355" s="4">
        <f t="shared" si="17"/>
        <v>39.091493256717413</v>
      </c>
      <c r="J355" s="6">
        <v>8.5000000000000006E-2</v>
      </c>
      <c r="K355" s="99">
        <v>1.0723</v>
      </c>
      <c r="L355" s="1" t="s">
        <v>887</v>
      </c>
      <c r="M355" s="1">
        <v>2</v>
      </c>
      <c r="N355" s="9">
        <v>45322</v>
      </c>
      <c r="O355" s="1" t="s">
        <v>276</v>
      </c>
      <c r="P355" s="1" t="s">
        <v>39</v>
      </c>
      <c r="Q355" s="1" t="s">
        <v>1466</v>
      </c>
      <c r="R355" s="1" t="s">
        <v>1467</v>
      </c>
      <c r="S355" s="1" t="b">
        <v>1</v>
      </c>
      <c r="T355" s="96" t="s">
        <v>164</v>
      </c>
      <c r="U355" s="97"/>
      <c r="V355" s="97"/>
      <c r="W355" s="97"/>
      <c r="X355" s="97"/>
      <c r="Y355" s="97" t="str">
        <f>IF(anleihenkäufe[[#This Row],[Verkauft am]]="","",anleihenkäufe[[#This Row],[Gewinn aus Kursänderung]]+anleihenkäufe[[#This Row],[Gewinn aus Zinsen]]+anleihenkäufe[[#This Row],[Gewinn aus Währungseffekten]])</f>
        <v/>
      </c>
      <c r="Z355" s="156" t="str">
        <f>IF(anleihenkäufe[[#This Row],[Verkauft am]]="","",anleihenkäufe[[#This Row],[Gewinn gesamt]]/anleihenkäufe[[#This Row],[Dirty Kaufpreis]])</f>
        <v/>
      </c>
    </row>
    <row r="356" spans="1:26" ht="14.25" x14ac:dyDescent="0.2">
      <c r="A356" s="9">
        <v>45412</v>
      </c>
      <c r="B356" s="1" t="s">
        <v>1474</v>
      </c>
      <c r="C356" s="1" t="s">
        <v>2</v>
      </c>
      <c r="D356" s="5">
        <f t="shared" si="15"/>
        <v>1436.4079772196239</v>
      </c>
      <c r="E356" s="5">
        <f t="shared" si="16"/>
        <v>1433.3675277441014</v>
      </c>
      <c r="F356" s="1">
        <v>2</v>
      </c>
      <c r="G356" s="1">
        <v>1000</v>
      </c>
      <c r="H356" s="6">
        <v>0.76849999999999996</v>
      </c>
      <c r="I356" s="4">
        <f t="shared" si="17"/>
        <v>3.0404494755224656</v>
      </c>
      <c r="J356" s="6">
        <v>8.5000000000000006E-2</v>
      </c>
      <c r="K356" s="99">
        <v>1.0723</v>
      </c>
      <c r="L356" s="1" t="s">
        <v>887</v>
      </c>
      <c r="M356" s="1">
        <v>2</v>
      </c>
      <c r="N356" s="9">
        <v>45405</v>
      </c>
      <c r="O356" s="1" t="s">
        <v>51</v>
      </c>
      <c r="P356" s="1" t="s">
        <v>52</v>
      </c>
      <c r="Q356" s="1" t="s">
        <v>1475</v>
      </c>
      <c r="R356" s="1" t="s">
        <v>1476</v>
      </c>
      <c r="S356" s="1" t="b">
        <v>1</v>
      </c>
      <c r="T356" s="9"/>
      <c r="U356" s="4"/>
      <c r="V356" s="4"/>
      <c r="W356" s="4"/>
      <c r="X356" s="4"/>
      <c r="Y356" s="4" t="str">
        <f>IF(anleihenkäufe[[#This Row],[Verkauft am]]="","",anleihenkäufe[[#This Row],[Gewinn aus Kursänderung]]+anleihenkäufe[[#This Row],[Gewinn aus Zinsen]]+anleihenkäufe[[#This Row],[Gewinn aus Währungseffekten]])</f>
        <v/>
      </c>
      <c r="Z356" s="156" t="str">
        <f>IF(anleihenkäufe[[#This Row],[Verkauft am]]="","",anleihenkäufe[[#This Row],[Gewinn gesamt]]/anleihenkäufe[[#This Row],[Dirty Kaufpreis]])</f>
        <v/>
      </c>
    </row>
    <row r="357" spans="1:26" ht="14.25" x14ac:dyDescent="0.2">
      <c r="A357" s="9">
        <v>45412</v>
      </c>
      <c r="B357" s="1" t="s">
        <v>1471</v>
      </c>
      <c r="C357" s="1" t="s">
        <v>11</v>
      </c>
      <c r="D357" s="5">
        <f t="shared" si="15"/>
        <v>2305.8692172375595</v>
      </c>
      <c r="E357" s="5">
        <f t="shared" si="16"/>
        <v>2298.0509185862161</v>
      </c>
      <c r="F357" s="1">
        <v>2</v>
      </c>
      <c r="G357" s="1">
        <v>1000</v>
      </c>
      <c r="H357" s="6">
        <v>1.2321</v>
      </c>
      <c r="I357" s="4">
        <f t="shared" si="17"/>
        <v>7.8182986513434818</v>
      </c>
      <c r="J357" s="6">
        <v>8.5000000000000006E-2</v>
      </c>
      <c r="K357" s="99">
        <v>1.0723</v>
      </c>
      <c r="L357" s="1" t="s">
        <v>887</v>
      </c>
      <c r="M357" s="1">
        <v>2</v>
      </c>
      <c r="N357" s="9">
        <v>45394</v>
      </c>
      <c r="O357" s="1" t="s">
        <v>1190</v>
      </c>
      <c r="P357" s="1" t="s">
        <v>61</v>
      </c>
      <c r="Q357" s="1" t="s">
        <v>1472</v>
      </c>
      <c r="R357" s="1" t="s">
        <v>1473</v>
      </c>
      <c r="S357" s="1" t="b">
        <v>1</v>
      </c>
      <c r="T357" s="9"/>
      <c r="U357" s="4"/>
      <c r="V357" s="4"/>
      <c r="W357" s="4"/>
      <c r="X357" s="4"/>
      <c r="Y357" s="4" t="str">
        <f>IF(anleihenkäufe[[#This Row],[Verkauft am]]="","",anleihenkäufe[[#This Row],[Gewinn aus Kursänderung]]+anleihenkäufe[[#This Row],[Gewinn aus Zinsen]]+anleihenkäufe[[#This Row],[Gewinn aus Währungseffekten]])</f>
        <v/>
      </c>
      <c r="Z357" s="156" t="str">
        <f>IF(anleihenkäufe[[#This Row],[Verkauft am]]="","",anleihenkäufe[[#This Row],[Gewinn gesamt]]/anleihenkäufe[[#This Row],[Dirty Kaufpreis]])</f>
        <v/>
      </c>
    </row>
    <row r="358" spans="1:26" ht="14.25" x14ac:dyDescent="0.2">
      <c r="A358" s="9">
        <v>45412</v>
      </c>
      <c r="B358" s="1" t="s">
        <v>1477</v>
      </c>
      <c r="C358" s="1" t="s">
        <v>10</v>
      </c>
      <c r="D358" s="5">
        <f t="shared" si="15"/>
        <v>1944.574394560917</v>
      </c>
      <c r="E358" s="5">
        <f t="shared" si="16"/>
        <v>1928.9377972582299</v>
      </c>
      <c r="F358" s="1">
        <v>2</v>
      </c>
      <c r="G358" s="1">
        <v>1000</v>
      </c>
      <c r="H358" s="6">
        <v>1.0342</v>
      </c>
      <c r="I358" s="4">
        <f t="shared" si="17"/>
        <v>15.636597302686964</v>
      </c>
      <c r="J358" s="6">
        <v>8.5000000000000006E-2</v>
      </c>
      <c r="K358" s="99">
        <v>1.0723</v>
      </c>
      <c r="L358" s="1" t="s">
        <v>887</v>
      </c>
      <c r="M358" s="1">
        <v>2</v>
      </c>
      <c r="N358" s="9">
        <v>45376</v>
      </c>
      <c r="O358" s="1" t="s">
        <v>1004</v>
      </c>
      <c r="P358" s="1" t="s">
        <v>39</v>
      </c>
      <c r="Q358" s="1" t="s">
        <v>1478</v>
      </c>
      <c r="R358" s="1" t="s">
        <v>1479</v>
      </c>
      <c r="S358" s="1" t="b">
        <v>1</v>
      </c>
      <c r="T358" s="9"/>
      <c r="U358" s="4"/>
      <c r="V358" s="4"/>
      <c r="W358" s="4"/>
      <c r="X358" s="4"/>
      <c r="Y358" s="4" t="str">
        <f>IF(anleihenkäufe[[#This Row],[Verkauft am]]="","",anleihenkäufe[[#This Row],[Gewinn aus Kursänderung]]+anleihenkäufe[[#This Row],[Gewinn aus Zinsen]]+anleihenkäufe[[#This Row],[Gewinn aus Währungseffekten]])</f>
        <v/>
      </c>
      <c r="Z358" s="156" t="str">
        <f>IF(anleihenkäufe[[#This Row],[Verkauft am]]="","",anleihenkäufe[[#This Row],[Gewinn gesamt]]/anleihenkäufe[[#This Row],[Dirty Kaufpreis]])</f>
        <v/>
      </c>
    </row>
    <row r="359" spans="1:26" ht="14.25" x14ac:dyDescent="0.2">
      <c r="A359" s="9">
        <v>45412</v>
      </c>
      <c r="B359" s="1" t="s">
        <v>1463</v>
      </c>
      <c r="C359" s="1" t="s">
        <v>0</v>
      </c>
      <c r="D359" s="5">
        <f t="shared" si="15"/>
        <v>1882.1455353298954</v>
      </c>
      <c r="E359" s="5">
        <f t="shared" si="16"/>
        <v>1862.165438776462</v>
      </c>
      <c r="F359" s="1">
        <v>2</v>
      </c>
      <c r="G359" s="1">
        <v>1000</v>
      </c>
      <c r="H359" s="6">
        <v>0.99840000000000007</v>
      </c>
      <c r="I359" s="4">
        <f t="shared" si="17"/>
        <v>19.980096553433341</v>
      </c>
      <c r="J359" s="6">
        <v>8.5000000000000006E-2</v>
      </c>
      <c r="K359" s="99">
        <v>1.0723</v>
      </c>
      <c r="L359" s="1" t="s">
        <v>887</v>
      </c>
      <c r="M359" s="1">
        <v>2</v>
      </c>
      <c r="N359" s="9">
        <v>45366</v>
      </c>
      <c r="O359" s="1" t="s">
        <v>276</v>
      </c>
      <c r="P359" s="1" t="s">
        <v>57</v>
      </c>
      <c r="Q359" s="1" t="s">
        <v>1464</v>
      </c>
      <c r="R359" s="1" t="s">
        <v>1465</v>
      </c>
      <c r="S359" s="1" t="b">
        <v>1</v>
      </c>
      <c r="T359" s="96"/>
      <c r="U359" s="97"/>
      <c r="V359" s="97"/>
      <c r="W359" s="97"/>
      <c r="X359" s="97"/>
      <c r="Y359" s="97" t="str">
        <f>IF(anleihenkäufe[[#This Row],[Verkauft am]]="","",anleihenkäufe[[#This Row],[Gewinn aus Kursänderung]]+anleihenkäufe[[#This Row],[Gewinn aus Zinsen]]+anleihenkäufe[[#This Row],[Gewinn aus Währungseffekten]])</f>
        <v/>
      </c>
      <c r="Z359" s="156" t="str">
        <f>IF(anleihenkäufe[[#This Row],[Verkauft am]]="","",anleihenkäufe[[#This Row],[Gewinn gesamt]]/anleihenkäufe[[#This Row],[Dirty Kaufpreis]])</f>
        <v/>
      </c>
    </row>
    <row r="360" spans="1:26" ht="14.25" x14ac:dyDescent="0.2">
      <c r="A360" s="9">
        <v>45412</v>
      </c>
      <c r="B360" s="1" t="s">
        <v>1435</v>
      </c>
      <c r="C360" s="1" t="s">
        <v>8</v>
      </c>
      <c r="D360" s="5">
        <f t="shared" si="15"/>
        <v>2093.5257588668064</v>
      </c>
      <c r="E360" s="5">
        <f t="shared" si="16"/>
        <v>2071.8082626130745</v>
      </c>
      <c r="F360" s="1">
        <v>2</v>
      </c>
      <c r="G360" s="1">
        <v>1000</v>
      </c>
      <c r="H360" s="6">
        <v>1.1108</v>
      </c>
      <c r="I360" s="4">
        <f t="shared" si="17"/>
        <v>21.717496253731895</v>
      </c>
      <c r="J360" s="6">
        <v>8.5000000000000006E-2</v>
      </c>
      <c r="K360" s="99">
        <v>1.0723</v>
      </c>
      <c r="L360" s="1" t="s">
        <v>887</v>
      </c>
      <c r="M360" s="1">
        <v>2</v>
      </c>
      <c r="N360" s="9">
        <v>45362</v>
      </c>
      <c r="O360" s="1" t="s">
        <v>1020</v>
      </c>
      <c r="P360" s="1" t="s">
        <v>52</v>
      </c>
      <c r="Q360" s="1" t="s">
        <v>1436</v>
      </c>
      <c r="R360" s="1" t="s">
        <v>1437</v>
      </c>
      <c r="S360" s="1" t="b">
        <v>1</v>
      </c>
      <c r="T360" s="9"/>
      <c r="U360" s="4"/>
      <c r="V360" s="4"/>
      <c r="W360" s="4"/>
      <c r="X360" s="4"/>
      <c r="Y360" s="4" t="str">
        <f>IF(anleihenkäufe[[#This Row],[Verkauft am]]="","",anleihenkäufe[[#This Row],[Gewinn aus Kursänderung]]+anleihenkäufe[[#This Row],[Gewinn aus Zinsen]]+anleihenkäufe[[#This Row],[Gewinn aus Währungseffekten]])</f>
        <v/>
      </c>
      <c r="Z360" s="156" t="str">
        <f>IF(anleihenkäufe[[#This Row],[Verkauft am]]="","",anleihenkäufe[[#This Row],[Gewinn gesamt]]/anleihenkäufe[[#This Row],[Dirty Kaufpreis]])</f>
        <v/>
      </c>
    </row>
    <row r="361" spans="1:26" ht="14.25" x14ac:dyDescent="0.2">
      <c r="A361" s="9">
        <v>45412</v>
      </c>
      <c r="B361" s="1" t="s">
        <v>1468</v>
      </c>
      <c r="C361" s="1" t="s">
        <v>1</v>
      </c>
      <c r="D361" s="5">
        <f t="shared" si="15"/>
        <v>1915.0845896479082</v>
      </c>
      <c r="E361" s="5">
        <f t="shared" si="16"/>
        <v>1889.0235941434298</v>
      </c>
      <c r="F361" s="1">
        <v>2</v>
      </c>
      <c r="G361" s="1">
        <v>1000</v>
      </c>
      <c r="H361" s="6">
        <v>1.0127999999999999</v>
      </c>
      <c r="I361" s="4">
        <f t="shared" si="17"/>
        <v>26.060995504478278</v>
      </c>
      <c r="J361" s="6">
        <v>8.5000000000000006E-2</v>
      </c>
      <c r="K361" s="99">
        <v>1.0723</v>
      </c>
      <c r="L361" s="1" t="s">
        <v>887</v>
      </c>
      <c r="M361" s="1">
        <v>2</v>
      </c>
      <c r="N361" s="9">
        <v>45352</v>
      </c>
      <c r="O361" s="1" t="s">
        <v>1051</v>
      </c>
      <c r="P361" s="1" t="s">
        <v>39</v>
      </c>
      <c r="Q361" s="1" t="s">
        <v>1469</v>
      </c>
      <c r="R361" s="1" t="s">
        <v>1470</v>
      </c>
      <c r="S361" s="1" t="b">
        <v>1</v>
      </c>
      <c r="T361" s="9"/>
      <c r="U361" s="4"/>
      <c r="V361" s="4"/>
      <c r="W361" s="4"/>
      <c r="X361" s="4"/>
      <c r="Y361" s="4" t="str">
        <f>IF(anleihenkäufe[[#This Row],[Verkauft am]]="","",anleihenkäufe[[#This Row],[Gewinn aus Kursänderung]]+anleihenkäufe[[#This Row],[Gewinn aus Zinsen]]+anleihenkäufe[[#This Row],[Gewinn aus Währungseffekten]])</f>
        <v/>
      </c>
      <c r="Z361" s="156" t="str">
        <f>IF(anleihenkäufe[[#This Row],[Verkauft am]]="","",anleihenkäufe[[#This Row],[Gewinn gesamt]]/anleihenkäufe[[#This Row],[Dirty Kaufpreis]])</f>
        <v/>
      </c>
    </row>
    <row r="362" spans="1:26" ht="14.25" x14ac:dyDescent="0.2">
      <c r="A362" s="9">
        <v>45412</v>
      </c>
      <c r="B362" s="1" t="s">
        <v>1454</v>
      </c>
      <c r="C362" s="1" t="s">
        <v>8</v>
      </c>
      <c r="D362" s="5">
        <f t="shared" si="15"/>
        <v>1860.0422341427147</v>
      </c>
      <c r="E362" s="5">
        <f t="shared" si="16"/>
        <v>1823.5568404364451</v>
      </c>
      <c r="F362" s="1">
        <v>2</v>
      </c>
      <c r="G362" s="1">
        <v>1000</v>
      </c>
      <c r="H362" s="6">
        <v>0.97770000000000001</v>
      </c>
      <c r="I362" s="4">
        <f t="shared" si="17"/>
        <v>36.485393706269583</v>
      </c>
      <c r="J362" s="6">
        <v>8.5000000000000006E-2</v>
      </c>
      <c r="K362" s="99">
        <v>1.0723</v>
      </c>
      <c r="L362" s="1" t="s">
        <v>887</v>
      </c>
      <c r="M362" s="1">
        <v>2</v>
      </c>
      <c r="N362" s="9">
        <v>45328</v>
      </c>
      <c r="O362" s="1" t="s">
        <v>1105</v>
      </c>
      <c r="P362" s="1" t="s">
        <v>39</v>
      </c>
      <c r="Q362" s="1" t="s">
        <v>1455</v>
      </c>
      <c r="R362" s="1" t="s">
        <v>1456</v>
      </c>
      <c r="S362" s="1" t="b">
        <v>1</v>
      </c>
      <c r="T362" s="96"/>
      <c r="U362" s="97"/>
      <c r="V362" s="97"/>
      <c r="W362" s="97"/>
      <c r="X362" s="97"/>
      <c r="Y362" s="97" t="str">
        <f>IF(anleihenkäufe[[#This Row],[Verkauft am]]="","",anleihenkäufe[[#This Row],[Gewinn aus Kursänderung]]+anleihenkäufe[[#This Row],[Gewinn aus Zinsen]]+anleihenkäufe[[#This Row],[Gewinn aus Währungseffekten]])</f>
        <v/>
      </c>
      <c r="Z362" s="156" t="str">
        <f>IF(anleihenkäufe[[#This Row],[Verkauft am]]="","",anleihenkäufe[[#This Row],[Gewinn gesamt]]/anleihenkäufe[[#This Row],[Dirty Kaufpreis]])</f>
        <v/>
      </c>
    </row>
    <row r="363" spans="1:26" ht="14.25" x14ac:dyDescent="0.2">
      <c r="A363" s="9">
        <v>45412</v>
      </c>
      <c r="B363" s="1" t="s">
        <v>1430</v>
      </c>
      <c r="C363" s="1" t="s">
        <v>2</v>
      </c>
      <c r="D363" s="5">
        <f t="shared" si="15"/>
        <v>1868.1747977398472</v>
      </c>
      <c r="E363" s="5">
        <f t="shared" si="16"/>
        <v>1825.6085050825327</v>
      </c>
      <c r="F363" s="1">
        <v>2</v>
      </c>
      <c r="G363" s="1">
        <v>1000</v>
      </c>
      <c r="H363" s="6">
        <v>0.9788</v>
      </c>
      <c r="I363" s="4">
        <f t="shared" si="17"/>
        <v>42.56629265731452</v>
      </c>
      <c r="J363" s="6">
        <v>8.5000000000000006E-2</v>
      </c>
      <c r="K363" s="99">
        <v>1.0723</v>
      </c>
      <c r="L363" s="1" t="s">
        <v>887</v>
      </c>
      <c r="M363" s="1">
        <v>2</v>
      </c>
      <c r="N363" s="9">
        <v>45314</v>
      </c>
      <c r="O363" s="1" t="s">
        <v>51</v>
      </c>
      <c r="P363" s="1" t="s">
        <v>52</v>
      </c>
      <c r="Q363" s="1" t="s">
        <v>1449</v>
      </c>
      <c r="R363" s="1" t="s">
        <v>1450</v>
      </c>
      <c r="S363" s="1" t="b">
        <v>1</v>
      </c>
      <c r="T363" s="96"/>
      <c r="U363" s="97"/>
      <c r="V363" s="97"/>
      <c r="W363" s="97"/>
      <c r="X363" s="97"/>
      <c r="Y363" s="97" t="str">
        <f>IF(anleihenkäufe[[#This Row],[Verkauft am]]="","",anleihenkäufe[[#This Row],[Gewinn aus Kursänderung]]+anleihenkäufe[[#This Row],[Gewinn aus Zinsen]]+anleihenkäufe[[#This Row],[Gewinn aus Währungseffekten]])</f>
        <v/>
      </c>
      <c r="Z363" s="156" t="str">
        <f>IF(anleihenkäufe[[#This Row],[Verkauft am]]="","",anleihenkäufe[[#This Row],[Gewinn gesamt]]/anleihenkäufe[[#This Row],[Dirty Kaufpreis]])</f>
        <v/>
      </c>
    </row>
    <row r="364" spans="1:26" ht="14.25" x14ac:dyDescent="0.2">
      <c r="A364" s="9">
        <v>45412</v>
      </c>
      <c r="B364" s="1" t="s">
        <v>1431</v>
      </c>
      <c r="C364" s="1" t="s">
        <v>10</v>
      </c>
      <c r="D364" s="5">
        <f t="shared" si="15"/>
        <v>2246.1742075349489</v>
      </c>
      <c r="E364" s="5">
        <f t="shared" si="16"/>
        <v>2201.4361652522612</v>
      </c>
      <c r="F364" s="1">
        <v>2</v>
      </c>
      <c r="G364" s="1">
        <v>1000</v>
      </c>
      <c r="H364" s="6">
        <v>1.1802999999999999</v>
      </c>
      <c r="I364" s="4">
        <f t="shared" si="17"/>
        <v>44.738042282687708</v>
      </c>
      <c r="J364" s="6">
        <v>8.5000000000000006E-2</v>
      </c>
      <c r="K364" s="99">
        <v>1.0723</v>
      </c>
      <c r="L364" s="1" t="s">
        <v>887</v>
      </c>
      <c r="M364" s="1">
        <v>2</v>
      </c>
      <c r="N364" s="9">
        <v>45309</v>
      </c>
      <c r="O364" s="1" t="s">
        <v>276</v>
      </c>
      <c r="P364" s="1" t="s">
        <v>39</v>
      </c>
      <c r="Q364" s="1" t="s">
        <v>1432</v>
      </c>
      <c r="R364" s="1" t="s">
        <v>1433</v>
      </c>
      <c r="S364" s="1" t="b">
        <v>1</v>
      </c>
      <c r="T364" s="9"/>
      <c r="U364" s="4"/>
      <c r="V364" s="4"/>
      <c r="W364" s="4"/>
      <c r="X364" s="4"/>
      <c r="Y364" s="4" t="str">
        <f>IF(anleihenkäufe[[#This Row],[Verkauft am]]="","",anleihenkäufe[[#This Row],[Gewinn aus Kursänderung]]+anleihenkäufe[[#This Row],[Gewinn aus Zinsen]]+anleihenkäufe[[#This Row],[Gewinn aus Währungseffekten]])</f>
        <v/>
      </c>
      <c r="Z364" s="156" t="str">
        <f>IF(anleihenkäufe[[#This Row],[Verkauft am]]="","",anleihenkäufe[[#This Row],[Gewinn gesamt]]/anleihenkäufe[[#This Row],[Dirty Kaufpreis]])</f>
        <v/>
      </c>
    </row>
    <row r="365" spans="1:26" ht="14.25" x14ac:dyDescent="0.2">
      <c r="A365" s="9">
        <v>45412</v>
      </c>
      <c r="B365" s="1" t="s">
        <v>1444</v>
      </c>
      <c r="C365" s="1" t="s">
        <v>2</v>
      </c>
      <c r="D365" s="5">
        <f t="shared" si="15"/>
        <v>1932.6399916196015</v>
      </c>
      <c r="E365" s="5">
        <f t="shared" si="16"/>
        <v>1886.5988995616899</v>
      </c>
      <c r="F365" s="1">
        <v>2</v>
      </c>
      <c r="G365" s="1">
        <v>1000</v>
      </c>
      <c r="H365" s="6">
        <v>1.0115000000000001</v>
      </c>
      <c r="I365" s="4">
        <f t="shared" si="17"/>
        <v>46.041092057911612</v>
      </c>
      <c r="J365" s="6">
        <v>8.5000000000000006E-2</v>
      </c>
      <c r="K365" s="99">
        <v>1.0723</v>
      </c>
      <c r="L365" s="1" t="s">
        <v>887</v>
      </c>
      <c r="M365" s="1">
        <v>2</v>
      </c>
      <c r="N365" s="9">
        <v>45306</v>
      </c>
      <c r="O365" s="1" t="s">
        <v>276</v>
      </c>
      <c r="P365" s="1" t="s">
        <v>57</v>
      </c>
      <c r="Q365" s="1" t="s">
        <v>1445</v>
      </c>
      <c r="R365" s="1" t="s">
        <v>1446</v>
      </c>
      <c r="S365" s="1" t="b">
        <v>1</v>
      </c>
      <c r="T365" s="96"/>
      <c r="U365" s="97"/>
      <c r="V365" s="97"/>
      <c r="W365" s="97"/>
      <c r="X365" s="97"/>
      <c r="Y365" s="97" t="str">
        <f>IF(anleihenkäufe[[#This Row],[Verkauft am]]="","",anleihenkäufe[[#This Row],[Gewinn aus Kursänderung]]+anleihenkäufe[[#This Row],[Gewinn aus Zinsen]]+anleihenkäufe[[#This Row],[Gewinn aus Währungseffekten]])</f>
        <v/>
      </c>
      <c r="Z365" s="156" t="str">
        <f>IF(anleihenkäufe[[#This Row],[Verkauft am]]="","",anleihenkäufe[[#This Row],[Gewinn gesamt]]/anleihenkäufe[[#This Row],[Dirty Kaufpreis]])</f>
        <v/>
      </c>
    </row>
    <row r="366" spans="1:26" ht="14.25" x14ac:dyDescent="0.2">
      <c r="A366" s="9">
        <v>45412</v>
      </c>
      <c r="B366" s="1" t="s">
        <v>1443</v>
      </c>
      <c r="C366" s="1" t="s">
        <v>5</v>
      </c>
      <c r="D366" s="5">
        <f t="shared" si="15"/>
        <v>2024.4053557900761</v>
      </c>
      <c r="E366" s="5">
        <f t="shared" si="16"/>
        <v>1978.3642637321645</v>
      </c>
      <c r="F366" s="1">
        <v>2</v>
      </c>
      <c r="G366" s="1">
        <v>1000</v>
      </c>
      <c r="H366" s="6">
        <v>1.0607</v>
      </c>
      <c r="I366" s="4">
        <f t="shared" si="17"/>
        <v>46.041092057911612</v>
      </c>
      <c r="J366" s="6">
        <v>8.5000000000000006E-2</v>
      </c>
      <c r="K366" s="99">
        <v>1.0723</v>
      </c>
      <c r="L366" s="1" t="s">
        <v>887</v>
      </c>
      <c r="M366" s="1">
        <v>2</v>
      </c>
      <c r="N366" s="9">
        <v>45306</v>
      </c>
      <c r="O366" s="1" t="s">
        <v>986</v>
      </c>
      <c r="P366" s="1" t="s">
        <v>81</v>
      </c>
      <c r="Q366" s="1" t="s">
        <v>1447</v>
      </c>
      <c r="R366" s="1" t="s">
        <v>1448</v>
      </c>
      <c r="S366" s="1" t="b">
        <v>1</v>
      </c>
      <c r="T366" s="9"/>
      <c r="U366" s="4"/>
      <c r="V366" s="4"/>
      <c r="W366" s="4"/>
      <c r="X366" s="4"/>
      <c r="Y366" s="4" t="str">
        <f>IF(anleihenkäufe[[#This Row],[Verkauft am]]="","",anleihenkäufe[[#This Row],[Gewinn aus Kursänderung]]+anleihenkäufe[[#This Row],[Gewinn aus Zinsen]]+anleihenkäufe[[#This Row],[Gewinn aus Währungseffekten]])</f>
        <v/>
      </c>
      <c r="Z366" s="156" t="str">
        <f>IF(anleihenkäufe[[#This Row],[Verkauft am]]="","",anleihenkäufe[[#This Row],[Gewinn gesamt]]/anleihenkäufe[[#This Row],[Dirty Kaufpreis]])</f>
        <v/>
      </c>
    </row>
    <row r="367" spans="1:26" ht="14.25" x14ac:dyDescent="0.2">
      <c r="A367" s="9">
        <v>45412</v>
      </c>
      <c r="B367" s="1" t="s">
        <v>1347</v>
      </c>
      <c r="C367" s="1" t="s">
        <v>2</v>
      </c>
      <c r="D367" s="5">
        <f t="shared" si="15"/>
        <v>2024.7783857257282</v>
      </c>
      <c r="E367" s="5">
        <f t="shared" si="16"/>
        <v>1978.7372936678166</v>
      </c>
      <c r="F367" s="1">
        <v>2</v>
      </c>
      <c r="G367" s="1">
        <v>1000</v>
      </c>
      <c r="H367" s="6">
        <v>1.0609</v>
      </c>
      <c r="I367" s="4">
        <f t="shared" si="17"/>
        <v>46.041092057911612</v>
      </c>
      <c r="J367" s="6">
        <v>8.5000000000000006E-2</v>
      </c>
      <c r="K367" s="99">
        <v>1.0723</v>
      </c>
      <c r="L367" s="1" t="s">
        <v>887</v>
      </c>
      <c r="M367" s="1">
        <v>2</v>
      </c>
      <c r="N367" s="9">
        <v>45306</v>
      </c>
      <c r="O367" s="1" t="s">
        <v>276</v>
      </c>
      <c r="P367" s="1" t="s">
        <v>109</v>
      </c>
      <c r="Q367" s="1" t="s">
        <v>1441</v>
      </c>
      <c r="R367" s="1" t="s">
        <v>1442</v>
      </c>
      <c r="S367" s="1" t="b">
        <v>1</v>
      </c>
      <c r="T367" s="9"/>
      <c r="U367" s="4"/>
      <c r="V367" s="4"/>
      <c r="W367" s="4"/>
      <c r="X367" s="4"/>
      <c r="Y367" s="4" t="str">
        <f>IF(anleihenkäufe[[#This Row],[Verkauft am]]="","",anleihenkäufe[[#This Row],[Gewinn aus Kursänderung]]+anleihenkäufe[[#This Row],[Gewinn aus Zinsen]]+anleihenkäufe[[#This Row],[Gewinn aus Währungseffekten]])</f>
        <v/>
      </c>
      <c r="Z367" s="156" t="str">
        <f>IF(anleihenkäufe[[#This Row],[Verkauft am]]="","",anleihenkäufe[[#This Row],[Gewinn gesamt]]/anleihenkäufe[[#This Row],[Dirty Kaufpreis]])</f>
        <v/>
      </c>
    </row>
    <row r="368" spans="1:26" ht="14.25" x14ac:dyDescent="0.2">
      <c r="A368" s="9">
        <v>45412</v>
      </c>
      <c r="B368" s="1" t="s">
        <v>1451</v>
      </c>
      <c r="C368" s="1" t="s">
        <v>11</v>
      </c>
      <c r="D368" s="5">
        <f t="shared" si="15"/>
        <v>1541.6356340678531</v>
      </c>
      <c r="E368" s="5">
        <f t="shared" si="16"/>
        <v>1492.1197426093443</v>
      </c>
      <c r="F368" s="1">
        <v>2000</v>
      </c>
      <c r="G368" s="1">
        <v>1</v>
      </c>
      <c r="H368" s="6">
        <v>0.8</v>
      </c>
      <c r="I368" s="4">
        <f t="shared" si="17"/>
        <v>49.515891458508733</v>
      </c>
      <c r="J368" s="6">
        <v>8.5000000000000006E-2</v>
      </c>
      <c r="K368" s="99">
        <v>1.0723</v>
      </c>
      <c r="L368" s="1" t="s">
        <v>887</v>
      </c>
      <c r="M368" s="1">
        <v>2</v>
      </c>
      <c r="N368" s="9">
        <v>45298</v>
      </c>
      <c r="O368" s="1" t="s">
        <v>1105</v>
      </c>
      <c r="P368" s="1" t="s">
        <v>39</v>
      </c>
      <c r="Q368" s="1" t="s">
        <v>1452</v>
      </c>
      <c r="R368" s="1" t="s">
        <v>1453</v>
      </c>
      <c r="S368" s="1" t="b">
        <v>1</v>
      </c>
      <c r="T368" s="96"/>
      <c r="U368" s="97"/>
      <c r="V368" s="97"/>
      <c r="W368" s="97"/>
      <c r="X368" s="97"/>
      <c r="Y368" s="97" t="str">
        <f>IF(anleihenkäufe[[#This Row],[Verkauft am]]="","",anleihenkäufe[[#This Row],[Gewinn aus Kursänderung]]+anleihenkäufe[[#This Row],[Gewinn aus Zinsen]]+anleihenkäufe[[#This Row],[Gewinn aus Währungseffekten]])</f>
        <v/>
      </c>
      <c r="Z368" s="156" t="str">
        <f>IF(anleihenkäufe[[#This Row],[Verkauft am]]="","",anleihenkäufe[[#This Row],[Gewinn gesamt]]/anleihenkäufe[[#This Row],[Dirty Kaufpreis]])</f>
        <v/>
      </c>
    </row>
    <row r="369" spans="1:26" ht="14.25" x14ac:dyDescent="0.2">
      <c r="A369" s="9">
        <v>45412</v>
      </c>
      <c r="B369" s="1" t="s">
        <v>1460</v>
      </c>
      <c r="C369" s="1" t="s">
        <v>1</v>
      </c>
      <c r="D369" s="5">
        <f t="shared" si="15"/>
        <v>2009.3078633943937</v>
      </c>
      <c r="E369" s="5">
        <f t="shared" si="16"/>
        <v>1936.7714259069292</v>
      </c>
      <c r="F369" s="1">
        <v>2</v>
      </c>
      <c r="G369" s="1">
        <v>1000</v>
      </c>
      <c r="H369" s="6">
        <v>1.0384</v>
      </c>
      <c r="I369" s="4">
        <f t="shared" si="17"/>
        <v>72.536437487464539</v>
      </c>
      <c r="J369" s="6">
        <v>8.5000000000000006E-2</v>
      </c>
      <c r="K369" s="99">
        <v>1.0723</v>
      </c>
      <c r="L369" s="1" t="s">
        <v>887</v>
      </c>
      <c r="M369" s="1">
        <v>2</v>
      </c>
      <c r="N369" s="9">
        <v>45245</v>
      </c>
      <c r="O369" s="1" t="s">
        <v>276</v>
      </c>
      <c r="P369" s="1" t="s">
        <v>61</v>
      </c>
      <c r="Q369" s="1" t="s">
        <v>1461</v>
      </c>
      <c r="R369" s="1" t="s">
        <v>1462</v>
      </c>
      <c r="S369" s="1" t="b">
        <v>1</v>
      </c>
      <c r="T369" s="9"/>
      <c r="U369" s="4"/>
      <c r="V369" s="4"/>
      <c r="W369" s="4"/>
      <c r="X369" s="4"/>
      <c r="Y369" s="4" t="str">
        <f>IF(anleihenkäufe[[#This Row],[Verkauft am]]="","",anleihenkäufe[[#This Row],[Gewinn aus Kursänderung]]+anleihenkäufe[[#This Row],[Gewinn aus Zinsen]]+anleihenkäufe[[#This Row],[Gewinn aus Währungseffekten]])</f>
        <v/>
      </c>
      <c r="Z369" s="156" t="str">
        <f>IF(anleihenkäufe[[#This Row],[Verkauft am]]="","",anleihenkäufe[[#This Row],[Gewinn gesamt]]/anleihenkäufe[[#This Row],[Dirty Kaufpreis]])</f>
        <v/>
      </c>
    </row>
    <row r="370" spans="1:26" ht="14.25" x14ac:dyDescent="0.2">
      <c r="A370" s="9">
        <v>45412</v>
      </c>
      <c r="B370" s="1" t="s">
        <v>1438</v>
      </c>
      <c r="C370" s="1" t="s">
        <v>2</v>
      </c>
      <c r="D370" s="5">
        <f t="shared" si="15"/>
        <v>2033.1817792761431</v>
      </c>
      <c r="E370" s="5">
        <f t="shared" si="16"/>
        <v>1960.6453417886785</v>
      </c>
      <c r="F370" s="1">
        <v>2</v>
      </c>
      <c r="G370" s="1">
        <v>1000</v>
      </c>
      <c r="H370" s="6">
        <v>1.0512000000000001</v>
      </c>
      <c r="I370" s="4">
        <f t="shared" si="17"/>
        <v>72.536437487464539</v>
      </c>
      <c r="J370" s="6">
        <v>8.5000000000000006E-2</v>
      </c>
      <c r="K370" s="99">
        <v>1.0723</v>
      </c>
      <c r="L370" s="1" t="s">
        <v>887</v>
      </c>
      <c r="M370" s="1">
        <v>2</v>
      </c>
      <c r="N370" s="9">
        <v>45245</v>
      </c>
      <c r="O370" s="1" t="s">
        <v>1096</v>
      </c>
      <c r="P370" s="1" t="s">
        <v>39</v>
      </c>
      <c r="Q370" s="1" t="s">
        <v>1439</v>
      </c>
      <c r="R370" s="1" t="s">
        <v>1440</v>
      </c>
      <c r="S370" s="1" t="b">
        <v>1</v>
      </c>
      <c r="T370" s="9"/>
      <c r="U370" s="4"/>
      <c r="V370" s="4"/>
      <c r="W370" s="4"/>
      <c r="X370" s="4"/>
      <c r="Y370" s="4" t="str">
        <f>IF(anleihenkäufe[[#This Row],[Verkauft am]]="","",anleihenkäufe[[#This Row],[Gewinn aus Kursänderung]]+anleihenkäufe[[#This Row],[Gewinn aus Zinsen]]+anleihenkäufe[[#This Row],[Gewinn aus Währungseffekten]])</f>
        <v/>
      </c>
      <c r="Z370" s="156" t="str">
        <f>IF(anleihenkäufe[[#This Row],[Verkauft am]]="","",anleihenkäufe[[#This Row],[Gewinn gesamt]]/anleihenkäufe[[#This Row],[Dirty Kaufpreis]])</f>
        <v/>
      </c>
    </row>
    <row r="371" spans="1:26" ht="14.25" x14ac:dyDescent="0.2">
      <c r="A371" s="9">
        <v>45412</v>
      </c>
      <c r="B371" s="1" t="s">
        <v>1457</v>
      </c>
      <c r="C371" s="1" t="s">
        <v>2</v>
      </c>
      <c r="D371" s="5">
        <f t="shared" si="15"/>
        <v>1960.3668468367187</v>
      </c>
      <c r="E371" s="5">
        <f t="shared" si="16"/>
        <v>1881.7495103982092</v>
      </c>
      <c r="F371" s="1">
        <v>2</v>
      </c>
      <c r="G371" s="1">
        <v>1000</v>
      </c>
      <c r="H371" s="6">
        <v>1.0088999999999999</v>
      </c>
      <c r="I371" s="4">
        <f t="shared" si="17"/>
        <v>78.617336438509469</v>
      </c>
      <c r="J371" s="6">
        <v>8.5000000000000006E-2</v>
      </c>
      <c r="K371" s="99">
        <v>1.0723</v>
      </c>
      <c r="L371" s="1" t="s">
        <v>887</v>
      </c>
      <c r="M371" s="1">
        <v>2</v>
      </c>
      <c r="N371" s="9">
        <v>45231</v>
      </c>
      <c r="O371" s="1" t="s">
        <v>629</v>
      </c>
      <c r="P371" s="1" t="s">
        <v>109</v>
      </c>
      <c r="Q371" s="1" t="s">
        <v>1458</v>
      </c>
      <c r="R371" s="1" t="s">
        <v>1459</v>
      </c>
      <c r="S371" s="1" t="b">
        <v>1</v>
      </c>
      <c r="T371" s="96"/>
      <c r="U371" s="97"/>
      <c r="V371" s="97"/>
      <c r="W371" s="97"/>
      <c r="X371" s="97"/>
      <c r="Y371" s="97" t="str">
        <f>IF(anleihenkäufe[[#This Row],[Verkauft am]]="","",anleihenkäufe[[#This Row],[Gewinn aus Kursänderung]]+anleihenkäufe[[#This Row],[Gewinn aus Zinsen]]+anleihenkäufe[[#This Row],[Gewinn aus Währungseffekten]])</f>
        <v/>
      </c>
      <c r="Z371" s="156" t="str">
        <f>IF(anleihenkäufe[[#This Row],[Verkauft am]]="","",anleihenkäufe[[#This Row],[Gewinn gesamt]]/anleihenkäufe[[#This Row],[Dirty Kaufpreis]])</f>
        <v/>
      </c>
    </row>
    <row r="372" spans="1:26" ht="14.25" x14ac:dyDescent="0.2">
      <c r="A372" s="9">
        <v>45412</v>
      </c>
      <c r="B372" s="1" t="s">
        <v>1427</v>
      </c>
      <c r="C372" s="1" t="s">
        <v>0</v>
      </c>
      <c r="D372" s="5">
        <f t="shared" si="15"/>
        <v>1887.3079119393851</v>
      </c>
      <c r="E372" s="5">
        <f t="shared" si="16"/>
        <v>1854.7048400634151</v>
      </c>
      <c r="F372" s="1">
        <v>2</v>
      </c>
      <c r="G372" s="1">
        <v>1000</v>
      </c>
      <c r="H372" s="6">
        <v>0.99439999999999995</v>
      </c>
      <c r="I372" s="4">
        <f t="shared" si="17"/>
        <v>32.603071875970095</v>
      </c>
      <c r="J372" s="6">
        <v>8.5069999999999993E-2</v>
      </c>
      <c r="K372" s="99">
        <v>1.0723</v>
      </c>
      <c r="L372" s="1" t="s">
        <v>887</v>
      </c>
      <c r="M372" s="1">
        <v>2</v>
      </c>
      <c r="N372" s="9">
        <v>45337</v>
      </c>
      <c r="O372" s="1" t="s">
        <v>276</v>
      </c>
      <c r="P372" s="1" t="s">
        <v>61</v>
      </c>
      <c r="Q372" s="1" t="s">
        <v>1428</v>
      </c>
      <c r="R372" s="1" t="s">
        <v>1429</v>
      </c>
      <c r="S372" s="1" t="b">
        <v>1</v>
      </c>
      <c r="T372" s="96"/>
      <c r="U372" s="97"/>
      <c r="V372" s="97"/>
      <c r="W372" s="97"/>
      <c r="X372" s="97"/>
      <c r="Y372" s="97" t="str">
        <f>IF(anleihenkäufe[[#This Row],[Verkauft am]]="","",anleihenkäufe[[#This Row],[Gewinn aus Kursänderung]]+anleihenkäufe[[#This Row],[Gewinn aus Zinsen]]+anleihenkäufe[[#This Row],[Gewinn aus Währungseffekten]])</f>
        <v/>
      </c>
      <c r="Z372" s="156" t="str">
        <f>IF(anleihenkäufe[[#This Row],[Verkauft am]]="","",anleihenkäufe[[#This Row],[Gewinn gesamt]]/anleihenkäufe[[#This Row],[Dirty Kaufpreis]])</f>
        <v/>
      </c>
    </row>
    <row r="373" spans="1:26" ht="14.25" x14ac:dyDescent="0.2">
      <c r="A373" s="9">
        <v>45412</v>
      </c>
      <c r="B373" s="1" t="s">
        <v>1424</v>
      </c>
      <c r="C373" s="1" t="s">
        <v>4</v>
      </c>
      <c r="D373" s="5">
        <f t="shared" si="15"/>
        <v>1994.7264809096816</v>
      </c>
      <c r="E373" s="5">
        <f t="shared" si="16"/>
        <v>1975.9395691504239</v>
      </c>
      <c r="F373" s="1">
        <v>2</v>
      </c>
      <c r="G373" s="1">
        <v>1000</v>
      </c>
      <c r="H373" s="6">
        <v>1.0593999999999999</v>
      </c>
      <c r="I373" s="4">
        <f t="shared" si="17"/>
        <v>18.786911759257723</v>
      </c>
      <c r="J373" s="6">
        <v>8.5500000000000007E-2</v>
      </c>
      <c r="K373" s="99">
        <v>1.0723</v>
      </c>
      <c r="L373" s="1" t="s">
        <v>887</v>
      </c>
      <c r="M373" s="1">
        <v>2</v>
      </c>
      <c r="N373" s="9">
        <v>45369</v>
      </c>
      <c r="O373" s="1" t="s">
        <v>1373</v>
      </c>
      <c r="P373" s="1" t="s">
        <v>39</v>
      </c>
      <c r="Q373" s="1" t="s">
        <v>1425</v>
      </c>
      <c r="R373" s="1" t="s">
        <v>1426</v>
      </c>
      <c r="S373" s="1" t="b">
        <v>1</v>
      </c>
      <c r="T373" s="9"/>
      <c r="U373" s="4"/>
      <c r="V373" s="4"/>
      <c r="W373" s="4"/>
      <c r="X373" s="4"/>
      <c r="Y373" s="4" t="str">
        <f>IF(anleihenkäufe[[#This Row],[Verkauft am]]="","",anleihenkäufe[[#This Row],[Gewinn aus Kursänderung]]+anleihenkäufe[[#This Row],[Gewinn aus Zinsen]]+anleihenkäufe[[#This Row],[Gewinn aus Währungseffekten]])</f>
        <v/>
      </c>
      <c r="Z373" s="156" t="str">
        <f>IF(anleihenkäufe[[#This Row],[Verkauft am]]="","",anleihenkäufe[[#This Row],[Gewinn gesamt]]/anleihenkäufe[[#This Row],[Dirty Kaufpreis]])</f>
        <v/>
      </c>
    </row>
    <row r="374" spans="1:26" ht="14.25" x14ac:dyDescent="0.2">
      <c r="A374" s="9">
        <v>45412</v>
      </c>
      <c r="B374" s="1" t="s">
        <v>982</v>
      </c>
      <c r="C374" s="1" t="s">
        <v>0</v>
      </c>
      <c r="D374" s="5">
        <f t="shared" si="15"/>
        <v>2185.1710380579957</v>
      </c>
      <c r="E374" s="5">
        <f t="shared" si="16"/>
        <v>2124.9650284435324</v>
      </c>
      <c r="F374" s="1">
        <v>2</v>
      </c>
      <c r="G374" s="1">
        <v>1000</v>
      </c>
      <c r="H374" s="6">
        <v>1.1393</v>
      </c>
      <c r="I374" s="4">
        <f t="shared" si="17"/>
        <v>60.206009614463333</v>
      </c>
      <c r="J374" s="6">
        <v>8.5999999999999993E-2</v>
      </c>
      <c r="K374" s="99">
        <v>1.0723</v>
      </c>
      <c r="L374" s="1" t="s">
        <v>887</v>
      </c>
      <c r="M374" s="1">
        <v>2</v>
      </c>
      <c r="N374" s="9">
        <v>45275</v>
      </c>
      <c r="O374" s="1" t="s">
        <v>102</v>
      </c>
      <c r="P374" s="1" t="s">
        <v>61</v>
      </c>
      <c r="Q374" s="1" t="s">
        <v>1422</v>
      </c>
      <c r="R374" s="1" t="s">
        <v>1423</v>
      </c>
      <c r="S374" s="1" t="b">
        <v>1</v>
      </c>
      <c r="T374" s="9"/>
      <c r="U374" s="4"/>
      <c r="V374" s="4"/>
      <c r="W374" s="4"/>
      <c r="X374" s="4"/>
      <c r="Y374" s="4" t="str">
        <f>IF(anleihenkäufe[[#This Row],[Verkauft am]]="","",anleihenkäufe[[#This Row],[Gewinn aus Kursänderung]]+anleihenkäufe[[#This Row],[Gewinn aus Zinsen]]+anleihenkäufe[[#This Row],[Gewinn aus Währungseffekten]])</f>
        <v/>
      </c>
      <c r="Z374" s="156" t="str">
        <f>IF(anleihenkäufe[[#This Row],[Verkauft am]]="","",anleihenkäufe[[#This Row],[Gewinn gesamt]]/anleihenkäufe[[#This Row],[Dirty Kaufpreis]])</f>
        <v/>
      </c>
    </row>
    <row r="375" spans="1:26" ht="14.25" x14ac:dyDescent="0.2">
      <c r="A375" s="9">
        <v>45412</v>
      </c>
      <c r="B375" s="1" t="s">
        <v>1419</v>
      </c>
      <c r="C375" s="1" t="s">
        <v>0</v>
      </c>
      <c r="D375" s="5">
        <f t="shared" si="15"/>
        <v>1756.0094994883614</v>
      </c>
      <c r="E375" s="5">
        <f t="shared" si="16"/>
        <v>1716.8702788398768</v>
      </c>
      <c r="F375" s="1">
        <v>2</v>
      </c>
      <c r="G375" s="1">
        <v>1000</v>
      </c>
      <c r="H375" s="6">
        <v>0.92049999999999998</v>
      </c>
      <c r="I375" s="4">
        <f t="shared" si="17"/>
        <v>39.139220648484439</v>
      </c>
      <c r="J375" s="6">
        <v>8.6059999999999998E-2</v>
      </c>
      <c r="K375" s="99">
        <v>1.0723</v>
      </c>
      <c r="L375" s="1" t="s">
        <v>887</v>
      </c>
      <c r="M375" s="1">
        <v>2</v>
      </c>
      <c r="N375" s="9">
        <v>45323</v>
      </c>
      <c r="O375" s="1" t="s">
        <v>1004</v>
      </c>
      <c r="P375" s="1" t="s">
        <v>52</v>
      </c>
      <c r="Q375" s="1" t="s">
        <v>1420</v>
      </c>
      <c r="R375" s="1" t="s">
        <v>1421</v>
      </c>
      <c r="S375" s="1" t="b">
        <v>1</v>
      </c>
      <c r="T375" s="96"/>
      <c r="U375" s="97"/>
      <c r="V375" s="97"/>
      <c r="W375" s="97"/>
      <c r="X375" s="97"/>
      <c r="Y375" s="97" t="str">
        <f>IF(anleihenkäufe[[#This Row],[Verkauft am]]="","",anleihenkäufe[[#This Row],[Gewinn aus Kursänderung]]+anleihenkäufe[[#This Row],[Gewinn aus Zinsen]]+anleihenkäufe[[#This Row],[Gewinn aus Währungseffekten]])</f>
        <v/>
      </c>
      <c r="Z375" s="156" t="str">
        <f>IF(anleihenkäufe[[#This Row],[Verkauft am]]="","",anleihenkäufe[[#This Row],[Gewinn gesamt]]/anleihenkäufe[[#This Row],[Dirty Kaufpreis]])</f>
        <v/>
      </c>
    </row>
    <row r="376" spans="1:26" ht="14.25" x14ac:dyDescent="0.2">
      <c r="A376" s="9">
        <v>45412</v>
      </c>
      <c r="B376" s="1" t="s">
        <v>1416</v>
      </c>
      <c r="C376" s="1" t="s">
        <v>0</v>
      </c>
      <c r="D376" s="5">
        <f t="shared" si="15"/>
        <v>1840.9193399414139</v>
      </c>
      <c r="E376" s="5">
        <f t="shared" si="16"/>
        <v>1839.5971276694954</v>
      </c>
      <c r="F376" s="1">
        <v>2</v>
      </c>
      <c r="G376" s="1">
        <v>1000</v>
      </c>
      <c r="H376" s="6">
        <v>0.98629999999999995</v>
      </c>
      <c r="I376" s="4">
        <f t="shared" si="17"/>
        <v>1.3222122719183829</v>
      </c>
      <c r="J376" s="6">
        <v>8.6249999999999993E-2</v>
      </c>
      <c r="K376" s="99">
        <v>1.0723</v>
      </c>
      <c r="L376" s="1" t="s">
        <v>887</v>
      </c>
      <c r="M376" s="1">
        <v>2</v>
      </c>
      <c r="N376" s="9">
        <v>45409</v>
      </c>
      <c r="O376" s="1" t="s">
        <v>51</v>
      </c>
      <c r="P376" s="1" t="s">
        <v>109</v>
      </c>
      <c r="Q376" s="1" t="s">
        <v>1417</v>
      </c>
      <c r="R376" s="1" t="s">
        <v>1418</v>
      </c>
      <c r="S376" s="1" t="b">
        <v>1</v>
      </c>
      <c r="T376" s="96"/>
      <c r="U376" s="97"/>
      <c r="V376" s="97"/>
      <c r="W376" s="97"/>
      <c r="X376" s="97"/>
      <c r="Y376" s="97" t="str">
        <f>IF(anleihenkäufe[[#This Row],[Verkauft am]]="","",anleihenkäufe[[#This Row],[Gewinn aus Kursänderung]]+anleihenkäufe[[#This Row],[Gewinn aus Zinsen]]+anleihenkäufe[[#This Row],[Gewinn aus Währungseffekten]])</f>
        <v/>
      </c>
      <c r="Z376" s="156" t="str">
        <f>IF(anleihenkäufe[[#This Row],[Verkauft am]]="","",anleihenkäufe[[#This Row],[Gewinn gesamt]]/anleihenkäufe[[#This Row],[Dirty Kaufpreis]])</f>
        <v/>
      </c>
    </row>
    <row r="377" spans="1:26" ht="14.25" x14ac:dyDescent="0.2">
      <c r="A377" s="9">
        <v>45412</v>
      </c>
      <c r="B377" s="1" t="s">
        <v>1413</v>
      </c>
      <c r="C377" s="1" t="s">
        <v>11</v>
      </c>
      <c r="D377" s="5">
        <f t="shared" si="15"/>
        <v>1923.4598782031708</v>
      </c>
      <c r="E377" s="5">
        <f t="shared" si="16"/>
        <v>1919.0525039634429</v>
      </c>
      <c r="F377" s="1">
        <v>2</v>
      </c>
      <c r="G377" s="1">
        <v>1000</v>
      </c>
      <c r="H377" s="6">
        <v>1.0288999999999999</v>
      </c>
      <c r="I377" s="4">
        <f t="shared" si="17"/>
        <v>4.4073742397279432</v>
      </c>
      <c r="J377" s="6">
        <v>8.6249999999999993E-2</v>
      </c>
      <c r="K377" s="99">
        <v>1.0723</v>
      </c>
      <c r="L377" s="1" t="s">
        <v>887</v>
      </c>
      <c r="M377" s="1">
        <v>2</v>
      </c>
      <c r="N377" s="9">
        <v>45402</v>
      </c>
      <c r="O377" s="1" t="s">
        <v>1413</v>
      </c>
      <c r="P377" s="1" t="s">
        <v>52</v>
      </c>
      <c r="Q377" s="1" t="s">
        <v>1414</v>
      </c>
      <c r="R377" s="1" t="s">
        <v>1415</v>
      </c>
      <c r="S377" s="1" t="b">
        <v>1</v>
      </c>
      <c r="T377" s="9"/>
      <c r="U377" s="4"/>
      <c r="V377" s="4"/>
      <c r="W377" s="4"/>
      <c r="X377" s="4"/>
      <c r="Y377" s="4" t="str">
        <f>IF(anleihenkäufe[[#This Row],[Verkauft am]]="","",anleihenkäufe[[#This Row],[Gewinn aus Kursänderung]]+anleihenkäufe[[#This Row],[Gewinn aus Zinsen]]+anleihenkäufe[[#This Row],[Gewinn aus Währungseffekten]])</f>
        <v/>
      </c>
      <c r="Z377" s="156" t="str">
        <f>IF(anleihenkäufe[[#This Row],[Verkauft am]]="","",anleihenkäufe[[#This Row],[Gewinn gesamt]]/anleihenkäufe[[#This Row],[Dirty Kaufpreis]])</f>
        <v/>
      </c>
    </row>
    <row r="378" spans="1:26" ht="14.25" x14ac:dyDescent="0.2">
      <c r="A378" s="9">
        <v>45412</v>
      </c>
      <c r="B378" s="1" t="s">
        <v>1529</v>
      </c>
      <c r="C378" s="1" t="s">
        <v>2</v>
      </c>
      <c r="D378" s="5">
        <f t="shared" si="15"/>
        <v>1878.1712335154621</v>
      </c>
      <c r="E378" s="5">
        <f t="shared" si="16"/>
        <v>1811.6198824955702</v>
      </c>
      <c r="F378" s="1">
        <v>2</v>
      </c>
      <c r="G378" s="1">
        <v>1000</v>
      </c>
      <c r="H378" s="6">
        <v>0.97129999999999994</v>
      </c>
      <c r="I378" s="4">
        <f t="shared" si="17"/>
        <v>66.551351019891953</v>
      </c>
      <c r="J378" s="6">
        <v>8.6249999999999993E-2</v>
      </c>
      <c r="K378" s="99">
        <v>1.0723</v>
      </c>
      <c r="L378" s="1" t="s">
        <v>887</v>
      </c>
      <c r="M378" s="1">
        <v>2</v>
      </c>
      <c r="N378" s="9">
        <v>45261</v>
      </c>
      <c r="O378" s="1" t="s">
        <v>1096</v>
      </c>
      <c r="P378" s="1" t="s">
        <v>1011</v>
      </c>
      <c r="Q378" s="1" t="s">
        <v>1530</v>
      </c>
      <c r="R378" s="1" t="s">
        <v>1531</v>
      </c>
      <c r="S378" s="1" t="b">
        <v>1</v>
      </c>
      <c r="T378" s="96"/>
      <c r="U378" s="97"/>
      <c r="V378" s="97"/>
      <c r="W378" s="97"/>
      <c r="X378" s="97"/>
      <c r="Y378" s="97" t="str">
        <f>IF(anleihenkäufe[[#This Row],[Verkauft am]]="","",anleihenkäufe[[#This Row],[Gewinn aus Kursänderung]]+anleihenkäufe[[#This Row],[Gewinn aus Zinsen]]+anleihenkäufe[[#This Row],[Gewinn aus Währungseffekten]])</f>
        <v/>
      </c>
      <c r="Z378" s="156" t="str">
        <f>IF(anleihenkäufe[[#This Row],[Verkauft am]]="","",anleihenkäufe[[#This Row],[Gewinn gesamt]]/anleihenkäufe[[#This Row],[Dirty Kaufpreis]])</f>
        <v/>
      </c>
    </row>
    <row r="379" spans="1:26" ht="14.25" x14ac:dyDescent="0.2">
      <c r="A379" s="9">
        <v>45412</v>
      </c>
      <c r="B379" s="1" t="s">
        <v>1554</v>
      </c>
      <c r="C379" s="1" t="s">
        <v>2</v>
      </c>
      <c r="D379" s="5">
        <f t="shared" si="15"/>
        <v>1971.5270849115777</v>
      </c>
      <c r="E379" s="5">
        <f t="shared" si="16"/>
        <v>1892.1943485964748</v>
      </c>
      <c r="F379" s="1">
        <v>2</v>
      </c>
      <c r="G379" s="1">
        <v>1000</v>
      </c>
      <c r="H379" s="6">
        <v>1.0145</v>
      </c>
      <c r="I379" s="4">
        <f t="shared" si="17"/>
        <v>79.332736315102977</v>
      </c>
      <c r="J379" s="6">
        <v>8.6249999999999993E-2</v>
      </c>
      <c r="K379" s="99">
        <v>1.0723</v>
      </c>
      <c r="L379" s="1" t="s">
        <v>887</v>
      </c>
      <c r="M379" s="1">
        <v>2</v>
      </c>
      <c r="N379" s="9">
        <v>45232</v>
      </c>
      <c r="O379" s="1" t="s">
        <v>65</v>
      </c>
      <c r="P379" s="1" t="s">
        <v>52</v>
      </c>
      <c r="Q379" s="1" t="s">
        <v>1555</v>
      </c>
      <c r="R379" s="1" t="s">
        <v>1556</v>
      </c>
      <c r="S379" s="1" t="b">
        <v>1</v>
      </c>
      <c r="T379" s="96"/>
      <c r="U379" s="97"/>
      <c r="V379" s="97"/>
      <c r="W379" s="97"/>
      <c r="X379" s="97"/>
      <c r="Y379" s="97" t="str">
        <f>IF(anleihenkäufe[[#This Row],[Verkauft am]]="","",anleihenkäufe[[#This Row],[Gewinn aus Kursänderung]]+anleihenkäufe[[#This Row],[Gewinn aus Zinsen]]+anleihenkäufe[[#This Row],[Gewinn aus Währungseffekten]])</f>
        <v/>
      </c>
      <c r="Z379" s="156" t="str">
        <f>IF(anleihenkäufe[[#This Row],[Verkauft am]]="","",anleihenkäufe[[#This Row],[Gewinn gesamt]]/anleihenkäufe[[#This Row],[Dirty Kaufpreis]])</f>
        <v/>
      </c>
    </row>
    <row r="380" spans="1:26" ht="14.25" x14ac:dyDescent="0.2">
      <c r="A380" s="9">
        <v>45412</v>
      </c>
      <c r="B380" s="1" t="s">
        <v>1409</v>
      </c>
      <c r="C380" s="1" t="s">
        <v>0</v>
      </c>
      <c r="D380" s="5">
        <f t="shared" si="15"/>
        <v>1809.0575245375769</v>
      </c>
      <c r="E380" s="5">
        <f t="shared" si="16"/>
        <v>1795.3930802946936</v>
      </c>
      <c r="F380" s="1">
        <v>2</v>
      </c>
      <c r="G380" s="1">
        <v>1000</v>
      </c>
      <c r="H380" s="6">
        <v>0.96260000000000001</v>
      </c>
      <c r="I380" s="4">
        <f t="shared" si="17"/>
        <v>13.664444242883365</v>
      </c>
      <c r="J380" s="6">
        <v>8.6259999999999989E-2</v>
      </c>
      <c r="K380" s="99">
        <v>1.0723</v>
      </c>
      <c r="L380" s="1" t="s">
        <v>887</v>
      </c>
      <c r="M380" s="1">
        <v>4</v>
      </c>
      <c r="N380" s="9">
        <v>45381</v>
      </c>
      <c r="O380" s="1" t="s">
        <v>276</v>
      </c>
      <c r="P380" s="1" t="s">
        <v>52</v>
      </c>
      <c r="Q380" s="1" t="s">
        <v>1410</v>
      </c>
      <c r="R380" s="1" t="s">
        <v>1411</v>
      </c>
      <c r="S380" s="1" t="b">
        <v>1</v>
      </c>
      <c r="T380" s="96"/>
      <c r="U380" s="97"/>
      <c r="V380" s="97"/>
      <c r="W380" s="97"/>
      <c r="X380" s="97"/>
      <c r="Y380" s="97" t="str">
        <f>IF(anleihenkäufe[[#This Row],[Verkauft am]]="","",anleihenkäufe[[#This Row],[Gewinn aus Kursänderung]]+anleihenkäufe[[#This Row],[Gewinn aus Zinsen]]+anleihenkäufe[[#This Row],[Gewinn aus Währungseffekten]])</f>
        <v/>
      </c>
      <c r="Z380" s="156" t="str">
        <f>IF(anleihenkäufe[[#This Row],[Verkauft am]]="","",anleihenkäufe[[#This Row],[Gewinn gesamt]]/anleihenkäufe[[#This Row],[Dirty Kaufpreis]])</f>
        <v/>
      </c>
    </row>
    <row r="381" spans="1:26" ht="14.25" x14ac:dyDescent="0.2">
      <c r="A381" s="9">
        <v>45412</v>
      </c>
      <c r="B381" s="1" t="s">
        <v>1770</v>
      </c>
      <c r="C381" s="1" t="s">
        <v>1</v>
      </c>
      <c r="D381" s="5">
        <f t="shared" si="15"/>
        <v>1982.9904657534246</v>
      </c>
      <c r="E381" s="4">
        <f t="shared" si="16"/>
        <v>1979.1999999999998</v>
      </c>
      <c r="F381" s="1">
        <v>2</v>
      </c>
      <c r="G381" s="1">
        <v>1000</v>
      </c>
      <c r="H381" s="6">
        <v>0.98959999999999992</v>
      </c>
      <c r="I381" s="4">
        <f t="shared" si="17"/>
        <v>3.7904657534246575</v>
      </c>
      <c r="J381" s="6">
        <v>8.6470000000000005E-2</v>
      </c>
      <c r="K381" s="94">
        <v>1</v>
      </c>
      <c r="L381" t="s">
        <v>925</v>
      </c>
      <c r="M381" s="1">
        <v>4</v>
      </c>
      <c r="N381" s="9">
        <v>45404</v>
      </c>
      <c r="O381" s="1" t="s">
        <v>75</v>
      </c>
      <c r="P381" s="1" t="s">
        <v>61</v>
      </c>
      <c r="Q381" s="1" t="s">
        <v>1771</v>
      </c>
      <c r="R381" s="1" t="s">
        <v>1772</v>
      </c>
      <c r="S381" s="1" t="b">
        <v>1</v>
      </c>
      <c r="T381" s="9"/>
      <c r="U381" s="4"/>
      <c r="V381" s="4"/>
      <c r="W381" s="4"/>
      <c r="X381" s="4"/>
      <c r="Y381" s="4" t="str">
        <f>IF(anleihenkäufe[[#This Row],[Verkauft am]]="","",anleihenkäufe[[#This Row],[Gewinn aus Kursänderung]]+anleihenkäufe[[#This Row],[Gewinn aus Zinsen]]+anleihenkäufe[[#This Row],[Gewinn aus Währungseffekten]])</f>
        <v/>
      </c>
      <c r="Z381" s="156" t="str">
        <f>IF(anleihenkäufe[[#This Row],[Verkauft am]]="","",anleihenkäufe[[#This Row],[Gewinn gesamt]]/anleihenkäufe[[#This Row],[Dirty Kaufpreis]])</f>
        <v/>
      </c>
    </row>
    <row r="382" spans="1:26" ht="14.25" x14ac:dyDescent="0.2">
      <c r="A382" s="9">
        <v>45412</v>
      </c>
      <c r="B382" s="1" t="s">
        <v>1406</v>
      </c>
      <c r="C382" s="1" t="s">
        <v>10</v>
      </c>
      <c r="D382" s="5">
        <f t="shared" si="15"/>
        <v>2074.1256472133255</v>
      </c>
      <c r="E382" s="5">
        <f t="shared" si="16"/>
        <v>1993.65849109391</v>
      </c>
      <c r="F382" s="1">
        <v>2</v>
      </c>
      <c r="G382" s="1">
        <v>1000</v>
      </c>
      <c r="H382" s="6">
        <v>1.0689</v>
      </c>
      <c r="I382" s="4">
        <f t="shared" si="17"/>
        <v>80.467156119415577</v>
      </c>
      <c r="J382" s="6">
        <v>8.6999999999999994E-2</v>
      </c>
      <c r="K382" s="99">
        <v>1.0723</v>
      </c>
      <c r="L382" s="1" t="s">
        <v>887</v>
      </c>
      <c r="M382" s="1">
        <v>2</v>
      </c>
      <c r="N382" s="9">
        <v>45231</v>
      </c>
      <c r="O382" s="1" t="s">
        <v>276</v>
      </c>
      <c r="P382" s="1" t="s">
        <v>39</v>
      </c>
      <c r="Q382" s="1" t="s">
        <v>1407</v>
      </c>
      <c r="R382" s="1" t="s">
        <v>1408</v>
      </c>
      <c r="S382" s="1" t="b">
        <v>1</v>
      </c>
      <c r="T382" s="9"/>
      <c r="U382" s="4"/>
      <c r="V382" s="4"/>
      <c r="W382" s="4"/>
      <c r="X382" s="4"/>
      <c r="Y382" s="4" t="str">
        <f>IF(anleihenkäufe[[#This Row],[Verkauft am]]="","",anleihenkäufe[[#This Row],[Gewinn aus Kursänderung]]+anleihenkäufe[[#This Row],[Gewinn aus Zinsen]]+anleihenkäufe[[#This Row],[Gewinn aus Währungseffekten]])</f>
        <v/>
      </c>
      <c r="Z382" s="156" t="str">
        <f>IF(anleihenkäufe[[#This Row],[Verkauft am]]="","",anleihenkäufe[[#This Row],[Gewinn gesamt]]/anleihenkäufe[[#This Row],[Dirty Kaufpreis]])</f>
        <v/>
      </c>
    </row>
    <row r="383" spans="1:26" ht="14.25" x14ac:dyDescent="0.2">
      <c r="A383" s="9">
        <v>45412</v>
      </c>
      <c r="B383" s="1" t="s">
        <v>1368</v>
      </c>
      <c r="C383" s="1" t="s">
        <v>4</v>
      </c>
      <c r="D383" s="5">
        <f t="shared" si="15"/>
        <v>1883.606995077793</v>
      </c>
      <c r="E383" s="5">
        <f t="shared" si="16"/>
        <v>1876.9001212347289</v>
      </c>
      <c r="F383" s="1">
        <v>2</v>
      </c>
      <c r="G383" s="1">
        <v>1000</v>
      </c>
      <c r="H383" s="6">
        <v>1.0063</v>
      </c>
      <c r="I383" s="4">
        <f t="shared" si="17"/>
        <v>6.7068738430642618</v>
      </c>
      <c r="J383" s="6">
        <v>8.7499999999999994E-2</v>
      </c>
      <c r="K383" s="99">
        <v>1.0723</v>
      </c>
      <c r="L383" s="1" t="s">
        <v>887</v>
      </c>
      <c r="M383" s="1">
        <v>2</v>
      </c>
      <c r="N383" s="9">
        <v>45397</v>
      </c>
      <c r="O383" s="1" t="s">
        <v>35</v>
      </c>
      <c r="P383" s="1" t="s">
        <v>1011</v>
      </c>
      <c r="Q383" s="1" t="s">
        <v>1388</v>
      </c>
      <c r="R383" s="1" t="s">
        <v>1389</v>
      </c>
      <c r="S383" s="1" t="b">
        <v>1</v>
      </c>
      <c r="T383" s="96"/>
      <c r="U383" s="97"/>
      <c r="V383" s="97"/>
      <c r="W383" s="97"/>
      <c r="X383" s="97"/>
      <c r="Y383" s="97" t="str">
        <f>IF(anleihenkäufe[[#This Row],[Verkauft am]]="","",anleihenkäufe[[#This Row],[Gewinn aus Kursänderung]]+anleihenkäufe[[#This Row],[Gewinn aus Zinsen]]+anleihenkäufe[[#This Row],[Gewinn aus Währungseffekten]])</f>
        <v/>
      </c>
      <c r="Z383" s="156" t="str">
        <f>IF(anleihenkäufe[[#This Row],[Verkauft am]]="","",anleihenkäufe[[#This Row],[Gewinn gesamt]]/anleihenkäufe[[#This Row],[Dirty Kaufpreis]])</f>
        <v/>
      </c>
    </row>
    <row r="384" spans="1:26" ht="14.25" x14ac:dyDescent="0.2">
      <c r="A384" s="9">
        <v>45412</v>
      </c>
      <c r="B384" s="1" t="s">
        <v>1393</v>
      </c>
      <c r="C384" s="1" t="s">
        <v>1</v>
      </c>
      <c r="D384" s="5">
        <f t="shared" si="15"/>
        <v>1847.8548862450323</v>
      </c>
      <c r="E384" s="5">
        <f t="shared" si="16"/>
        <v>1827.2871397929684</v>
      </c>
      <c r="F384" s="1">
        <v>2</v>
      </c>
      <c r="G384" s="1">
        <v>1000</v>
      </c>
      <c r="H384" s="6">
        <v>0.97970000000000002</v>
      </c>
      <c r="I384" s="4">
        <f t="shared" si="17"/>
        <v>20.567746452063734</v>
      </c>
      <c r="J384" s="6">
        <v>8.7499999999999994E-2</v>
      </c>
      <c r="K384" s="99">
        <v>1.0723</v>
      </c>
      <c r="L384" s="1" t="s">
        <v>887</v>
      </c>
      <c r="M384" s="1">
        <v>2</v>
      </c>
      <c r="N384" s="9">
        <v>45366</v>
      </c>
      <c r="O384" s="1" t="s">
        <v>276</v>
      </c>
      <c r="P384" s="1" t="s">
        <v>39</v>
      </c>
      <c r="Q384" s="1" t="s">
        <v>1394</v>
      </c>
      <c r="R384" s="1" t="s">
        <v>1395</v>
      </c>
      <c r="S384" s="1" t="b">
        <v>1</v>
      </c>
      <c r="T384" s="96"/>
      <c r="U384" s="97"/>
      <c r="V384" s="97"/>
      <c r="W384" s="97"/>
      <c r="X384" s="97"/>
      <c r="Y384" s="97" t="str">
        <f>IF(anleihenkäufe[[#This Row],[Verkauft am]]="","",anleihenkäufe[[#This Row],[Gewinn aus Kursänderung]]+anleihenkäufe[[#This Row],[Gewinn aus Zinsen]]+anleihenkäufe[[#This Row],[Gewinn aus Währungseffekten]])</f>
        <v/>
      </c>
      <c r="Z384" s="156" t="str">
        <f>IF(anleihenkäufe[[#This Row],[Verkauft am]]="","",anleihenkäufe[[#This Row],[Gewinn gesamt]]/anleihenkäufe[[#This Row],[Dirty Kaufpreis]])</f>
        <v/>
      </c>
    </row>
    <row r="385" spans="1:26" ht="14.25" x14ac:dyDescent="0.2">
      <c r="A385" s="9">
        <v>45412</v>
      </c>
      <c r="B385" s="1" t="s">
        <v>1379</v>
      </c>
      <c r="C385" s="1" t="s">
        <v>8</v>
      </c>
      <c r="D385" s="5">
        <f t="shared" si="15"/>
        <v>2213.2377082164949</v>
      </c>
      <c r="E385" s="5">
        <f t="shared" si="16"/>
        <v>2192.6699617644313</v>
      </c>
      <c r="F385" s="1">
        <v>2</v>
      </c>
      <c r="G385" s="1">
        <v>1000</v>
      </c>
      <c r="H385" s="6">
        <v>1.1756</v>
      </c>
      <c r="I385" s="4">
        <f t="shared" si="17"/>
        <v>20.567746452063734</v>
      </c>
      <c r="J385" s="6">
        <v>8.7499999999999994E-2</v>
      </c>
      <c r="K385" s="99">
        <v>1.0723</v>
      </c>
      <c r="L385" s="1" t="s">
        <v>887</v>
      </c>
      <c r="M385" s="1">
        <v>2</v>
      </c>
      <c r="N385" s="9">
        <v>45366</v>
      </c>
      <c r="O385" s="1" t="s">
        <v>276</v>
      </c>
      <c r="P385" s="1" t="s">
        <v>109</v>
      </c>
      <c r="Q385" s="1" t="s">
        <v>1380</v>
      </c>
      <c r="R385" s="1" t="s">
        <v>1381</v>
      </c>
      <c r="S385" s="1" t="b">
        <v>1</v>
      </c>
      <c r="T385" s="9"/>
      <c r="U385" s="4"/>
      <c r="V385" s="4"/>
      <c r="W385" s="4"/>
      <c r="X385" s="4"/>
      <c r="Y385" s="4" t="str">
        <f>IF(anleihenkäufe[[#This Row],[Verkauft am]]="","",anleihenkäufe[[#This Row],[Gewinn aus Kursänderung]]+anleihenkäufe[[#This Row],[Gewinn aus Zinsen]]+anleihenkäufe[[#This Row],[Gewinn aus Währungseffekten]])</f>
        <v/>
      </c>
      <c r="Z385" s="156" t="str">
        <f>IF(anleihenkäufe[[#This Row],[Verkauft am]]="","",anleihenkäufe[[#This Row],[Gewinn gesamt]]/anleihenkäufe[[#This Row],[Dirty Kaufpreis]])</f>
        <v/>
      </c>
    </row>
    <row r="386" spans="1:26" ht="14.25" x14ac:dyDescent="0.2">
      <c r="A386" s="9">
        <v>45412</v>
      </c>
      <c r="B386" s="1" t="s">
        <v>1369</v>
      </c>
      <c r="C386" s="1" t="s">
        <v>0</v>
      </c>
      <c r="D386" s="5">
        <f t="shared" ref="D386:D449" si="18">E386+I386</f>
        <v>1941.3550951162463</v>
      </c>
      <c r="E386" s="5">
        <f t="shared" ref="E386:E449" si="19">G386*H386*F386/K386</f>
        <v>1904.6908514408283</v>
      </c>
      <c r="F386" s="1">
        <v>2</v>
      </c>
      <c r="G386" s="1">
        <v>1000</v>
      </c>
      <c r="H386" s="6">
        <v>1.0212000000000001</v>
      </c>
      <c r="I386" s="4">
        <f t="shared" ref="I386:I449" si="20">G386*J386*(A386-N386)/365*F386/K386</f>
        <v>36.664243675417964</v>
      </c>
      <c r="J386" s="6">
        <v>8.7499999999999994E-2</v>
      </c>
      <c r="K386" s="99">
        <v>1.0723</v>
      </c>
      <c r="L386" s="1" t="s">
        <v>887</v>
      </c>
      <c r="M386" s="1">
        <v>2</v>
      </c>
      <c r="N386" s="9">
        <v>45330</v>
      </c>
      <c r="O386" s="1" t="s">
        <v>991</v>
      </c>
      <c r="P386" s="1" t="s">
        <v>52</v>
      </c>
      <c r="Q386" s="1" t="s">
        <v>1370</v>
      </c>
      <c r="R386" s="1" t="s">
        <v>1371</v>
      </c>
      <c r="S386" s="1" t="b">
        <v>1</v>
      </c>
      <c r="T386" s="96"/>
      <c r="U386" s="97"/>
      <c r="V386" s="97"/>
      <c r="W386" s="97"/>
      <c r="X386" s="97"/>
      <c r="Y386" s="97" t="str">
        <f>IF(anleihenkäufe[[#This Row],[Verkauft am]]="","",anleihenkäufe[[#This Row],[Gewinn aus Kursänderung]]+anleihenkäufe[[#This Row],[Gewinn aus Zinsen]]+anleihenkäufe[[#This Row],[Gewinn aus Währungseffekten]])</f>
        <v/>
      </c>
      <c r="Z386" s="156" t="str">
        <f>IF(anleihenkäufe[[#This Row],[Verkauft am]]="","",anleihenkäufe[[#This Row],[Gewinn gesamt]]/anleihenkäufe[[#This Row],[Dirty Kaufpreis]])</f>
        <v/>
      </c>
    </row>
    <row r="387" spans="1:26" ht="14.25" x14ac:dyDescent="0.2">
      <c r="A387" s="9">
        <v>45412</v>
      </c>
      <c r="B387" s="1" t="s">
        <v>1403</v>
      </c>
      <c r="C387" s="1" t="s">
        <v>8</v>
      </c>
      <c r="D387" s="5">
        <f t="shared" si="18"/>
        <v>1818.5490413002901</v>
      </c>
      <c r="E387" s="5">
        <f t="shared" si="19"/>
        <v>1777.8606733190336</v>
      </c>
      <c r="F387" s="1">
        <v>2</v>
      </c>
      <c r="G387" s="1">
        <v>1000</v>
      </c>
      <c r="H387" s="6">
        <v>0.95319999999999994</v>
      </c>
      <c r="I387" s="4">
        <f t="shared" si="20"/>
        <v>40.688367981256526</v>
      </c>
      <c r="J387" s="6">
        <v>8.7499999999999994E-2</v>
      </c>
      <c r="K387" s="99">
        <v>1.0723</v>
      </c>
      <c r="L387" s="1" t="s">
        <v>887</v>
      </c>
      <c r="M387" s="1">
        <v>2</v>
      </c>
      <c r="N387" s="9">
        <v>45321</v>
      </c>
      <c r="O387" s="1" t="s">
        <v>995</v>
      </c>
      <c r="P387" s="1" t="s">
        <v>52</v>
      </c>
      <c r="Q387" s="1" t="s">
        <v>1404</v>
      </c>
      <c r="R387" s="1" t="s">
        <v>1405</v>
      </c>
      <c r="S387" s="1" t="b">
        <v>1</v>
      </c>
      <c r="T387" s="96"/>
      <c r="U387" s="97"/>
      <c r="V387" s="97"/>
      <c r="W387" s="97"/>
      <c r="X387" s="97"/>
      <c r="Y387" s="97" t="str">
        <f>IF(anleihenkäufe[[#This Row],[Verkauft am]]="","",anleihenkäufe[[#This Row],[Gewinn aus Kursänderung]]+anleihenkäufe[[#This Row],[Gewinn aus Zinsen]]+anleihenkäufe[[#This Row],[Gewinn aus Währungseffekten]])</f>
        <v/>
      </c>
      <c r="Z387" s="156" t="str">
        <f>IF(anleihenkäufe[[#This Row],[Verkauft am]]="","",anleihenkäufe[[#This Row],[Gewinn gesamt]]/anleihenkäufe[[#This Row],[Dirty Kaufpreis]])</f>
        <v/>
      </c>
    </row>
    <row r="388" spans="1:26" ht="14.25" x14ac:dyDescent="0.2">
      <c r="A388" s="9">
        <v>45412</v>
      </c>
      <c r="B388" s="1" t="s">
        <v>1365</v>
      </c>
      <c r="C388" s="1" t="s">
        <v>10</v>
      </c>
      <c r="D388" s="5">
        <f t="shared" si="18"/>
        <v>1926.5335426729639</v>
      </c>
      <c r="E388" s="5">
        <f t="shared" si="19"/>
        <v>1879.1383008486432</v>
      </c>
      <c r="F388" s="1">
        <v>2</v>
      </c>
      <c r="G388" s="1">
        <v>1000</v>
      </c>
      <c r="H388" s="6">
        <v>1.0075000000000001</v>
      </c>
      <c r="I388" s="4">
        <f t="shared" si="20"/>
        <v>47.395241824320784</v>
      </c>
      <c r="J388" s="6">
        <v>8.7499999999999994E-2</v>
      </c>
      <c r="K388" s="99">
        <v>1.0723</v>
      </c>
      <c r="L388" s="1" t="s">
        <v>887</v>
      </c>
      <c r="M388" s="1">
        <v>2</v>
      </c>
      <c r="N388" s="9">
        <v>45306</v>
      </c>
      <c r="O388" s="1" t="s">
        <v>276</v>
      </c>
      <c r="P388" s="1" t="s">
        <v>1011</v>
      </c>
      <c r="Q388" s="1" t="s">
        <v>1366</v>
      </c>
      <c r="R388" s="1" t="s">
        <v>1367</v>
      </c>
      <c r="S388" s="1" t="b">
        <v>1</v>
      </c>
      <c r="T388" s="96"/>
      <c r="U388" s="97"/>
      <c r="V388" s="97"/>
      <c r="W388" s="97"/>
      <c r="X388" s="97"/>
      <c r="Y388" s="97" t="str">
        <f>IF(anleihenkäufe[[#This Row],[Verkauft am]]="","",anleihenkäufe[[#This Row],[Gewinn aus Kursänderung]]+anleihenkäufe[[#This Row],[Gewinn aus Zinsen]]+anleihenkäufe[[#This Row],[Gewinn aus Währungseffekten]])</f>
        <v/>
      </c>
      <c r="Z388" s="156" t="str">
        <f>IF(anleihenkäufe[[#This Row],[Verkauft am]]="","",anleihenkäufe[[#This Row],[Gewinn gesamt]]/anleihenkäufe[[#This Row],[Dirty Kaufpreis]])</f>
        <v/>
      </c>
    </row>
    <row r="389" spans="1:26" ht="14.25" x14ac:dyDescent="0.2">
      <c r="A389" s="9">
        <v>45412</v>
      </c>
      <c r="B389" s="1" t="s">
        <v>1390</v>
      </c>
      <c r="C389" s="1" t="s">
        <v>2</v>
      </c>
      <c r="D389" s="5">
        <f t="shared" si="18"/>
        <v>2036.868643640159</v>
      </c>
      <c r="E389" s="5">
        <f t="shared" si="19"/>
        <v>1983.2136528956448</v>
      </c>
      <c r="F389" s="1">
        <v>2</v>
      </c>
      <c r="G389" s="1">
        <v>1000</v>
      </c>
      <c r="H389" s="6">
        <v>1.0632999999999999</v>
      </c>
      <c r="I389" s="4">
        <f t="shared" si="20"/>
        <v>53.654990744514095</v>
      </c>
      <c r="J389" s="6">
        <v>8.7499999999999994E-2</v>
      </c>
      <c r="K389" s="99">
        <v>1.0723</v>
      </c>
      <c r="L389" s="1" t="s">
        <v>887</v>
      </c>
      <c r="M389" s="1">
        <v>2</v>
      </c>
      <c r="N389" s="9">
        <v>45292</v>
      </c>
      <c r="O389" s="1" t="s">
        <v>276</v>
      </c>
      <c r="P389" s="1" t="s">
        <v>39</v>
      </c>
      <c r="Q389" s="1" t="s">
        <v>1391</v>
      </c>
      <c r="R389" s="1" t="s">
        <v>1392</v>
      </c>
      <c r="S389" s="1" t="b">
        <v>1</v>
      </c>
      <c r="T389" s="9"/>
      <c r="U389" s="4"/>
      <c r="V389" s="4"/>
      <c r="W389" s="4"/>
      <c r="X389" s="4"/>
      <c r="Y389" s="4" t="str">
        <f>IF(anleihenkäufe[[#This Row],[Verkauft am]]="","",anleihenkäufe[[#This Row],[Gewinn aus Kursänderung]]+anleihenkäufe[[#This Row],[Gewinn aus Zinsen]]+anleihenkäufe[[#This Row],[Gewinn aus Währungseffekten]])</f>
        <v/>
      </c>
      <c r="Z389" s="156" t="str">
        <f>IF(anleihenkäufe[[#This Row],[Verkauft am]]="","",anleihenkäufe[[#This Row],[Gewinn gesamt]]/anleihenkäufe[[#This Row],[Dirty Kaufpreis]])</f>
        <v/>
      </c>
    </row>
    <row r="390" spans="1:26" ht="14.25" x14ac:dyDescent="0.2">
      <c r="A390" s="9">
        <v>45412</v>
      </c>
      <c r="B390" s="1" t="s">
        <v>1399</v>
      </c>
      <c r="C390" s="1" t="s">
        <v>0</v>
      </c>
      <c r="D390" s="5">
        <f t="shared" si="18"/>
        <v>1893.4309683831577</v>
      </c>
      <c r="E390" s="5">
        <f t="shared" si="19"/>
        <v>1833.0691037955794</v>
      </c>
      <c r="F390" s="1">
        <v>2</v>
      </c>
      <c r="G390" s="1">
        <v>1000</v>
      </c>
      <c r="H390" s="6">
        <v>0.98280000000000001</v>
      </c>
      <c r="I390" s="4">
        <f t="shared" si="20"/>
        <v>60.361864587578353</v>
      </c>
      <c r="J390" s="6">
        <v>8.7499999999999994E-2</v>
      </c>
      <c r="K390" s="99">
        <v>1.0723</v>
      </c>
      <c r="L390" s="1" t="s">
        <v>887</v>
      </c>
      <c r="M390" s="1">
        <v>2</v>
      </c>
      <c r="N390" s="9">
        <v>45277</v>
      </c>
      <c r="O390" s="1" t="s">
        <v>1400</v>
      </c>
      <c r="P390" s="1" t="s">
        <v>39</v>
      </c>
      <c r="Q390" s="1" t="s">
        <v>1401</v>
      </c>
      <c r="R390" s="1" t="s">
        <v>1402</v>
      </c>
      <c r="S390" s="1" t="b">
        <v>1</v>
      </c>
      <c r="T390" s="96"/>
      <c r="U390" s="97"/>
      <c r="V390" s="97"/>
      <c r="W390" s="97"/>
      <c r="X390" s="97"/>
      <c r="Y390" s="97" t="str">
        <f>IF(anleihenkäufe[[#This Row],[Verkauft am]]="","",anleihenkäufe[[#This Row],[Gewinn aus Kursänderung]]+anleihenkäufe[[#This Row],[Gewinn aus Zinsen]]+anleihenkäufe[[#This Row],[Gewinn aus Währungseffekten]])</f>
        <v/>
      </c>
      <c r="Z390" s="156" t="str">
        <f>IF(anleihenkäufe[[#This Row],[Verkauft am]]="","",anleihenkäufe[[#This Row],[Gewinn gesamt]]/anleihenkäufe[[#This Row],[Dirty Kaufpreis]])</f>
        <v/>
      </c>
    </row>
    <row r="391" spans="1:26" ht="14.25" x14ac:dyDescent="0.2">
      <c r="A391" s="9">
        <v>45412</v>
      </c>
      <c r="B391" s="1" t="s">
        <v>1382</v>
      </c>
      <c r="C391" s="1" t="s">
        <v>4</v>
      </c>
      <c r="D391" s="5">
        <f t="shared" si="18"/>
        <v>2201.5153702385987</v>
      </c>
      <c r="E391" s="5">
        <f t="shared" si="19"/>
        <v>2140.2592558052784</v>
      </c>
      <c r="F391" s="1">
        <v>2</v>
      </c>
      <c r="G391" s="1">
        <v>1000</v>
      </c>
      <c r="H391" s="6">
        <v>1.1475</v>
      </c>
      <c r="I391" s="4">
        <f t="shared" si="20"/>
        <v>61.256114433320256</v>
      </c>
      <c r="J391" s="6">
        <v>8.7499999999999994E-2</v>
      </c>
      <c r="K391" s="99">
        <v>1.0723</v>
      </c>
      <c r="L391" s="1" t="s">
        <v>887</v>
      </c>
      <c r="M391" s="1">
        <v>2</v>
      </c>
      <c r="N391" s="9">
        <v>45275</v>
      </c>
      <c r="O391" s="1" t="s">
        <v>276</v>
      </c>
      <c r="P391" s="1" t="s">
        <v>57</v>
      </c>
      <c r="Q391" s="1" t="s">
        <v>1383</v>
      </c>
      <c r="R391" s="1" t="s">
        <v>1384</v>
      </c>
      <c r="S391" s="1" t="b">
        <v>1</v>
      </c>
      <c r="T391" s="9"/>
      <c r="U391" s="4"/>
      <c r="V391" s="4"/>
      <c r="W391" s="4"/>
      <c r="X391" s="4"/>
      <c r="Y391" s="4" t="str">
        <f>IF(anleihenkäufe[[#This Row],[Verkauft am]]="","",anleihenkäufe[[#This Row],[Gewinn aus Kursänderung]]+anleihenkäufe[[#This Row],[Gewinn aus Zinsen]]+anleihenkäufe[[#This Row],[Gewinn aus Währungseffekten]])</f>
        <v/>
      </c>
      <c r="Z391" s="156" t="str">
        <f>IF(anleihenkäufe[[#This Row],[Verkauft am]]="","",anleihenkäufe[[#This Row],[Gewinn gesamt]]/anleihenkäufe[[#This Row],[Dirty Kaufpreis]])</f>
        <v/>
      </c>
    </row>
    <row r="392" spans="1:26" ht="14.25" x14ac:dyDescent="0.2">
      <c r="A392" s="9">
        <v>45412</v>
      </c>
      <c r="B392" s="1" t="s">
        <v>1376</v>
      </c>
      <c r="C392" s="1" t="s">
        <v>2</v>
      </c>
      <c r="D392" s="5">
        <f t="shared" si="18"/>
        <v>2018.6821567773281</v>
      </c>
      <c r="E392" s="5">
        <f t="shared" si="19"/>
        <v>1947.5892940408469</v>
      </c>
      <c r="F392" s="1">
        <v>2</v>
      </c>
      <c r="G392" s="1">
        <v>1000</v>
      </c>
      <c r="H392" s="6">
        <v>1.0442</v>
      </c>
      <c r="I392" s="4">
        <f t="shared" si="20"/>
        <v>71.092862736481166</v>
      </c>
      <c r="J392" s="6">
        <v>8.7499999999999994E-2</v>
      </c>
      <c r="K392" s="99">
        <v>1.0723</v>
      </c>
      <c r="L392" s="1" t="s">
        <v>887</v>
      </c>
      <c r="M392" s="1">
        <v>2</v>
      </c>
      <c r="N392" s="9">
        <v>45253</v>
      </c>
      <c r="O392" s="1" t="s">
        <v>51</v>
      </c>
      <c r="P392" s="1" t="s">
        <v>61</v>
      </c>
      <c r="Q392" s="1" t="s">
        <v>1377</v>
      </c>
      <c r="R392" s="1" t="s">
        <v>1378</v>
      </c>
      <c r="S392" s="1" t="b">
        <v>1</v>
      </c>
      <c r="T392" s="9"/>
      <c r="U392" s="4"/>
      <c r="V392" s="4"/>
      <c r="W392" s="4"/>
      <c r="X392" s="4"/>
      <c r="Y392" s="4" t="str">
        <f>IF(anleihenkäufe[[#This Row],[Verkauft am]]="","",anleihenkäufe[[#This Row],[Gewinn aus Kursänderung]]+anleihenkäufe[[#This Row],[Gewinn aus Zinsen]]+anleihenkäufe[[#This Row],[Gewinn aus Währungseffekten]])</f>
        <v/>
      </c>
      <c r="Z392" s="156" t="str">
        <f>IF(anleihenkäufe[[#This Row],[Verkauft am]]="","",anleihenkäufe[[#This Row],[Gewinn gesamt]]/anleihenkäufe[[#This Row],[Dirty Kaufpreis]])</f>
        <v/>
      </c>
    </row>
    <row r="393" spans="1:26" ht="14.25" x14ac:dyDescent="0.2">
      <c r="A393" s="9">
        <v>45412</v>
      </c>
      <c r="B393" s="1" t="s">
        <v>1372</v>
      </c>
      <c r="C393" s="1" t="s">
        <v>11</v>
      </c>
      <c r="D393" s="5">
        <f t="shared" si="18"/>
        <v>2279.2052418370963</v>
      </c>
      <c r="E393" s="5">
        <f t="shared" si="19"/>
        <v>2207.218129254873</v>
      </c>
      <c r="F393" s="1">
        <v>2</v>
      </c>
      <c r="G393" s="1">
        <v>1000</v>
      </c>
      <c r="H393" s="6">
        <v>1.1834</v>
      </c>
      <c r="I393" s="4">
        <f t="shared" si="20"/>
        <v>71.987112582223077</v>
      </c>
      <c r="J393" s="6">
        <v>8.7499999999999994E-2</v>
      </c>
      <c r="K393" s="99">
        <v>1.0723</v>
      </c>
      <c r="L393" s="1" t="s">
        <v>887</v>
      </c>
      <c r="M393" s="1">
        <v>2</v>
      </c>
      <c r="N393" s="9">
        <v>45251</v>
      </c>
      <c r="O393" s="1" t="s">
        <v>1373</v>
      </c>
      <c r="P393" s="1" t="s">
        <v>61</v>
      </c>
      <c r="Q393" s="1" t="s">
        <v>1374</v>
      </c>
      <c r="R393" s="1" t="s">
        <v>1375</v>
      </c>
      <c r="S393" s="1" t="b">
        <v>1</v>
      </c>
      <c r="T393" s="9"/>
      <c r="U393" s="4"/>
      <c r="V393" s="4"/>
      <c r="W393" s="4"/>
      <c r="X393" s="4"/>
      <c r="Y393" s="4" t="str">
        <f>IF(anleihenkäufe[[#This Row],[Verkauft am]]="","",anleihenkäufe[[#This Row],[Gewinn aus Kursänderung]]+anleihenkäufe[[#This Row],[Gewinn aus Zinsen]]+anleihenkäufe[[#This Row],[Gewinn aus Währungseffekten]])</f>
        <v/>
      </c>
      <c r="Z393" s="156" t="str">
        <f>IF(anleihenkäufe[[#This Row],[Verkauft am]]="","",anleihenkäufe[[#This Row],[Gewinn gesamt]]/anleihenkäufe[[#This Row],[Dirty Kaufpreis]])</f>
        <v/>
      </c>
    </row>
    <row r="394" spans="1:26" ht="14.25" x14ac:dyDescent="0.2">
      <c r="A394" s="9">
        <v>45412</v>
      </c>
      <c r="B394" s="1" t="s">
        <v>1385</v>
      </c>
      <c r="C394" s="1" t="s">
        <v>1</v>
      </c>
      <c r="D394" s="5">
        <f t="shared" si="18"/>
        <v>2044.4544373316096</v>
      </c>
      <c r="E394" s="5">
        <f t="shared" si="19"/>
        <v>1969.7845752121609</v>
      </c>
      <c r="F394" s="1">
        <v>2</v>
      </c>
      <c r="G394" s="1">
        <v>1000</v>
      </c>
      <c r="H394" s="6">
        <v>1.0561</v>
      </c>
      <c r="I394" s="4">
        <f t="shared" si="20"/>
        <v>74.66986211944878</v>
      </c>
      <c r="J394" s="6">
        <v>8.7499999999999994E-2</v>
      </c>
      <c r="K394" s="99">
        <v>1.0723</v>
      </c>
      <c r="L394" s="1" t="s">
        <v>887</v>
      </c>
      <c r="M394" s="1">
        <v>2</v>
      </c>
      <c r="N394" s="9">
        <v>45245</v>
      </c>
      <c r="O394" s="1" t="s">
        <v>1096</v>
      </c>
      <c r="P394" s="1" t="s">
        <v>39</v>
      </c>
      <c r="Q394" s="1" t="s">
        <v>1386</v>
      </c>
      <c r="R394" s="1" t="s">
        <v>1387</v>
      </c>
      <c r="S394" s="1" t="b">
        <v>1</v>
      </c>
      <c r="T394" s="9"/>
      <c r="U394" s="4"/>
      <c r="V394" s="4"/>
      <c r="W394" s="4"/>
      <c r="X394" s="4"/>
      <c r="Y394" s="4" t="str">
        <f>IF(anleihenkäufe[[#This Row],[Verkauft am]]="","",anleihenkäufe[[#This Row],[Gewinn aus Kursänderung]]+anleihenkäufe[[#This Row],[Gewinn aus Zinsen]]+anleihenkäufe[[#This Row],[Gewinn aus Währungseffekten]])</f>
        <v/>
      </c>
      <c r="Z394" s="156" t="str">
        <f>IF(anleihenkäufe[[#This Row],[Verkauft am]]="","",anleihenkäufe[[#This Row],[Gewinn gesamt]]/anleihenkäufe[[#This Row],[Dirty Kaufpreis]])</f>
        <v/>
      </c>
    </row>
    <row r="395" spans="1:26" ht="14.25" x14ac:dyDescent="0.2">
      <c r="A395" s="9">
        <v>45412</v>
      </c>
      <c r="B395" s="1" t="s">
        <v>1551</v>
      </c>
      <c r="C395" s="1" t="s">
        <v>7</v>
      </c>
      <c r="D395" s="5">
        <f t="shared" si="18"/>
        <v>1922.8798933032185</v>
      </c>
      <c r="E395" s="5">
        <f t="shared" si="19"/>
        <v>1844.6330318008022</v>
      </c>
      <c r="F395" s="1">
        <v>2</v>
      </c>
      <c r="G395" s="1">
        <v>1000</v>
      </c>
      <c r="H395" s="6">
        <v>0.9890000000000001</v>
      </c>
      <c r="I395" s="4">
        <f t="shared" si="20"/>
        <v>78.246861502416394</v>
      </c>
      <c r="J395" s="6">
        <v>8.7499999999999994E-2</v>
      </c>
      <c r="K395" s="99">
        <v>1.0723</v>
      </c>
      <c r="L395" s="1" t="s">
        <v>887</v>
      </c>
      <c r="M395" s="1">
        <v>2</v>
      </c>
      <c r="N395" s="9">
        <v>45237</v>
      </c>
      <c r="O395" s="1" t="s">
        <v>1190</v>
      </c>
      <c r="P395" s="1" t="s">
        <v>52</v>
      </c>
      <c r="Q395" s="1" t="s">
        <v>1552</v>
      </c>
      <c r="R395" s="1" t="s">
        <v>1553</v>
      </c>
      <c r="S395" s="1" t="b">
        <v>1</v>
      </c>
      <c r="T395" s="96"/>
      <c r="U395" s="97"/>
      <c r="V395" s="97"/>
      <c r="W395" s="97"/>
      <c r="X395" s="97"/>
      <c r="Y395" s="97" t="str">
        <f>IF(anleihenkäufe[[#This Row],[Verkauft am]]="","",anleihenkäufe[[#This Row],[Gewinn aus Kursänderung]]+anleihenkäufe[[#This Row],[Gewinn aus Zinsen]]+anleihenkäufe[[#This Row],[Gewinn aus Währungseffekten]])</f>
        <v/>
      </c>
      <c r="Z395" s="156" t="str">
        <f>IF(anleihenkäufe[[#This Row],[Verkauft am]]="","",anleihenkäufe[[#This Row],[Gewinn gesamt]]/anleihenkäufe[[#This Row],[Dirty Kaufpreis]])</f>
        <v/>
      </c>
    </row>
    <row r="396" spans="1:26" ht="14.25" x14ac:dyDescent="0.2">
      <c r="A396" s="9">
        <v>45412</v>
      </c>
      <c r="B396" s="1" t="s">
        <v>1396</v>
      </c>
      <c r="C396" s="1" t="s">
        <v>2</v>
      </c>
      <c r="D396" s="5">
        <f t="shared" si="18"/>
        <v>1959.5466919781957</v>
      </c>
      <c r="E396" s="5">
        <f t="shared" si="19"/>
        <v>1879.5113307842955</v>
      </c>
      <c r="F396" s="1">
        <v>2</v>
      </c>
      <c r="G396" s="1">
        <v>1000</v>
      </c>
      <c r="H396" s="6">
        <v>1.0077</v>
      </c>
      <c r="I396" s="4">
        <f t="shared" si="20"/>
        <v>80.035361193900201</v>
      </c>
      <c r="J396" s="6">
        <v>8.7499999999999994E-2</v>
      </c>
      <c r="K396" s="99">
        <v>1.0723</v>
      </c>
      <c r="L396" s="1" t="s">
        <v>887</v>
      </c>
      <c r="M396" s="1">
        <v>2</v>
      </c>
      <c r="N396" s="9">
        <v>45233</v>
      </c>
      <c r="O396" s="1" t="s">
        <v>276</v>
      </c>
      <c r="P396" s="1" t="s">
        <v>52</v>
      </c>
      <c r="Q396" s="1" t="s">
        <v>1397</v>
      </c>
      <c r="R396" s="1" t="s">
        <v>1398</v>
      </c>
      <c r="S396" s="1" t="b">
        <v>1</v>
      </c>
      <c r="T396" s="96"/>
      <c r="U396" s="97"/>
      <c r="V396" s="97"/>
      <c r="W396" s="97"/>
      <c r="X396" s="97"/>
      <c r="Y396" s="97" t="str">
        <f>IF(anleihenkäufe[[#This Row],[Verkauft am]]="","",anleihenkäufe[[#This Row],[Gewinn aus Kursänderung]]+anleihenkäufe[[#This Row],[Gewinn aus Zinsen]]+anleihenkäufe[[#This Row],[Gewinn aus Währungseffekten]])</f>
        <v/>
      </c>
      <c r="Z396" s="156" t="str">
        <f>IF(anleihenkäufe[[#This Row],[Verkauft am]]="","",anleihenkäufe[[#This Row],[Gewinn gesamt]]/anleihenkäufe[[#This Row],[Dirty Kaufpreis]])</f>
        <v/>
      </c>
    </row>
    <row r="397" spans="1:26" ht="14.25" x14ac:dyDescent="0.2">
      <c r="A397" s="9">
        <v>45412</v>
      </c>
      <c r="B397" s="1" t="s">
        <v>1361</v>
      </c>
      <c r="C397" s="1" t="s">
        <v>11</v>
      </c>
      <c r="D397" s="5">
        <f t="shared" si="18"/>
        <v>1425.998909015188</v>
      </c>
      <c r="E397" s="5">
        <f t="shared" si="19"/>
        <v>1416.0216357362676</v>
      </c>
      <c r="F397" s="1">
        <v>2</v>
      </c>
      <c r="G397" s="1">
        <v>1000</v>
      </c>
      <c r="H397" s="6">
        <v>0.75919999999999999</v>
      </c>
      <c r="I397" s="4">
        <f t="shared" si="20"/>
        <v>9.9772732789203591</v>
      </c>
      <c r="J397" s="6">
        <v>8.8749999999999996E-2</v>
      </c>
      <c r="K397" s="99">
        <v>1.0723</v>
      </c>
      <c r="L397" s="1" t="s">
        <v>887</v>
      </c>
      <c r="M397" s="1">
        <v>2</v>
      </c>
      <c r="N397" s="9">
        <v>45390</v>
      </c>
      <c r="O397" s="1" t="s">
        <v>1362</v>
      </c>
      <c r="P397" s="1" t="s">
        <v>52</v>
      </c>
      <c r="Q397" s="1" t="s">
        <v>1363</v>
      </c>
      <c r="R397" s="1" t="s">
        <v>1364</v>
      </c>
      <c r="S397" s="1" t="b">
        <v>1</v>
      </c>
      <c r="T397" s="96" t="s">
        <v>164</v>
      </c>
      <c r="U397" s="97"/>
      <c r="V397" s="97"/>
      <c r="W397" s="97"/>
      <c r="X397" s="97"/>
      <c r="Y397" s="97" t="str">
        <f>IF(anleihenkäufe[[#This Row],[Verkauft am]]="","",anleihenkäufe[[#This Row],[Gewinn aus Kursänderung]]+anleihenkäufe[[#This Row],[Gewinn aus Zinsen]]+anleihenkäufe[[#This Row],[Gewinn aus Währungseffekten]])</f>
        <v/>
      </c>
      <c r="Z397" s="156" t="str">
        <f>IF(anleihenkäufe[[#This Row],[Verkauft am]]="","",anleihenkäufe[[#This Row],[Gewinn gesamt]]/anleihenkäufe[[#This Row],[Dirty Kaufpreis]])</f>
        <v/>
      </c>
    </row>
    <row r="398" spans="1:26" ht="14.25" x14ac:dyDescent="0.2">
      <c r="A398" s="9">
        <v>45412</v>
      </c>
      <c r="B398" s="1" t="s">
        <v>1352</v>
      </c>
      <c r="C398" s="1" t="s">
        <v>0</v>
      </c>
      <c r="D398" s="5">
        <f t="shared" si="18"/>
        <v>485.83699869311778</v>
      </c>
      <c r="E398" s="5">
        <f t="shared" si="19"/>
        <v>448.19546768628186</v>
      </c>
      <c r="F398" s="1">
        <v>2</v>
      </c>
      <c r="G398" s="1">
        <v>1000</v>
      </c>
      <c r="H398" s="6">
        <v>0.24030000000000001</v>
      </c>
      <c r="I398" s="4">
        <f t="shared" si="20"/>
        <v>37.641531006835898</v>
      </c>
      <c r="J398" s="6">
        <v>8.8749999999999996E-2</v>
      </c>
      <c r="K398" s="99">
        <v>1.0723</v>
      </c>
      <c r="L398" s="1" t="s">
        <v>887</v>
      </c>
      <c r="M398" s="1">
        <v>2</v>
      </c>
      <c r="N398" s="9">
        <v>45329</v>
      </c>
      <c r="O398" s="1" t="s">
        <v>1070</v>
      </c>
      <c r="P398" s="1" t="s">
        <v>39</v>
      </c>
      <c r="Q398" s="1" t="s">
        <v>1353</v>
      </c>
      <c r="R398" s="1" t="s">
        <v>1354</v>
      </c>
      <c r="S398" s="1" t="b">
        <v>1</v>
      </c>
      <c r="T398" s="96" t="s">
        <v>164</v>
      </c>
      <c r="U398" s="97"/>
      <c r="V398" s="97"/>
      <c r="W398" s="97"/>
      <c r="X398" s="97"/>
      <c r="Y398" s="97" t="str">
        <f>IF(anleihenkäufe[[#This Row],[Verkauft am]]="","",anleihenkäufe[[#This Row],[Gewinn aus Kursänderung]]+anleihenkäufe[[#This Row],[Gewinn aus Zinsen]]+anleihenkäufe[[#This Row],[Gewinn aus Währungseffekten]])</f>
        <v/>
      </c>
      <c r="Z398" s="156" t="str">
        <f>IF(anleihenkäufe[[#This Row],[Verkauft am]]="","",anleihenkäufe[[#This Row],[Gewinn gesamt]]/anleihenkäufe[[#This Row],[Dirty Kaufpreis]])</f>
        <v/>
      </c>
    </row>
    <row r="399" spans="1:26" ht="14.25" x14ac:dyDescent="0.2">
      <c r="A399" s="9">
        <v>45412</v>
      </c>
      <c r="B399" s="1" t="s">
        <v>1355</v>
      </c>
      <c r="C399" s="1" t="s">
        <v>8</v>
      </c>
      <c r="D399" s="5">
        <f t="shared" si="18"/>
        <v>1804.3790137446199</v>
      </c>
      <c r="E399" s="5">
        <f t="shared" si="19"/>
        <v>1798.9368646833907</v>
      </c>
      <c r="F399" s="1">
        <v>2</v>
      </c>
      <c r="G399" s="1">
        <v>1000</v>
      </c>
      <c r="H399" s="6">
        <v>0.96450000000000002</v>
      </c>
      <c r="I399" s="4">
        <f t="shared" si="20"/>
        <v>5.4421490612292871</v>
      </c>
      <c r="J399" s="6">
        <v>8.8749999999999996E-2</v>
      </c>
      <c r="K399" s="99">
        <v>1.0723</v>
      </c>
      <c r="L399" s="1" t="s">
        <v>887</v>
      </c>
      <c r="M399" s="1">
        <v>2</v>
      </c>
      <c r="N399" s="9">
        <v>45400</v>
      </c>
      <c r="O399" s="1" t="s">
        <v>1356</v>
      </c>
      <c r="P399" s="1" t="s">
        <v>52</v>
      </c>
      <c r="Q399" s="1" t="s">
        <v>1357</v>
      </c>
      <c r="R399" s="1" t="s">
        <v>1358</v>
      </c>
      <c r="S399" s="1" t="b">
        <v>1</v>
      </c>
      <c r="T399" s="96"/>
      <c r="U399" s="97"/>
      <c r="V399" s="97"/>
      <c r="W399" s="97"/>
      <c r="X399" s="97"/>
      <c r="Y399" s="97" t="str">
        <f>IF(anleihenkäufe[[#This Row],[Verkauft am]]="","",anleihenkäufe[[#This Row],[Gewinn aus Kursänderung]]+anleihenkäufe[[#This Row],[Gewinn aus Zinsen]]+anleihenkäufe[[#This Row],[Gewinn aus Währungseffekten]])</f>
        <v/>
      </c>
      <c r="Z399" s="156" t="str">
        <f>IF(anleihenkäufe[[#This Row],[Verkauft am]]="","",anleihenkäufe[[#This Row],[Gewinn gesamt]]/anleihenkäufe[[#This Row],[Dirty Kaufpreis]])</f>
        <v/>
      </c>
    </row>
    <row r="400" spans="1:26" ht="14.25" x14ac:dyDescent="0.2">
      <c r="A400" s="9">
        <v>45412</v>
      </c>
      <c r="B400" s="1" t="s">
        <v>1334</v>
      </c>
      <c r="C400" s="1" t="s">
        <v>9</v>
      </c>
      <c r="D400" s="5">
        <f t="shared" si="18"/>
        <v>1922.552853359633</v>
      </c>
      <c r="E400" s="5">
        <f t="shared" si="19"/>
        <v>1914.3896297677891</v>
      </c>
      <c r="F400" s="1">
        <v>2</v>
      </c>
      <c r="G400" s="1">
        <v>1000</v>
      </c>
      <c r="H400" s="6">
        <v>1.0264</v>
      </c>
      <c r="I400" s="4">
        <f t="shared" si="20"/>
        <v>8.1632235918439306</v>
      </c>
      <c r="J400" s="6">
        <v>8.8749999999999996E-2</v>
      </c>
      <c r="K400" s="99">
        <v>1.0723</v>
      </c>
      <c r="L400" s="1" t="s">
        <v>887</v>
      </c>
      <c r="M400" s="1">
        <v>2</v>
      </c>
      <c r="N400" s="9">
        <v>45394</v>
      </c>
      <c r="O400" s="1" t="s">
        <v>276</v>
      </c>
      <c r="P400" s="1" t="s">
        <v>39</v>
      </c>
      <c r="Q400" s="1" t="s">
        <v>1335</v>
      </c>
      <c r="R400" s="1" t="s">
        <v>1336</v>
      </c>
      <c r="S400" s="1" t="b">
        <v>1</v>
      </c>
      <c r="T400" s="96"/>
      <c r="U400" s="97"/>
      <c r="V400" s="97"/>
      <c r="W400" s="97"/>
      <c r="X400" s="97"/>
      <c r="Y400" s="97" t="str">
        <f>IF(anleihenkäufe[[#This Row],[Verkauft am]]="","",anleihenkäufe[[#This Row],[Gewinn aus Kursänderung]]+anleihenkäufe[[#This Row],[Gewinn aus Zinsen]]+anleihenkäufe[[#This Row],[Gewinn aus Währungseffekten]])</f>
        <v/>
      </c>
      <c r="Z400" s="156" t="str">
        <f>IF(anleihenkäufe[[#This Row],[Verkauft am]]="","",anleihenkäufe[[#This Row],[Gewinn gesamt]]/anleihenkäufe[[#This Row],[Dirty Kaufpreis]])</f>
        <v/>
      </c>
    </row>
    <row r="401" spans="1:26" ht="14.25" x14ac:dyDescent="0.2">
      <c r="A401" s="9">
        <v>45412</v>
      </c>
      <c r="B401" s="1" t="s">
        <v>1343</v>
      </c>
      <c r="C401" s="1" t="s">
        <v>0</v>
      </c>
      <c r="D401" s="5">
        <f t="shared" si="18"/>
        <v>1988.042602062651</v>
      </c>
      <c r="E401" s="5">
        <f t="shared" si="19"/>
        <v>1960.8318567565045</v>
      </c>
      <c r="F401" s="1">
        <v>2</v>
      </c>
      <c r="G401" s="1">
        <v>1000</v>
      </c>
      <c r="H401" s="6">
        <v>1.0512999999999999</v>
      </c>
      <c r="I401" s="4">
        <f t="shared" si="20"/>
        <v>27.210745306146432</v>
      </c>
      <c r="J401" s="6">
        <v>8.8749999999999996E-2</v>
      </c>
      <c r="K401" s="99">
        <v>1.0723</v>
      </c>
      <c r="L401" s="1" t="s">
        <v>887</v>
      </c>
      <c r="M401" s="1">
        <v>2</v>
      </c>
      <c r="N401" s="9">
        <v>45352</v>
      </c>
      <c r="O401" s="1" t="s">
        <v>1344</v>
      </c>
      <c r="P401" s="1" t="s">
        <v>39</v>
      </c>
      <c r="Q401" s="1" t="s">
        <v>1345</v>
      </c>
      <c r="R401" s="1" t="s">
        <v>1346</v>
      </c>
      <c r="S401" s="1" t="b">
        <v>1</v>
      </c>
      <c r="T401" s="96"/>
      <c r="U401" s="97"/>
      <c r="V401" s="97"/>
      <c r="W401" s="97"/>
      <c r="X401" s="97"/>
      <c r="Y401" s="97" t="str">
        <f>IF(anleihenkäufe[[#This Row],[Verkauft am]]="","",anleihenkäufe[[#This Row],[Gewinn aus Kursänderung]]+anleihenkäufe[[#This Row],[Gewinn aus Zinsen]]+anleihenkäufe[[#This Row],[Gewinn aus Währungseffekten]])</f>
        <v/>
      </c>
      <c r="Z401" s="156" t="str">
        <f>IF(anleihenkäufe[[#This Row],[Verkauft am]]="","",anleihenkäufe[[#This Row],[Gewinn gesamt]]/anleihenkäufe[[#This Row],[Dirty Kaufpreis]])</f>
        <v/>
      </c>
    </row>
    <row r="402" spans="1:26" ht="14.25" x14ac:dyDescent="0.2">
      <c r="A402" s="9">
        <v>45412</v>
      </c>
      <c r="B402" s="1" t="s">
        <v>1526</v>
      </c>
      <c r="C402" s="1" t="s">
        <v>8</v>
      </c>
      <c r="D402" s="5">
        <f t="shared" si="18"/>
        <v>1861.3082364243289</v>
      </c>
      <c r="E402" s="5">
        <f t="shared" si="19"/>
        <v>1820.9456308868785</v>
      </c>
      <c r="F402" s="1">
        <v>2</v>
      </c>
      <c r="G402" s="1">
        <v>1000</v>
      </c>
      <c r="H402" s="6">
        <v>0.97629999999999995</v>
      </c>
      <c r="I402" s="4">
        <f t="shared" si="20"/>
        <v>40.362605537450541</v>
      </c>
      <c r="J402" s="6">
        <v>8.8749999999999996E-2</v>
      </c>
      <c r="K402" s="99">
        <v>1.0723</v>
      </c>
      <c r="L402" s="1" t="s">
        <v>887</v>
      </c>
      <c r="M402" s="1">
        <v>2</v>
      </c>
      <c r="N402" s="9">
        <v>45323</v>
      </c>
      <c r="O402" s="1" t="s">
        <v>276</v>
      </c>
      <c r="P402" s="1" t="s">
        <v>1011</v>
      </c>
      <c r="Q402" s="1" t="s">
        <v>1527</v>
      </c>
      <c r="R402" s="1" t="s">
        <v>1528</v>
      </c>
      <c r="S402" s="1" t="b">
        <v>1</v>
      </c>
      <c r="T402" s="96"/>
      <c r="U402" s="97"/>
      <c r="V402" s="97"/>
      <c r="W402" s="97"/>
      <c r="X402" s="97"/>
      <c r="Y402" s="97" t="str">
        <f>IF(anleihenkäufe[[#This Row],[Verkauft am]]="","",anleihenkäufe[[#This Row],[Gewinn aus Kursänderung]]+anleihenkäufe[[#This Row],[Gewinn aus Zinsen]]+anleihenkäufe[[#This Row],[Gewinn aus Währungseffekten]])</f>
        <v/>
      </c>
      <c r="Z402" s="156" t="str">
        <f>IF(anleihenkäufe[[#This Row],[Verkauft am]]="","",anleihenkäufe[[#This Row],[Gewinn gesamt]]/anleihenkäufe[[#This Row],[Dirty Kaufpreis]])</f>
        <v/>
      </c>
    </row>
    <row r="403" spans="1:26" ht="14.25" x14ac:dyDescent="0.2">
      <c r="A403" s="9">
        <v>45412</v>
      </c>
      <c r="B403" s="1" t="s">
        <v>1340</v>
      </c>
      <c r="C403" s="1" t="s">
        <v>2</v>
      </c>
      <c r="D403" s="5">
        <f t="shared" si="18"/>
        <v>1942.2927799544955</v>
      </c>
      <c r="E403" s="5">
        <f t="shared" si="19"/>
        <v>1893.313438403432</v>
      </c>
      <c r="F403" s="1">
        <v>2</v>
      </c>
      <c r="G403" s="1">
        <v>1000</v>
      </c>
      <c r="H403" s="6">
        <v>1.0151000000000001</v>
      </c>
      <c r="I403" s="4">
        <f t="shared" si="20"/>
        <v>48.979341551063584</v>
      </c>
      <c r="J403" s="6">
        <v>8.8749999999999996E-2</v>
      </c>
      <c r="K403" s="99">
        <v>1.0723</v>
      </c>
      <c r="L403" s="1" t="s">
        <v>887</v>
      </c>
      <c r="M403" s="1">
        <v>2</v>
      </c>
      <c r="N403" s="9">
        <v>45304</v>
      </c>
      <c r="O403" s="1" t="s">
        <v>1070</v>
      </c>
      <c r="P403" s="1" t="s">
        <v>109</v>
      </c>
      <c r="Q403" s="1" t="s">
        <v>1341</v>
      </c>
      <c r="R403" s="1" t="s">
        <v>1342</v>
      </c>
      <c r="S403" s="1" t="b">
        <v>1</v>
      </c>
      <c r="T403" s="96"/>
      <c r="U403" s="97"/>
      <c r="V403" s="97"/>
      <c r="W403" s="97"/>
      <c r="X403" s="97"/>
      <c r="Y403" s="97" t="str">
        <f>IF(anleihenkäufe[[#This Row],[Verkauft am]]="","",anleihenkäufe[[#This Row],[Gewinn aus Kursänderung]]+anleihenkäufe[[#This Row],[Gewinn aus Zinsen]]+anleihenkäufe[[#This Row],[Gewinn aus Währungseffekten]])</f>
        <v/>
      </c>
      <c r="Z403" s="156" t="str">
        <f>IF(anleihenkäufe[[#This Row],[Verkauft am]]="","",anleihenkäufe[[#This Row],[Gewinn gesamt]]/anleihenkäufe[[#This Row],[Dirty Kaufpreis]])</f>
        <v/>
      </c>
    </row>
    <row r="404" spans="1:26" ht="14.25" x14ac:dyDescent="0.2">
      <c r="A404" s="9">
        <v>45412</v>
      </c>
      <c r="B404" s="1" t="s">
        <v>1337</v>
      </c>
      <c r="C404" s="1" t="s">
        <v>2</v>
      </c>
      <c r="D404" s="5">
        <f t="shared" si="18"/>
        <v>1927.1531300660849</v>
      </c>
      <c r="E404" s="5">
        <f t="shared" si="19"/>
        <v>1860.4868040660263</v>
      </c>
      <c r="F404" s="1">
        <v>2</v>
      </c>
      <c r="G404" s="1">
        <v>1000</v>
      </c>
      <c r="H404" s="6">
        <v>0.99750000000000005</v>
      </c>
      <c r="I404" s="4">
        <f t="shared" si="20"/>
        <v>66.66632600005876</v>
      </c>
      <c r="J404" s="6">
        <v>8.8749999999999996E-2</v>
      </c>
      <c r="K404" s="99">
        <v>1.0723</v>
      </c>
      <c r="L404" s="1" t="s">
        <v>887</v>
      </c>
      <c r="M404" s="1">
        <v>2</v>
      </c>
      <c r="N404" s="9">
        <v>45265</v>
      </c>
      <c r="O404" s="1" t="s">
        <v>35</v>
      </c>
      <c r="P404" s="1" t="s">
        <v>1011</v>
      </c>
      <c r="Q404" s="1" t="s">
        <v>1338</v>
      </c>
      <c r="R404" s="1" t="s">
        <v>1339</v>
      </c>
      <c r="S404" s="1" t="b">
        <v>1</v>
      </c>
      <c r="T404" s="96"/>
      <c r="U404" s="97"/>
      <c r="V404" s="97"/>
      <c r="W404" s="97"/>
      <c r="X404" s="97"/>
      <c r="Y404" s="97" t="str">
        <f>IF(anleihenkäufe[[#This Row],[Verkauft am]]="","",anleihenkäufe[[#This Row],[Gewinn aus Kursänderung]]+anleihenkäufe[[#This Row],[Gewinn aus Zinsen]]+anleihenkäufe[[#This Row],[Gewinn aus Währungseffekten]])</f>
        <v/>
      </c>
      <c r="Z404" s="156" t="str">
        <f>IF(anleihenkäufe[[#This Row],[Verkauft am]]="","",anleihenkäufe[[#This Row],[Gewinn gesamt]]/anleihenkäufe[[#This Row],[Dirty Kaufpreis]])</f>
        <v/>
      </c>
    </row>
    <row r="405" spans="1:26" ht="14.25" x14ac:dyDescent="0.2">
      <c r="A405" s="9">
        <v>45412</v>
      </c>
      <c r="B405" s="1" t="s">
        <v>1351</v>
      </c>
      <c r="C405" s="1" t="s">
        <v>5</v>
      </c>
      <c r="D405" s="5">
        <f t="shared" si="18"/>
        <v>1850.1518308488091</v>
      </c>
      <c r="E405" s="5">
        <f t="shared" si="19"/>
        <v>1781.2179427399049</v>
      </c>
      <c r="F405" s="1">
        <v>2</v>
      </c>
      <c r="G405" s="1">
        <v>1000</v>
      </c>
      <c r="H405" s="6">
        <v>0.95499999999999996</v>
      </c>
      <c r="I405" s="4">
        <f t="shared" si="20"/>
        <v>68.933888108904299</v>
      </c>
      <c r="J405" s="6">
        <v>8.8749999999999996E-2</v>
      </c>
      <c r="K405" s="99">
        <v>1.0723</v>
      </c>
      <c r="L405" s="1" t="s">
        <v>887</v>
      </c>
      <c r="M405" s="1">
        <v>2</v>
      </c>
      <c r="N405" s="9">
        <v>45260</v>
      </c>
      <c r="O405" s="1" t="s">
        <v>276</v>
      </c>
      <c r="P405" s="1" t="s">
        <v>39</v>
      </c>
      <c r="Q405" s="1" t="s">
        <v>1359</v>
      </c>
      <c r="R405" s="1" t="s">
        <v>1360</v>
      </c>
      <c r="S405" s="1" t="b">
        <v>1</v>
      </c>
      <c r="T405" s="96"/>
      <c r="U405" s="97"/>
      <c r="V405" s="97"/>
      <c r="W405" s="97"/>
      <c r="X405" s="97"/>
      <c r="Y405" s="97" t="str">
        <f>IF(anleihenkäufe[[#This Row],[Verkauft am]]="","",anleihenkäufe[[#This Row],[Gewinn aus Kursänderung]]+anleihenkäufe[[#This Row],[Gewinn aus Zinsen]]+anleihenkäufe[[#This Row],[Gewinn aus Währungseffekten]])</f>
        <v/>
      </c>
      <c r="Z405" s="156" t="str">
        <f>IF(anleihenkäufe[[#This Row],[Verkauft am]]="","",anleihenkäufe[[#This Row],[Gewinn gesamt]]/anleihenkäufe[[#This Row],[Dirty Kaufpreis]])</f>
        <v/>
      </c>
    </row>
    <row r="406" spans="1:26" ht="14.25" x14ac:dyDescent="0.2">
      <c r="A406" s="9">
        <v>45412</v>
      </c>
      <c r="B406" s="1" t="s">
        <v>1348</v>
      </c>
      <c r="C406" s="1" t="s">
        <v>4</v>
      </c>
      <c r="D406" s="5">
        <f t="shared" si="18"/>
        <v>2462.0090728034347</v>
      </c>
      <c r="E406" s="5">
        <f t="shared" si="19"/>
        <v>2386.2724983679936</v>
      </c>
      <c r="F406" s="1">
        <v>2</v>
      </c>
      <c r="G406" s="1">
        <v>1000</v>
      </c>
      <c r="H406" s="6">
        <v>1.2793999999999999</v>
      </c>
      <c r="I406" s="4">
        <f t="shared" si="20"/>
        <v>75.7365744354409</v>
      </c>
      <c r="J406" s="6">
        <v>8.8749999999999996E-2</v>
      </c>
      <c r="K406" s="99">
        <v>1.0723</v>
      </c>
      <c r="L406" s="1" t="s">
        <v>887</v>
      </c>
      <c r="M406" s="1">
        <v>2</v>
      </c>
      <c r="N406" s="9">
        <v>45245</v>
      </c>
      <c r="O406" s="1" t="s">
        <v>276</v>
      </c>
      <c r="P406" s="1" t="s">
        <v>57</v>
      </c>
      <c r="Q406" s="1" t="s">
        <v>1349</v>
      </c>
      <c r="R406" s="1" t="s">
        <v>1350</v>
      </c>
      <c r="S406" s="1" t="b">
        <v>1</v>
      </c>
      <c r="T406" s="9"/>
      <c r="U406" s="4"/>
      <c r="V406" s="4"/>
      <c r="W406" s="4"/>
      <c r="X406" s="4"/>
      <c r="Y406" s="4" t="str">
        <f>IF(anleihenkäufe[[#This Row],[Verkauft am]]="","",anleihenkäufe[[#This Row],[Gewinn aus Kursänderung]]+anleihenkäufe[[#This Row],[Gewinn aus Zinsen]]+anleihenkäufe[[#This Row],[Gewinn aus Währungseffekten]])</f>
        <v/>
      </c>
      <c r="Z406" s="156" t="str">
        <f>IF(anleihenkäufe[[#This Row],[Verkauft am]]="","",anleihenkäufe[[#This Row],[Gewinn gesamt]]/anleihenkäufe[[#This Row],[Dirty Kaufpreis]])</f>
        <v/>
      </c>
    </row>
    <row r="407" spans="1:26" ht="14.25" x14ac:dyDescent="0.2">
      <c r="A407" s="9">
        <v>45412</v>
      </c>
      <c r="B407" s="1" t="s">
        <v>1333</v>
      </c>
      <c r="C407" s="1" t="s">
        <v>9</v>
      </c>
      <c r="D407" s="5">
        <f t="shared" si="18"/>
        <v>1938.2221546566782</v>
      </c>
      <c r="E407" s="5">
        <f t="shared" si="19"/>
        <v>1916.4412944138767</v>
      </c>
      <c r="F407" s="1">
        <v>2</v>
      </c>
      <c r="G407" s="1">
        <v>1000</v>
      </c>
      <c r="H407" s="6">
        <v>1.0275000000000001</v>
      </c>
      <c r="I407" s="4">
        <f t="shared" si="20"/>
        <v>21.780860242801605</v>
      </c>
      <c r="J407" s="6">
        <v>8.8800000000000004E-2</v>
      </c>
      <c r="K407" s="99">
        <v>1.0723</v>
      </c>
      <c r="L407" s="1" t="s">
        <v>887</v>
      </c>
      <c r="M407" s="1">
        <v>2</v>
      </c>
      <c r="N407" s="9">
        <v>45364</v>
      </c>
      <c r="O407" s="1" t="s">
        <v>35</v>
      </c>
      <c r="P407" s="1" t="s">
        <v>1011</v>
      </c>
      <c r="Q407" s="1" t="s">
        <v>1549</v>
      </c>
      <c r="R407" s="1" t="s">
        <v>1550</v>
      </c>
      <c r="S407" s="1" t="b">
        <v>1</v>
      </c>
      <c r="T407" s="96"/>
      <c r="U407" s="97"/>
      <c r="V407" s="97"/>
      <c r="W407" s="97"/>
      <c r="X407" s="97"/>
      <c r="Y407" s="97" t="str">
        <f>IF(anleihenkäufe[[#This Row],[Verkauft am]]="","",anleihenkäufe[[#This Row],[Gewinn aus Kursänderung]]+anleihenkäufe[[#This Row],[Gewinn aus Zinsen]]+anleihenkäufe[[#This Row],[Gewinn aus Währungseffekten]])</f>
        <v/>
      </c>
      <c r="Z407" s="156" t="str">
        <f>IF(anleihenkäufe[[#This Row],[Verkauft am]]="","",anleihenkäufe[[#This Row],[Gewinn gesamt]]/anleihenkäufe[[#This Row],[Dirty Kaufpreis]])</f>
        <v/>
      </c>
    </row>
    <row r="408" spans="1:26" ht="14.25" x14ac:dyDescent="0.2">
      <c r="A408" s="9">
        <v>45412</v>
      </c>
      <c r="B408" s="1" t="s">
        <v>1054</v>
      </c>
      <c r="C408" s="1" t="s">
        <v>11</v>
      </c>
      <c r="D408" s="5">
        <f t="shared" si="18"/>
        <v>877.70622359567631</v>
      </c>
      <c r="E408" s="5">
        <f t="shared" si="19"/>
        <v>861.69915135689632</v>
      </c>
      <c r="F408" s="1">
        <v>2</v>
      </c>
      <c r="G408" s="1">
        <v>1000</v>
      </c>
      <c r="H408" s="6">
        <v>0.46200000000000002</v>
      </c>
      <c r="I408" s="4">
        <f t="shared" si="20"/>
        <v>16.007072238780037</v>
      </c>
      <c r="J408" s="6">
        <v>8.9499999999999996E-2</v>
      </c>
      <c r="K408" s="99">
        <v>1.0723</v>
      </c>
      <c r="L408" s="1" t="s">
        <v>887</v>
      </c>
      <c r="M408" s="1">
        <v>2</v>
      </c>
      <c r="N408" s="9">
        <v>45377</v>
      </c>
      <c r="O408" s="1" t="s">
        <v>1055</v>
      </c>
      <c r="P408" s="1" t="s">
        <v>109</v>
      </c>
      <c r="Q408" s="1" t="s">
        <v>1331</v>
      </c>
      <c r="R408" s="1" t="s">
        <v>1332</v>
      </c>
      <c r="S408" s="1" t="b">
        <v>1</v>
      </c>
      <c r="T408" s="96" t="s">
        <v>164</v>
      </c>
      <c r="U408" s="97"/>
      <c r="V408" s="97"/>
      <c r="W408" s="97"/>
      <c r="X408" s="97"/>
      <c r="Y408" s="97" t="str">
        <f>IF(anleihenkäufe[[#This Row],[Verkauft am]]="","",anleihenkäufe[[#This Row],[Gewinn aus Kursänderung]]+anleihenkäufe[[#This Row],[Gewinn aus Zinsen]]+anleihenkäufe[[#This Row],[Gewinn aus Währungseffekten]])</f>
        <v/>
      </c>
      <c r="Z408" s="156" t="str">
        <f>IF(anleihenkäufe[[#This Row],[Verkauft am]]="","",anleihenkäufe[[#This Row],[Gewinn gesamt]]/anleihenkäufe[[#This Row],[Dirty Kaufpreis]])</f>
        <v/>
      </c>
    </row>
    <row r="409" spans="1:26" ht="14.25" x14ac:dyDescent="0.2">
      <c r="A409" s="9">
        <v>45412</v>
      </c>
      <c r="B409" s="1" t="s">
        <v>1328</v>
      </c>
      <c r="C409" s="1" t="s">
        <v>11</v>
      </c>
      <c r="D409" s="5">
        <f t="shared" si="18"/>
        <v>1656.6029492359912</v>
      </c>
      <c r="E409" s="5">
        <f t="shared" si="19"/>
        <v>1650.6574652615873</v>
      </c>
      <c r="F409" s="1">
        <v>2</v>
      </c>
      <c r="G409" s="1">
        <v>1000</v>
      </c>
      <c r="H409" s="6">
        <v>0.88500000000000001</v>
      </c>
      <c r="I409" s="4">
        <f t="shared" si="20"/>
        <v>5.9454839744040147</v>
      </c>
      <c r="J409" s="6">
        <v>8.9499999999999996E-2</v>
      </c>
      <c r="K409" s="99">
        <v>1.0723</v>
      </c>
      <c r="L409" s="1" t="s">
        <v>887</v>
      </c>
      <c r="M409" s="1">
        <v>4</v>
      </c>
      <c r="N409" s="9">
        <v>45399</v>
      </c>
      <c r="O409" s="1" t="s">
        <v>1105</v>
      </c>
      <c r="P409" s="1" t="s">
        <v>52</v>
      </c>
      <c r="Q409" s="1" t="s">
        <v>1329</v>
      </c>
      <c r="R409" s="1" t="s">
        <v>1330</v>
      </c>
      <c r="S409" s="1" t="b">
        <v>1</v>
      </c>
      <c r="T409" s="96"/>
      <c r="U409" s="97"/>
      <c r="V409" s="97"/>
      <c r="W409" s="97"/>
      <c r="X409" s="97"/>
      <c r="Y409" s="97" t="str">
        <f>IF(anleihenkäufe[[#This Row],[Verkauft am]]="","",anleihenkäufe[[#This Row],[Gewinn aus Kursänderung]]+anleihenkäufe[[#This Row],[Gewinn aus Zinsen]]+anleihenkäufe[[#This Row],[Gewinn aus Währungseffekten]])</f>
        <v/>
      </c>
      <c r="Z409" s="156" t="str">
        <f>IF(anleihenkäufe[[#This Row],[Verkauft am]]="","",anleihenkäufe[[#This Row],[Gewinn gesamt]]/anleihenkäufe[[#This Row],[Dirty Kaufpreis]])</f>
        <v/>
      </c>
    </row>
    <row r="410" spans="1:26" ht="14.25" x14ac:dyDescent="0.2">
      <c r="A410" s="9">
        <v>45412</v>
      </c>
      <c r="B410" s="1" t="s">
        <v>1324</v>
      </c>
      <c r="C410" s="1" t="s">
        <v>11</v>
      </c>
      <c r="D410" s="5">
        <f t="shared" si="18"/>
        <v>1794.0465955269622</v>
      </c>
      <c r="E410" s="5">
        <f t="shared" si="19"/>
        <v>1787.1864217103421</v>
      </c>
      <c r="F410" s="1">
        <v>2</v>
      </c>
      <c r="G410" s="1">
        <v>1000</v>
      </c>
      <c r="H410" s="6">
        <v>0.95819999999999994</v>
      </c>
      <c r="I410" s="4">
        <f t="shared" si="20"/>
        <v>6.8601738166200157</v>
      </c>
      <c r="J410" s="6">
        <v>8.9499999999999996E-2</v>
      </c>
      <c r="K410" s="99">
        <v>1.0723</v>
      </c>
      <c r="L410" s="1" t="s">
        <v>887</v>
      </c>
      <c r="M410" s="1">
        <v>2</v>
      </c>
      <c r="N410" s="9">
        <v>45397</v>
      </c>
      <c r="O410" s="1" t="s">
        <v>1325</v>
      </c>
      <c r="P410" s="1" t="s">
        <v>39</v>
      </c>
      <c r="Q410" s="1" t="s">
        <v>1326</v>
      </c>
      <c r="R410" s="1" t="s">
        <v>1327</v>
      </c>
      <c r="S410" s="1" t="b">
        <v>1</v>
      </c>
      <c r="T410" s="96"/>
      <c r="U410" s="97"/>
      <c r="V410" s="97"/>
      <c r="W410" s="97"/>
      <c r="X410" s="97"/>
      <c r="Y410" s="97" t="str">
        <f>IF(anleihenkäufe[[#This Row],[Verkauft am]]="","",anleihenkäufe[[#This Row],[Gewinn aus Kursänderung]]+anleihenkäufe[[#This Row],[Gewinn aus Zinsen]]+anleihenkäufe[[#This Row],[Gewinn aus Währungseffekten]])</f>
        <v/>
      </c>
      <c r="Z410" s="156" t="str">
        <f>IF(anleihenkäufe[[#This Row],[Verkauft am]]="","",anleihenkäufe[[#This Row],[Gewinn gesamt]]/anleihenkäufe[[#This Row],[Dirty Kaufpreis]])</f>
        <v/>
      </c>
    </row>
    <row r="411" spans="1:26" ht="14.25" x14ac:dyDescent="0.2">
      <c r="A411" s="9">
        <v>45412</v>
      </c>
      <c r="B411" s="1" t="s">
        <v>1320</v>
      </c>
      <c r="C411" s="1" t="s">
        <v>11</v>
      </c>
      <c r="D411" s="5">
        <f t="shared" si="18"/>
        <v>1404.7627746784212</v>
      </c>
      <c r="E411" s="5">
        <f t="shared" si="19"/>
        <v>1363.0513848736359</v>
      </c>
      <c r="F411" s="1">
        <v>2</v>
      </c>
      <c r="G411" s="1">
        <v>1000</v>
      </c>
      <c r="H411" s="6">
        <v>0.73080000000000001</v>
      </c>
      <c r="I411" s="4">
        <f t="shared" si="20"/>
        <v>41.711389804785256</v>
      </c>
      <c r="J411" s="6">
        <v>8.9700000000000002E-2</v>
      </c>
      <c r="K411" s="99">
        <v>1.0723</v>
      </c>
      <c r="L411" s="1" t="s">
        <v>887</v>
      </c>
      <c r="M411" s="1">
        <v>2</v>
      </c>
      <c r="N411" s="9">
        <v>45321</v>
      </c>
      <c r="O411" s="1" t="s">
        <v>1321</v>
      </c>
      <c r="P411" s="1" t="s">
        <v>52</v>
      </c>
      <c r="Q411" s="1" t="s">
        <v>1322</v>
      </c>
      <c r="R411" s="1" t="s">
        <v>1323</v>
      </c>
      <c r="S411" s="1" t="b">
        <v>1</v>
      </c>
      <c r="T411" s="96" t="s">
        <v>164</v>
      </c>
      <c r="U411" s="97"/>
      <c r="V411" s="97"/>
      <c r="W411" s="97"/>
      <c r="X411" s="97"/>
      <c r="Y411" s="97" t="str">
        <f>IF(anleihenkäufe[[#This Row],[Verkauft am]]="","",anleihenkäufe[[#This Row],[Gewinn aus Kursänderung]]+anleihenkäufe[[#This Row],[Gewinn aus Zinsen]]+anleihenkäufe[[#This Row],[Gewinn aus Währungseffekten]])</f>
        <v/>
      </c>
      <c r="Z411" s="156" t="str">
        <f>IF(anleihenkäufe[[#This Row],[Verkauft am]]="","",anleihenkäufe[[#This Row],[Gewinn gesamt]]/anleihenkäufe[[#This Row],[Dirty Kaufpreis]])</f>
        <v/>
      </c>
    </row>
    <row r="412" spans="1:26" ht="14.25" x14ac:dyDescent="0.2">
      <c r="A412" s="9">
        <v>45412</v>
      </c>
      <c r="B412" s="1" t="s">
        <v>1314</v>
      </c>
      <c r="C412" s="1" t="s">
        <v>1</v>
      </c>
      <c r="D412" s="5">
        <f t="shared" si="18"/>
        <v>1537.9513247033965</v>
      </c>
      <c r="E412" s="5">
        <f t="shared" si="19"/>
        <v>1534.2721253380585</v>
      </c>
      <c r="F412" s="1">
        <v>2</v>
      </c>
      <c r="G412" s="1">
        <v>1000</v>
      </c>
      <c r="H412" s="6">
        <v>0.8226</v>
      </c>
      <c r="I412" s="4">
        <f t="shared" si="20"/>
        <v>3.6791993653381092</v>
      </c>
      <c r="J412" s="6">
        <v>0.09</v>
      </c>
      <c r="K412" s="99">
        <v>1.0723</v>
      </c>
      <c r="L412" s="1" t="s">
        <v>887</v>
      </c>
      <c r="M412" s="1">
        <v>2</v>
      </c>
      <c r="N412" s="9">
        <v>45404</v>
      </c>
      <c r="O412" s="1" t="s">
        <v>176</v>
      </c>
      <c r="P412" s="1" t="s">
        <v>39</v>
      </c>
      <c r="Q412" s="1" t="s">
        <v>1315</v>
      </c>
      <c r="R412" s="1" t="s">
        <v>1316</v>
      </c>
      <c r="S412" s="1" t="b">
        <v>1</v>
      </c>
      <c r="T412" s="9"/>
      <c r="U412" s="97"/>
      <c r="V412" s="4"/>
      <c r="W412" s="4"/>
      <c r="X412" s="4"/>
      <c r="Y412" s="4" t="str">
        <f>IF(anleihenkäufe[[#This Row],[Verkauft am]]="","",anleihenkäufe[[#This Row],[Gewinn aus Kursänderung]]+anleihenkäufe[[#This Row],[Gewinn aus Zinsen]]+anleihenkäufe[[#This Row],[Gewinn aus Währungseffekten]])</f>
        <v/>
      </c>
      <c r="Z412" s="156" t="str">
        <f>IF(anleihenkäufe[[#This Row],[Verkauft am]]="","",anleihenkäufe[[#This Row],[Gewinn gesamt]]/anleihenkäufe[[#This Row],[Dirty Kaufpreis]])</f>
        <v/>
      </c>
    </row>
    <row r="413" spans="1:26" ht="14.25" x14ac:dyDescent="0.2">
      <c r="A413" s="9">
        <v>45412</v>
      </c>
      <c r="B413" s="1" t="s">
        <v>1299</v>
      </c>
      <c r="C413" s="1" t="s">
        <v>7</v>
      </c>
      <c r="D413" s="5">
        <f t="shared" si="18"/>
        <v>1988.6302519612814</v>
      </c>
      <c r="E413" s="5">
        <f t="shared" si="19"/>
        <v>1942.1803599738878</v>
      </c>
      <c r="F413" s="1">
        <v>2</v>
      </c>
      <c r="G413" s="1">
        <v>1000</v>
      </c>
      <c r="H413" s="6">
        <v>1.0412999999999999</v>
      </c>
      <c r="I413" s="4">
        <f t="shared" si="20"/>
        <v>46.449891987393627</v>
      </c>
      <c r="J413" s="6">
        <v>0.09</v>
      </c>
      <c r="K413" s="99">
        <v>1.0723</v>
      </c>
      <c r="L413" s="1" t="s">
        <v>887</v>
      </c>
      <c r="M413" s="1">
        <v>2</v>
      </c>
      <c r="N413" s="9">
        <v>45311</v>
      </c>
      <c r="O413" s="1" t="s">
        <v>35</v>
      </c>
      <c r="P413" s="1" t="s">
        <v>52</v>
      </c>
      <c r="Q413" s="1" t="s">
        <v>1310</v>
      </c>
      <c r="R413" s="1" t="s">
        <v>1311</v>
      </c>
      <c r="S413" s="1" t="b">
        <v>1</v>
      </c>
      <c r="T413" s="96"/>
      <c r="U413" s="97"/>
      <c r="V413" s="97"/>
      <c r="W413" s="97"/>
      <c r="X413" s="97"/>
      <c r="Y413" s="97" t="str">
        <f>IF(anleihenkäufe[[#This Row],[Verkauft am]]="","",anleihenkäufe[[#This Row],[Gewinn aus Kursänderung]]+anleihenkäufe[[#This Row],[Gewinn aus Zinsen]]+anleihenkäufe[[#This Row],[Gewinn aus Währungseffekten]])</f>
        <v/>
      </c>
      <c r="Z413" s="156" t="str">
        <f>IF(anleihenkäufe[[#This Row],[Verkauft am]]="","",anleihenkäufe[[#This Row],[Gewinn gesamt]]/anleihenkäufe[[#This Row],[Dirty Kaufpreis]])</f>
        <v/>
      </c>
    </row>
    <row r="414" spans="1:26" ht="14.25" x14ac:dyDescent="0.2">
      <c r="A414" s="9">
        <v>45412</v>
      </c>
      <c r="B414" s="1" t="s">
        <v>1307</v>
      </c>
      <c r="C414" s="1" t="s">
        <v>4</v>
      </c>
      <c r="D414" s="5">
        <f t="shared" si="18"/>
        <v>1923.7843631471976</v>
      </c>
      <c r="E414" s="5">
        <f t="shared" si="19"/>
        <v>1875.0349715564676</v>
      </c>
      <c r="F414" s="1">
        <v>2</v>
      </c>
      <c r="G414" s="1">
        <v>1000</v>
      </c>
      <c r="H414" s="6">
        <v>1.0053000000000001</v>
      </c>
      <c r="I414" s="4">
        <f t="shared" si="20"/>
        <v>48.74939159072995</v>
      </c>
      <c r="J414" s="6">
        <v>0.09</v>
      </c>
      <c r="K414" s="99">
        <v>1.0723</v>
      </c>
      <c r="L414" s="1" t="s">
        <v>887</v>
      </c>
      <c r="M414" s="1">
        <v>2</v>
      </c>
      <c r="N414" s="9">
        <v>45306</v>
      </c>
      <c r="O414" s="1" t="s">
        <v>65</v>
      </c>
      <c r="P414" s="1" t="s">
        <v>39</v>
      </c>
      <c r="Q414" s="1" t="s">
        <v>1308</v>
      </c>
      <c r="R414" s="1" t="s">
        <v>1309</v>
      </c>
      <c r="S414" s="1" t="b">
        <v>1</v>
      </c>
      <c r="T414" s="96"/>
      <c r="U414" s="97"/>
      <c r="V414" s="97"/>
      <c r="W414" s="97"/>
      <c r="X414" s="97"/>
      <c r="Y414" s="97" t="str">
        <f>IF(anleihenkäufe[[#This Row],[Verkauft am]]="","",anleihenkäufe[[#This Row],[Gewinn aus Kursänderung]]+anleihenkäufe[[#This Row],[Gewinn aus Zinsen]]+anleihenkäufe[[#This Row],[Gewinn aus Währungseffekten]])</f>
        <v/>
      </c>
      <c r="Z414" s="156" t="str">
        <f>IF(anleihenkäufe[[#This Row],[Verkauft am]]="","",anleihenkäufe[[#This Row],[Gewinn gesamt]]/anleihenkäufe[[#This Row],[Dirty Kaufpreis]])</f>
        <v/>
      </c>
    </row>
    <row r="415" spans="1:26" ht="14.25" x14ac:dyDescent="0.2">
      <c r="A415" s="9">
        <v>45412</v>
      </c>
      <c r="B415" s="1" t="s">
        <v>1301</v>
      </c>
      <c r="C415" s="1" t="s">
        <v>0</v>
      </c>
      <c r="D415" s="5">
        <f t="shared" si="18"/>
        <v>2003.6127693767976</v>
      </c>
      <c r="E415" s="5">
        <f t="shared" si="19"/>
        <v>1954.8633777860675</v>
      </c>
      <c r="F415" s="1">
        <v>2</v>
      </c>
      <c r="G415" s="1">
        <v>1000</v>
      </c>
      <c r="H415" s="6">
        <v>1.0481</v>
      </c>
      <c r="I415" s="4">
        <f t="shared" si="20"/>
        <v>48.74939159072995</v>
      </c>
      <c r="J415" s="6">
        <v>0.09</v>
      </c>
      <c r="K415" s="99">
        <v>1.0723</v>
      </c>
      <c r="L415" s="1" t="s">
        <v>887</v>
      </c>
      <c r="M415" s="1">
        <v>2</v>
      </c>
      <c r="N415" s="9">
        <v>45306</v>
      </c>
      <c r="O415" s="1" t="s">
        <v>276</v>
      </c>
      <c r="P415" s="1" t="s">
        <v>39</v>
      </c>
      <c r="Q415" s="1" t="s">
        <v>1302</v>
      </c>
      <c r="R415" s="1" t="s">
        <v>1303</v>
      </c>
      <c r="S415" s="1" t="b">
        <v>1</v>
      </c>
      <c r="T415" s="96"/>
      <c r="U415" s="97"/>
      <c r="V415" s="97"/>
      <c r="W415" s="97"/>
      <c r="X415" s="97"/>
      <c r="Y415" s="97" t="str">
        <f>IF(anleihenkäufe[[#This Row],[Verkauft am]]="","",anleihenkäufe[[#This Row],[Gewinn aus Kursänderung]]+anleihenkäufe[[#This Row],[Gewinn aus Zinsen]]+anleihenkäufe[[#This Row],[Gewinn aus Währungseffekten]])</f>
        <v/>
      </c>
      <c r="Z415" s="156" t="str">
        <f>IF(anleihenkäufe[[#This Row],[Verkauft am]]="","",anleihenkäufe[[#This Row],[Gewinn gesamt]]/anleihenkäufe[[#This Row],[Dirty Kaufpreis]])</f>
        <v/>
      </c>
    </row>
    <row r="416" spans="1:26" ht="14.25" x14ac:dyDescent="0.2">
      <c r="A416" s="9">
        <v>45412</v>
      </c>
      <c r="B416" s="1" t="s">
        <v>1300</v>
      </c>
      <c r="C416" s="1" t="s">
        <v>0</v>
      </c>
      <c r="D416" s="5">
        <f t="shared" si="18"/>
        <v>1915.585369561524</v>
      </c>
      <c r="E416" s="5">
        <f t="shared" si="19"/>
        <v>1853.9587801921107</v>
      </c>
      <c r="F416" s="1">
        <v>2</v>
      </c>
      <c r="G416" s="1">
        <v>1000</v>
      </c>
      <c r="H416" s="6">
        <v>0.99400000000000011</v>
      </c>
      <c r="I416" s="4">
        <f t="shared" si="20"/>
        <v>61.626589369413331</v>
      </c>
      <c r="J416" s="6">
        <v>0.09</v>
      </c>
      <c r="K416" s="99">
        <v>1.0723</v>
      </c>
      <c r="L416" s="1" t="s">
        <v>887</v>
      </c>
      <c r="M416" s="1">
        <v>2</v>
      </c>
      <c r="N416" s="9">
        <v>45278</v>
      </c>
      <c r="O416" s="1" t="s">
        <v>995</v>
      </c>
      <c r="P416" s="1" t="s">
        <v>52</v>
      </c>
      <c r="Q416" s="1" t="s">
        <v>1312</v>
      </c>
      <c r="R416" s="1" t="s">
        <v>1313</v>
      </c>
      <c r="S416" s="1" t="b">
        <v>1</v>
      </c>
      <c r="T416" s="96"/>
      <c r="U416" s="97"/>
      <c r="V416" s="97"/>
      <c r="W416" s="97"/>
      <c r="X416" s="97"/>
      <c r="Y416" s="97" t="str">
        <f>IF(anleihenkäufe[[#This Row],[Verkauft am]]="","",anleihenkäufe[[#This Row],[Gewinn aus Kursänderung]]+anleihenkäufe[[#This Row],[Gewinn aus Zinsen]]+anleihenkäufe[[#This Row],[Gewinn aus Währungseffekten]])</f>
        <v/>
      </c>
      <c r="Z416" s="156" t="str">
        <f>IF(anleihenkäufe[[#This Row],[Verkauft am]]="","",anleihenkäufe[[#This Row],[Gewinn gesamt]]/anleihenkäufe[[#This Row],[Dirty Kaufpreis]])</f>
        <v/>
      </c>
    </row>
    <row r="417" spans="1:26" ht="14.25" x14ac:dyDescent="0.2">
      <c r="A417" s="9">
        <v>45412</v>
      </c>
      <c r="B417" s="1" t="s">
        <v>1304</v>
      </c>
      <c r="C417" s="1" t="s">
        <v>6</v>
      </c>
      <c r="D417" s="5">
        <f t="shared" si="18"/>
        <v>1823.3345554747891</v>
      </c>
      <c r="E417" s="5">
        <f t="shared" si="19"/>
        <v>1760.328266343374</v>
      </c>
      <c r="F417" s="1">
        <v>2</v>
      </c>
      <c r="G417" s="1">
        <v>1000</v>
      </c>
      <c r="H417" s="6">
        <v>0.94379999999999997</v>
      </c>
      <c r="I417" s="4">
        <f t="shared" si="20"/>
        <v>63.006289131415123</v>
      </c>
      <c r="J417" s="6">
        <v>0.09</v>
      </c>
      <c r="K417" s="99">
        <v>1.0723</v>
      </c>
      <c r="L417" s="1" t="s">
        <v>887</v>
      </c>
      <c r="M417" s="1">
        <v>2</v>
      </c>
      <c r="N417" s="9">
        <v>45275</v>
      </c>
      <c r="O417" s="1" t="s">
        <v>1096</v>
      </c>
      <c r="P417" s="1" t="s">
        <v>39</v>
      </c>
      <c r="Q417" s="1" t="s">
        <v>1305</v>
      </c>
      <c r="R417" s="1" t="s">
        <v>1306</v>
      </c>
      <c r="S417" s="1" t="b">
        <v>1</v>
      </c>
      <c r="T417" s="96"/>
      <c r="U417" s="97"/>
      <c r="V417" s="97"/>
      <c r="W417" s="97"/>
      <c r="X417" s="97"/>
      <c r="Y417" s="97" t="str">
        <f>IF(anleihenkäufe[[#This Row],[Verkauft am]]="","",anleihenkäufe[[#This Row],[Gewinn aus Kursänderung]]+anleihenkäufe[[#This Row],[Gewinn aus Zinsen]]+anleihenkäufe[[#This Row],[Gewinn aus Währungseffekten]])</f>
        <v/>
      </c>
      <c r="Z417" s="156" t="str">
        <f>IF(anleihenkäufe[[#This Row],[Verkauft am]]="","",anleihenkäufe[[#This Row],[Gewinn gesamt]]/anleihenkäufe[[#This Row],[Dirty Kaufpreis]])</f>
        <v/>
      </c>
    </row>
    <row r="418" spans="1:26" ht="14.25" x14ac:dyDescent="0.2">
      <c r="A418" s="9">
        <v>45412</v>
      </c>
      <c r="B418" s="1" t="s">
        <v>1317</v>
      </c>
      <c r="C418" s="1" t="s">
        <v>4</v>
      </c>
      <c r="D418" s="5">
        <f t="shared" si="18"/>
        <v>1900.7970321125122</v>
      </c>
      <c r="E418" s="5">
        <f t="shared" si="19"/>
        <v>1828.5927445677517</v>
      </c>
      <c r="F418" s="1">
        <v>2</v>
      </c>
      <c r="G418" s="1">
        <v>1000</v>
      </c>
      <c r="H418" s="6">
        <v>0.98040000000000005</v>
      </c>
      <c r="I418" s="4">
        <f t="shared" si="20"/>
        <v>72.204287544760405</v>
      </c>
      <c r="J418" s="6">
        <v>0.09</v>
      </c>
      <c r="K418" s="99">
        <v>1.0723</v>
      </c>
      <c r="L418" s="1" t="s">
        <v>887</v>
      </c>
      <c r="M418" s="1">
        <v>2</v>
      </c>
      <c r="N418" s="9">
        <v>45255</v>
      </c>
      <c r="O418" s="1" t="s">
        <v>1004</v>
      </c>
      <c r="P418" s="1" t="s">
        <v>52</v>
      </c>
      <c r="Q418" s="1" t="s">
        <v>1318</v>
      </c>
      <c r="R418" s="1" t="s">
        <v>1319</v>
      </c>
      <c r="S418" s="1" t="b">
        <v>1</v>
      </c>
      <c r="T418" s="96"/>
      <c r="U418" s="97"/>
      <c r="V418" s="97"/>
      <c r="W418" s="97"/>
      <c r="X418" s="97"/>
      <c r="Y418" s="97" t="str">
        <f>IF(anleihenkäufe[[#This Row],[Verkauft am]]="","",anleihenkäufe[[#This Row],[Gewinn aus Kursänderung]]+anleihenkäufe[[#This Row],[Gewinn aus Zinsen]]+anleihenkäufe[[#This Row],[Gewinn aus Währungseffekten]])</f>
        <v/>
      </c>
      <c r="Z418" s="156" t="str">
        <f>IF(anleihenkäufe[[#This Row],[Verkauft am]]="","",anleihenkäufe[[#This Row],[Gewinn gesamt]]/anleihenkäufe[[#This Row],[Dirty Kaufpreis]])</f>
        <v/>
      </c>
    </row>
    <row r="419" spans="1:26" ht="14.25" x14ac:dyDescent="0.2">
      <c r="A419" s="9">
        <v>45412</v>
      </c>
      <c r="B419" s="1" t="s">
        <v>1283</v>
      </c>
      <c r="C419" s="1" t="s">
        <v>4</v>
      </c>
      <c r="D419" s="5">
        <f t="shared" si="18"/>
        <v>1910.8458453790915</v>
      </c>
      <c r="E419" s="5">
        <f t="shared" si="19"/>
        <v>1910.8458453790915</v>
      </c>
      <c r="F419" s="1">
        <v>2</v>
      </c>
      <c r="G419" s="1">
        <v>1000</v>
      </c>
      <c r="H419" s="6">
        <v>1.0245</v>
      </c>
      <c r="I419" s="4">
        <f t="shared" si="20"/>
        <v>0</v>
      </c>
      <c r="J419" s="6">
        <v>9.1249999999999998E-2</v>
      </c>
      <c r="K419" s="99">
        <v>1.0723</v>
      </c>
      <c r="L419" s="1" t="s">
        <v>887</v>
      </c>
      <c r="M419" s="1">
        <v>2</v>
      </c>
      <c r="N419" s="9">
        <v>45412</v>
      </c>
      <c r="O419" s="1" t="s">
        <v>122</v>
      </c>
      <c r="P419" s="1" t="s">
        <v>52</v>
      </c>
      <c r="Q419" s="1" t="s">
        <v>1284</v>
      </c>
      <c r="R419" s="1" t="s">
        <v>1285</v>
      </c>
      <c r="S419" s="1" t="b">
        <v>1</v>
      </c>
      <c r="T419" s="96"/>
      <c r="U419" s="97"/>
      <c r="V419" s="97"/>
      <c r="W419" s="97"/>
      <c r="X419" s="97"/>
      <c r="Y419" s="97" t="str">
        <f>IF(anleihenkäufe[[#This Row],[Verkauft am]]="","",anleihenkäufe[[#This Row],[Gewinn aus Kursänderung]]+anleihenkäufe[[#This Row],[Gewinn aus Zinsen]]+anleihenkäufe[[#This Row],[Gewinn aus Währungseffekten]])</f>
        <v/>
      </c>
      <c r="Z419" s="156" t="str">
        <f>IF(anleihenkäufe[[#This Row],[Verkauft am]]="","",anleihenkäufe[[#This Row],[Gewinn gesamt]]/anleihenkäufe[[#This Row],[Dirty Kaufpreis]])</f>
        <v/>
      </c>
    </row>
    <row r="420" spans="1:26" ht="14.25" x14ac:dyDescent="0.2">
      <c r="A420" s="9">
        <v>45412</v>
      </c>
      <c r="B420" s="1" t="s">
        <v>1293</v>
      </c>
      <c r="C420" s="1" t="s">
        <v>7</v>
      </c>
      <c r="D420" s="5">
        <f t="shared" si="18"/>
        <v>1863.750816002984</v>
      </c>
      <c r="E420" s="5">
        <f t="shared" si="19"/>
        <v>1856.7565047095027</v>
      </c>
      <c r="F420" s="1">
        <v>2</v>
      </c>
      <c r="G420" s="1">
        <v>1000</v>
      </c>
      <c r="H420" s="6">
        <v>0.99549999999999994</v>
      </c>
      <c r="I420" s="4">
        <f t="shared" si="20"/>
        <v>6.9943112934813021</v>
      </c>
      <c r="J420" s="6">
        <v>9.1249999999999998E-2</v>
      </c>
      <c r="K420" s="99">
        <v>1.0723</v>
      </c>
      <c r="L420" s="1" t="s">
        <v>887</v>
      </c>
      <c r="M420" s="1">
        <v>2</v>
      </c>
      <c r="N420" s="9">
        <v>45397</v>
      </c>
      <c r="O420" s="1" t="s">
        <v>1105</v>
      </c>
      <c r="P420" s="1" t="s">
        <v>39</v>
      </c>
      <c r="Q420" s="1" t="s">
        <v>1294</v>
      </c>
      <c r="R420" s="1" t="s">
        <v>1295</v>
      </c>
      <c r="S420" s="1" t="b">
        <v>1</v>
      </c>
      <c r="T420" s="96"/>
      <c r="U420" s="97"/>
      <c r="V420" s="97"/>
      <c r="W420" s="97"/>
      <c r="X420" s="97"/>
      <c r="Y420" s="97" t="str">
        <f>IF(anleihenkäufe[[#This Row],[Verkauft am]]="","",anleihenkäufe[[#This Row],[Gewinn aus Kursänderung]]+anleihenkäufe[[#This Row],[Gewinn aus Zinsen]]+anleihenkäufe[[#This Row],[Gewinn aus Währungseffekten]])</f>
        <v/>
      </c>
      <c r="Z420" s="156" t="str">
        <f>IF(anleihenkäufe[[#This Row],[Verkauft am]]="","",anleihenkäufe[[#This Row],[Gewinn gesamt]]/anleihenkäufe[[#This Row],[Dirty Kaufpreis]])</f>
        <v/>
      </c>
    </row>
    <row r="421" spans="1:26" ht="14.25" x14ac:dyDescent="0.2">
      <c r="A421" s="9">
        <v>45412</v>
      </c>
      <c r="B421" s="1" t="s">
        <v>1296</v>
      </c>
      <c r="C421" s="1" t="s">
        <v>1</v>
      </c>
      <c r="D421" s="5">
        <f t="shared" si="18"/>
        <v>1964.7486710808539</v>
      </c>
      <c r="E421" s="5">
        <f t="shared" si="19"/>
        <v>1922.7828033199662</v>
      </c>
      <c r="F421" s="1">
        <v>2</v>
      </c>
      <c r="G421" s="1">
        <v>1000</v>
      </c>
      <c r="H421" s="6">
        <v>1.0308999999999999</v>
      </c>
      <c r="I421" s="4">
        <f t="shared" si="20"/>
        <v>41.965867760887811</v>
      </c>
      <c r="J421" s="6">
        <v>9.1249999999999998E-2</v>
      </c>
      <c r="K421" s="99">
        <v>1.0723</v>
      </c>
      <c r="L421" s="1" t="s">
        <v>887</v>
      </c>
      <c r="M421" s="1">
        <v>2</v>
      </c>
      <c r="N421" s="9">
        <v>45322</v>
      </c>
      <c r="O421" s="1" t="s">
        <v>276</v>
      </c>
      <c r="P421" s="1" t="s">
        <v>39</v>
      </c>
      <c r="Q421" s="1" t="s">
        <v>1297</v>
      </c>
      <c r="R421" s="1" t="s">
        <v>1298</v>
      </c>
      <c r="S421" s="1" t="b">
        <v>1</v>
      </c>
      <c r="T421" s="96"/>
      <c r="U421" s="97"/>
      <c r="V421" s="97"/>
      <c r="W421" s="97"/>
      <c r="X421" s="97"/>
      <c r="Y421" s="97" t="str">
        <f>IF(anleihenkäufe[[#This Row],[Verkauft am]]="","",anleihenkäufe[[#This Row],[Gewinn aus Kursänderung]]+anleihenkäufe[[#This Row],[Gewinn aus Zinsen]]+anleihenkäufe[[#This Row],[Gewinn aus Währungseffekten]])</f>
        <v/>
      </c>
      <c r="Z421" s="156" t="str">
        <f>IF(anleihenkäufe[[#This Row],[Verkauft am]]="","",anleihenkäufe[[#This Row],[Gewinn gesamt]]/anleihenkäufe[[#This Row],[Dirty Kaufpreis]])</f>
        <v/>
      </c>
    </row>
    <row r="422" spans="1:26" ht="14.25" x14ac:dyDescent="0.2">
      <c r="A422" s="9">
        <v>45412</v>
      </c>
      <c r="B422" s="1" t="s">
        <v>1288</v>
      </c>
      <c r="C422" s="1" t="s">
        <v>10</v>
      </c>
      <c r="D422" s="5">
        <f t="shared" si="18"/>
        <v>2026.6716403991422</v>
      </c>
      <c r="E422" s="5">
        <f t="shared" si="19"/>
        <v>1977.2451739252076</v>
      </c>
      <c r="F422" s="1">
        <v>2</v>
      </c>
      <c r="G422" s="1">
        <v>1000</v>
      </c>
      <c r="H422" s="6">
        <v>1.0601</v>
      </c>
      <c r="I422" s="4">
        <f t="shared" si="20"/>
        <v>49.426466473934532</v>
      </c>
      <c r="J422" s="6">
        <v>9.1249999999999998E-2</v>
      </c>
      <c r="K422" s="99">
        <v>1.0723</v>
      </c>
      <c r="L422" s="1" t="s">
        <v>887</v>
      </c>
      <c r="M422" s="1">
        <v>2</v>
      </c>
      <c r="N422" s="9">
        <v>45306</v>
      </c>
      <c r="O422" s="1" t="s">
        <v>981</v>
      </c>
      <c r="P422" s="1" t="s">
        <v>39</v>
      </c>
      <c r="Q422" s="1" t="s">
        <v>1289</v>
      </c>
      <c r="R422" s="1" t="s">
        <v>1290</v>
      </c>
      <c r="S422" s="1" t="b">
        <v>1</v>
      </c>
      <c r="T422" s="96"/>
      <c r="U422" s="97"/>
      <c r="V422" s="97"/>
      <c r="W422" s="97"/>
      <c r="X422" s="97"/>
      <c r="Y422" s="97" t="str">
        <f>IF(anleihenkäufe[[#This Row],[Verkauft am]]="","",anleihenkäufe[[#This Row],[Gewinn aus Kursänderung]]+anleihenkäufe[[#This Row],[Gewinn aus Zinsen]]+anleihenkäufe[[#This Row],[Gewinn aus Währungseffekten]])</f>
        <v/>
      </c>
      <c r="Z422" s="156" t="str">
        <f>IF(anleihenkäufe[[#This Row],[Verkauft am]]="","",anleihenkäufe[[#This Row],[Gewinn gesamt]]/anleihenkäufe[[#This Row],[Dirty Kaufpreis]])</f>
        <v/>
      </c>
    </row>
    <row r="423" spans="1:26" ht="14.25" x14ac:dyDescent="0.2">
      <c r="A423" s="9">
        <v>45412</v>
      </c>
      <c r="B423" s="1" t="s">
        <v>1282</v>
      </c>
      <c r="C423" s="1" t="s">
        <v>7</v>
      </c>
      <c r="D423" s="5">
        <f t="shared" si="18"/>
        <v>2081.227268488296</v>
      </c>
      <c r="E423" s="5">
        <f t="shared" si="19"/>
        <v>2017.3458920078333</v>
      </c>
      <c r="F423" s="1">
        <v>2</v>
      </c>
      <c r="G423" s="1">
        <v>1000</v>
      </c>
      <c r="H423" s="6">
        <v>1.0815999999999999</v>
      </c>
      <c r="I423" s="4">
        <f t="shared" si="20"/>
        <v>63.881376480462556</v>
      </c>
      <c r="J423" s="6">
        <v>9.1249999999999998E-2</v>
      </c>
      <c r="K423" s="99">
        <v>1.0723</v>
      </c>
      <c r="L423" s="1" t="s">
        <v>887</v>
      </c>
      <c r="M423" s="1">
        <v>2</v>
      </c>
      <c r="N423" s="9">
        <v>45275</v>
      </c>
      <c r="O423" s="1" t="s">
        <v>102</v>
      </c>
      <c r="P423" s="1" t="s">
        <v>39</v>
      </c>
      <c r="Q423" s="1" t="s">
        <v>1286</v>
      </c>
      <c r="R423" s="1" t="s">
        <v>1287</v>
      </c>
      <c r="S423" s="1" t="b">
        <v>1</v>
      </c>
      <c r="T423" s="96"/>
      <c r="U423" s="97"/>
      <c r="V423" s="97"/>
      <c r="W423" s="97"/>
      <c r="X423" s="97"/>
      <c r="Y423" s="97" t="str">
        <f>IF(anleihenkäufe[[#This Row],[Verkauft am]]="","",anleihenkäufe[[#This Row],[Gewinn aus Kursänderung]]+anleihenkäufe[[#This Row],[Gewinn aus Zinsen]]+anleihenkäufe[[#This Row],[Gewinn aus Währungseffekten]])</f>
        <v/>
      </c>
      <c r="Z423" s="156" t="str">
        <f>IF(anleihenkäufe[[#This Row],[Verkauft am]]="","",anleihenkäufe[[#This Row],[Gewinn gesamt]]/anleihenkäufe[[#This Row],[Dirty Kaufpreis]])</f>
        <v/>
      </c>
    </row>
    <row r="424" spans="1:26" ht="14.25" x14ac:dyDescent="0.2">
      <c r="A424" s="9">
        <v>45412</v>
      </c>
      <c r="B424" s="1" t="s">
        <v>1281</v>
      </c>
      <c r="C424" s="1" t="s">
        <v>2</v>
      </c>
      <c r="D424" s="5">
        <f t="shared" si="18"/>
        <v>2057.0735801548076</v>
      </c>
      <c r="E424" s="5">
        <f t="shared" si="19"/>
        <v>1992.7259162547796</v>
      </c>
      <c r="F424" s="1">
        <v>2</v>
      </c>
      <c r="G424" s="1">
        <v>1000</v>
      </c>
      <c r="H424" s="6">
        <v>1.0684</v>
      </c>
      <c r="I424" s="4">
        <f t="shared" si="20"/>
        <v>64.347663900027982</v>
      </c>
      <c r="J424" s="6">
        <v>9.1249999999999998E-2</v>
      </c>
      <c r="K424" s="99">
        <v>1.0723</v>
      </c>
      <c r="L424" s="1" t="s">
        <v>887</v>
      </c>
      <c r="M424" s="1">
        <v>2</v>
      </c>
      <c r="N424" s="9">
        <v>45274</v>
      </c>
      <c r="O424" s="1" t="s">
        <v>1020</v>
      </c>
      <c r="P424" s="1" t="s">
        <v>52</v>
      </c>
      <c r="Q424" s="1" t="s">
        <v>1291</v>
      </c>
      <c r="R424" s="1" t="s">
        <v>1292</v>
      </c>
      <c r="S424" s="1" t="b">
        <v>1</v>
      </c>
      <c r="T424" s="96"/>
      <c r="U424" s="97"/>
      <c r="V424" s="97"/>
      <c r="W424" s="97"/>
      <c r="X424" s="97"/>
      <c r="Y424" s="97" t="str">
        <f>IF(anleihenkäufe[[#This Row],[Verkauft am]]="","",anleihenkäufe[[#This Row],[Gewinn aus Kursänderung]]+anleihenkäufe[[#This Row],[Gewinn aus Zinsen]]+anleihenkäufe[[#This Row],[Gewinn aus Währungseffekten]])</f>
        <v/>
      </c>
      <c r="Z424" s="156" t="str">
        <f>IF(anleihenkäufe[[#This Row],[Verkauft am]]="","",anleihenkäufe[[#This Row],[Gewinn gesamt]]/anleihenkäufe[[#This Row],[Dirty Kaufpreis]])</f>
        <v/>
      </c>
    </row>
    <row r="425" spans="1:26" ht="14.25" x14ac:dyDescent="0.2">
      <c r="A425" s="9">
        <v>45412</v>
      </c>
      <c r="B425" s="1" t="s">
        <v>1278</v>
      </c>
      <c r="C425" s="1" t="s">
        <v>0</v>
      </c>
      <c r="D425" s="5">
        <f t="shared" si="18"/>
        <v>1772.2943512792242</v>
      </c>
      <c r="E425" s="5">
        <f t="shared" si="19"/>
        <v>1719.1084584537907</v>
      </c>
      <c r="F425" s="1">
        <v>2</v>
      </c>
      <c r="G425" s="1">
        <v>1000</v>
      </c>
      <c r="H425" s="6">
        <v>0.92169999999999996</v>
      </c>
      <c r="I425" s="4">
        <f t="shared" si="20"/>
        <v>53.185892825433484</v>
      </c>
      <c r="J425" s="6">
        <v>9.1300000000000006E-2</v>
      </c>
      <c r="K425" s="99">
        <v>1.0723</v>
      </c>
      <c r="L425" s="1" t="s">
        <v>887</v>
      </c>
      <c r="M425" s="1">
        <v>2</v>
      </c>
      <c r="N425" s="9">
        <v>45298</v>
      </c>
      <c r="O425" s="1" t="s">
        <v>1274</v>
      </c>
      <c r="P425" s="1" t="s">
        <v>52</v>
      </c>
      <c r="Q425" s="1" t="s">
        <v>1279</v>
      </c>
      <c r="R425" s="1" t="s">
        <v>1280</v>
      </c>
      <c r="S425" s="1" t="b">
        <v>1</v>
      </c>
      <c r="T425" s="96"/>
      <c r="U425" s="97"/>
      <c r="V425" s="97"/>
      <c r="W425" s="97"/>
      <c r="X425" s="97"/>
      <c r="Y425" s="97" t="str">
        <f>IF(anleihenkäufe[[#This Row],[Verkauft am]]="","",anleihenkäufe[[#This Row],[Gewinn aus Kursänderung]]+anleihenkäufe[[#This Row],[Gewinn aus Zinsen]]+anleihenkäufe[[#This Row],[Gewinn aus Währungseffekten]])</f>
        <v/>
      </c>
      <c r="Z425" s="156" t="str">
        <f>IF(anleihenkäufe[[#This Row],[Verkauft am]]="","",anleihenkäufe[[#This Row],[Gewinn gesamt]]/anleihenkäufe[[#This Row],[Dirty Kaufpreis]])</f>
        <v/>
      </c>
    </row>
    <row r="426" spans="1:26" ht="14.25" x14ac:dyDescent="0.2">
      <c r="A426" s="9">
        <v>45412</v>
      </c>
      <c r="B426" s="1" t="s">
        <v>1275</v>
      </c>
      <c r="C426" s="1" t="s">
        <v>0</v>
      </c>
      <c r="D426" s="5">
        <f t="shared" si="18"/>
        <v>2003.498611996489</v>
      </c>
      <c r="E426" s="5">
        <f t="shared" si="19"/>
        <v>1945.7241443625846</v>
      </c>
      <c r="F426" s="1">
        <v>2</v>
      </c>
      <c r="G426" s="1">
        <v>1000</v>
      </c>
      <c r="H426" s="6">
        <v>1.0431999999999999</v>
      </c>
      <c r="I426" s="4">
        <f t="shared" si="20"/>
        <v>57.774467633904329</v>
      </c>
      <c r="J426" s="6">
        <v>9.1920000000000002E-2</v>
      </c>
      <c r="K426" s="99">
        <v>1.0723</v>
      </c>
      <c r="L426" s="1" t="s">
        <v>887</v>
      </c>
      <c r="M426" s="1">
        <v>2</v>
      </c>
      <c r="N426" s="9">
        <v>45289</v>
      </c>
      <c r="O426" s="1" t="s">
        <v>1004</v>
      </c>
      <c r="P426" s="1" t="s">
        <v>109</v>
      </c>
      <c r="Q426" s="1" t="s">
        <v>1276</v>
      </c>
      <c r="R426" s="1" t="s">
        <v>1277</v>
      </c>
      <c r="S426" s="1" t="b">
        <v>1</v>
      </c>
      <c r="T426" s="96"/>
      <c r="U426" s="97"/>
      <c r="V426" s="97"/>
      <c r="W426" s="97"/>
      <c r="X426" s="97"/>
      <c r="Y426" s="97" t="str">
        <f>IF(anleihenkäufe[[#This Row],[Verkauft am]]="","",anleihenkäufe[[#This Row],[Gewinn aus Kursänderung]]+anleihenkäufe[[#This Row],[Gewinn aus Zinsen]]+anleihenkäufe[[#This Row],[Gewinn aus Währungseffekten]])</f>
        <v/>
      </c>
      <c r="Z426" s="156" t="str">
        <f>IF(anleihenkäufe[[#This Row],[Verkauft am]]="","",anleihenkäufe[[#This Row],[Gewinn gesamt]]/anleihenkäufe[[#This Row],[Dirty Kaufpreis]])</f>
        <v/>
      </c>
    </row>
    <row r="427" spans="1:26" ht="14.25" x14ac:dyDescent="0.2">
      <c r="A427" s="9">
        <v>45412</v>
      </c>
      <c r="B427" s="1" t="s">
        <v>1264</v>
      </c>
      <c r="C427" s="1" t="s">
        <v>0</v>
      </c>
      <c r="D427" s="5">
        <f t="shared" si="18"/>
        <v>1506.6193651081594</v>
      </c>
      <c r="E427" s="5">
        <f t="shared" si="19"/>
        <v>1503.3106406789143</v>
      </c>
      <c r="F427" s="1">
        <v>2</v>
      </c>
      <c r="G427" s="1">
        <v>1000</v>
      </c>
      <c r="H427" s="6">
        <v>0.80599999999999994</v>
      </c>
      <c r="I427" s="4">
        <f t="shared" si="20"/>
        <v>3.3087244292450357</v>
      </c>
      <c r="J427" s="6">
        <v>9.2499999999999999E-2</v>
      </c>
      <c r="K427" s="99">
        <v>1.0723</v>
      </c>
      <c r="L427" s="1" t="s">
        <v>887</v>
      </c>
      <c r="M427" s="1">
        <v>2</v>
      </c>
      <c r="N427" s="9">
        <v>45405</v>
      </c>
      <c r="O427" s="1" t="s">
        <v>65</v>
      </c>
      <c r="P427" s="1" t="s">
        <v>52</v>
      </c>
      <c r="Q427" s="1" t="s">
        <v>1265</v>
      </c>
      <c r="R427" s="1" t="s">
        <v>1266</v>
      </c>
      <c r="S427" s="1" t="b">
        <v>1</v>
      </c>
      <c r="T427" s="96" t="s">
        <v>164</v>
      </c>
      <c r="U427" s="97"/>
      <c r="V427" s="97"/>
      <c r="W427" s="97"/>
      <c r="X427" s="97"/>
      <c r="Y427" s="97" t="str">
        <f>IF(anleihenkäufe[[#This Row],[Verkauft am]]="","",anleihenkäufe[[#This Row],[Gewinn aus Kursänderung]]+anleihenkäufe[[#This Row],[Gewinn aus Zinsen]]+anleihenkäufe[[#This Row],[Gewinn aus Währungseffekten]])</f>
        <v/>
      </c>
      <c r="Z427" s="156" t="str">
        <f>IF(anleihenkäufe[[#This Row],[Verkauft am]]="","",anleihenkäufe[[#This Row],[Gewinn gesamt]]/anleihenkäufe[[#This Row],[Dirty Kaufpreis]])</f>
        <v/>
      </c>
    </row>
    <row r="428" spans="1:26" ht="14.25" x14ac:dyDescent="0.2">
      <c r="A428" s="9">
        <v>45412</v>
      </c>
      <c r="B428" s="1" t="s">
        <v>1270</v>
      </c>
      <c r="C428" s="1" t="s">
        <v>10</v>
      </c>
      <c r="D428" s="5">
        <f t="shared" si="18"/>
        <v>1905.8099412477852</v>
      </c>
      <c r="E428" s="5">
        <f t="shared" si="19"/>
        <v>1905.8099412477852</v>
      </c>
      <c r="F428" s="1">
        <v>2</v>
      </c>
      <c r="G428" s="1">
        <v>1000</v>
      </c>
      <c r="H428" s="6">
        <v>1.0218</v>
      </c>
      <c r="I428" s="4">
        <f t="shared" si="20"/>
        <v>0</v>
      </c>
      <c r="J428" s="6">
        <v>9.2499999999999999E-2</v>
      </c>
      <c r="K428" s="99">
        <v>1.0723</v>
      </c>
      <c r="L428" s="1" t="s">
        <v>887</v>
      </c>
      <c r="M428" s="1">
        <v>2</v>
      </c>
      <c r="N428" s="9">
        <v>45412</v>
      </c>
      <c r="O428" s="1" t="s">
        <v>1004</v>
      </c>
      <c r="P428" s="1" t="s">
        <v>52</v>
      </c>
      <c r="Q428" s="1" t="s">
        <v>1271</v>
      </c>
      <c r="R428" s="1" t="s">
        <v>1272</v>
      </c>
      <c r="S428" s="1" t="b">
        <v>1</v>
      </c>
      <c r="T428" s="96"/>
      <c r="U428" s="97"/>
      <c r="V428" s="97"/>
      <c r="W428" s="97"/>
      <c r="X428" s="97"/>
      <c r="Y428" s="97" t="str">
        <f>IF(anleihenkäufe[[#This Row],[Verkauft am]]="","",anleihenkäufe[[#This Row],[Gewinn aus Kursänderung]]+anleihenkäufe[[#This Row],[Gewinn aus Zinsen]]+anleihenkäufe[[#This Row],[Gewinn aus Währungseffekten]])</f>
        <v/>
      </c>
      <c r="Z428" s="156" t="str">
        <f>IF(anleihenkäufe[[#This Row],[Verkauft am]]="","",anleihenkäufe[[#This Row],[Gewinn gesamt]]/anleihenkäufe[[#This Row],[Dirty Kaufpreis]])</f>
        <v/>
      </c>
    </row>
    <row r="429" spans="1:26" ht="14.25" x14ac:dyDescent="0.2">
      <c r="A429" s="9">
        <v>45412</v>
      </c>
      <c r="B429" s="1" t="s">
        <v>1254</v>
      </c>
      <c r="C429" s="1" t="s">
        <v>11</v>
      </c>
      <c r="D429" s="5">
        <f t="shared" si="18"/>
        <v>1924.8242479678172</v>
      </c>
      <c r="E429" s="5">
        <f t="shared" si="19"/>
        <v>1918.6794740277908</v>
      </c>
      <c r="F429" s="1">
        <v>2</v>
      </c>
      <c r="G429" s="1">
        <v>1000</v>
      </c>
      <c r="H429" s="6">
        <v>1.0286999999999999</v>
      </c>
      <c r="I429" s="4">
        <f t="shared" si="20"/>
        <v>6.1447739400264956</v>
      </c>
      <c r="J429" s="6">
        <v>9.2499999999999999E-2</v>
      </c>
      <c r="K429" s="99">
        <v>1.0723</v>
      </c>
      <c r="L429" s="1" t="s">
        <v>887</v>
      </c>
      <c r="M429" s="1">
        <v>2</v>
      </c>
      <c r="N429" s="9">
        <v>45399</v>
      </c>
      <c r="O429" s="1" t="s">
        <v>1255</v>
      </c>
      <c r="P429" s="1" t="s">
        <v>52</v>
      </c>
      <c r="Q429" s="1" t="s">
        <v>1256</v>
      </c>
      <c r="R429" s="1" t="s">
        <v>1257</v>
      </c>
      <c r="S429" s="1" t="b">
        <v>1</v>
      </c>
      <c r="T429" s="96"/>
      <c r="U429" s="97"/>
      <c r="V429" s="97"/>
      <c r="W429" s="97"/>
      <c r="X429" s="97"/>
      <c r="Y429" s="97" t="str">
        <f>IF(anleihenkäufe[[#This Row],[Verkauft am]]="","",anleihenkäufe[[#This Row],[Gewinn aus Kursänderung]]+anleihenkäufe[[#This Row],[Gewinn aus Zinsen]]+anleihenkäufe[[#This Row],[Gewinn aus Währungseffekten]])</f>
        <v/>
      </c>
      <c r="Z429" s="156" t="str">
        <f>IF(anleihenkäufe[[#This Row],[Verkauft am]]="","",anleihenkäufe[[#This Row],[Gewinn gesamt]]/anleihenkäufe[[#This Row],[Dirty Kaufpreis]])</f>
        <v/>
      </c>
    </row>
    <row r="430" spans="1:26" ht="14.25" x14ac:dyDescent="0.2">
      <c r="A430" s="9">
        <v>45412</v>
      </c>
      <c r="B430" s="1" t="s">
        <v>1246</v>
      </c>
      <c r="C430" s="1" t="s">
        <v>4</v>
      </c>
      <c r="D430" s="5">
        <f t="shared" si="18"/>
        <v>1837.2746330701259</v>
      </c>
      <c r="E430" s="5">
        <f t="shared" si="19"/>
        <v>1829.7118343747086</v>
      </c>
      <c r="F430" s="1">
        <v>1</v>
      </c>
      <c r="G430" s="1">
        <v>2000</v>
      </c>
      <c r="H430" s="6">
        <v>0.98099999999999998</v>
      </c>
      <c r="I430" s="4">
        <f t="shared" si="20"/>
        <v>7.562798695417225</v>
      </c>
      <c r="J430" s="6">
        <v>9.2499999999999999E-2</v>
      </c>
      <c r="K430" s="99">
        <v>1.0723</v>
      </c>
      <c r="L430" s="1" t="s">
        <v>887</v>
      </c>
      <c r="M430" s="1">
        <v>2</v>
      </c>
      <c r="N430" s="9">
        <v>45396</v>
      </c>
      <c r="O430" s="1" t="s">
        <v>65</v>
      </c>
      <c r="P430" s="1" t="s">
        <v>52</v>
      </c>
      <c r="Q430" s="1" t="s">
        <v>1247</v>
      </c>
      <c r="R430" s="1" t="s">
        <v>1248</v>
      </c>
      <c r="S430" s="1" t="b">
        <v>1</v>
      </c>
      <c r="T430" s="96"/>
      <c r="U430" s="97"/>
      <c r="V430" s="97"/>
      <c r="W430" s="97"/>
      <c r="X430" s="97"/>
      <c r="Y430" s="97" t="str">
        <f>IF(anleihenkäufe[[#This Row],[Verkauft am]]="","",anleihenkäufe[[#This Row],[Gewinn aus Kursänderung]]+anleihenkäufe[[#This Row],[Gewinn aus Zinsen]]+anleihenkäufe[[#This Row],[Gewinn aus Währungseffekten]])</f>
        <v/>
      </c>
      <c r="Z430" s="156" t="str">
        <f>IF(anleihenkäufe[[#This Row],[Verkauft am]]="","",anleihenkäufe[[#This Row],[Gewinn gesamt]]/anleihenkäufe[[#This Row],[Dirty Kaufpreis]])</f>
        <v/>
      </c>
    </row>
    <row r="431" spans="1:26" ht="14.25" x14ac:dyDescent="0.2">
      <c r="A431" s="9">
        <v>45412</v>
      </c>
      <c r="B431" s="1" t="s">
        <v>1258</v>
      </c>
      <c r="C431" s="1" t="s">
        <v>0</v>
      </c>
      <c r="D431" s="5">
        <f t="shared" si="18"/>
        <v>2009.6911133282831</v>
      </c>
      <c r="E431" s="5">
        <f t="shared" si="19"/>
        <v>1961.9509465634619</v>
      </c>
      <c r="F431" s="1">
        <v>2</v>
      </c>
      <c r="G431" s="1">
        <v>1000</v>
      </c>
      <c r="H431" s="6">
        <v>1.0519000000000001</v>
      </c>
      <c r="I431" s="4">
        <f t="shared" si="20"/>
        <v>47.740166764821232</v>
      </c>
      <c r="J431" s="6">
        <v>9.2499999999999999E-2</v>
      </c>
      <c r="K431" s="99">
        <v>1.0723</v>
      </c>
      <c r="L431" s="1" t="s">
        <v>887</v>
      </c>
      <c r="M431" s="1">
        <v>2</v>
      </c>
      <c r="N431" s="9">
        <v>45311</v>
      </c>
      <c r="O431" s="1" t="s">
        <v>276</v>
      </c>
      <c r="P431" s="1" t="s">
        <v>39</v>
      </c>
      <c r="Q431" s="1" t="s">
        <v>1259</v>
      </c>
      <c r="R431" s="1" t="s">
        <v>1260</v>
      </c>
      <c r="S431" s="1" t="b">
        <v>1</v>
      </c>
      <c r="T431" s="96"/>
      <c r="U431" s="97"/>
      <c r="V431" s="97"/>
      <c r="W431" s="97"/>
      <c r="X431" s="97"/>
      <c r="Y431" s="97" t="str">
        <f>IF(anleihenkäufe[[#This Row],[Verkauft am]]="","",anleihenkäufe[[#This Row],[Gewinn aus Kursänderung]]+anleihenkäufe[[#This Row],[Gewinn aus Zinsen]]+anleihenkäufe[[#This Row],[Gewinn aus Währungseffekten]])</f>
        <v/>
      </c>
      <c r="Z431" s="156" t="str">
        <f>IF(anleihenkäufe[[#This Row],[Verkauft am]]="","",anleihenkäufe[[#This Row],[Gewinn gesamt]]/anleihenkäufe[[#This Row],[Dirty Kaufpreis]])</f>
        <v/>
      </c>
    </row>
    <row r="432" spans="1:26" ht="14.25" x14ac:dyDescent="0.2">
      <c r="A432" s="9">
        <v>45412</v>
      </c>
      <c r="B432" s="1" t="s">
        <v>1522</v>
      </c>
      <c r="C432" s="1" t="s">
        <v>10</v>
      </c>
      <c r="D432" s="5">
        <f t="shared" si="18"/>
        <v>2045.8136970971373</v>
      </c>
      <c r="E432" s="5">
        <f t="shared" si="19"/>
        <v>1995.7101557399981</v>
      </c>
      <c r="F432" s="1">
        <v>2</v>
      </c>
      <c r="G432" s="1">
        <v>1000</v>
      </c>
      <c r="H432" s="6">
        <v>1.07</v>
      </c>
      <c r="I432" s="4">
        <f t="shared" si="20"/>
        <v>50.103541357139115</v>
      </c>
      <c r="J432" s="6">
        <v>9.2499999999999999E-2</v>
      </c>
      <c r="K432" s="99">
        <v>1.0723</v>
      </c>
      <c r="L432" s="1" t="s">
        <v>887</v>
      </c>
      <c r="M432" s="1">
        <v>2</v>
      </c>
      <c r="N432" s="9">
        <v>45306</v>
      </c>
      <c r="O432" s="1" t="s">
        <v>1523</v>
      </c>
      <c r="P432" s="1" t="s">
        <v>1011</v>
      </c>
      <c r="Q432" s="1" t="s">
        <v>1524</v>
      </c>
      <c r="R432" s="1" t="s">
        <v>1525</v>
      </c>
      <c r="S432" s="1" t="b">
        <v>1</v>
      </c>
      <c r="T432" s="96"/>
      <c r="U432" s="97"/>
      <c r="V432" s="97"/>
      <c r="W432" s="97"/>
      <c r="X432" s="97"/>
      <c r="Y432" s="97" t="str">
        <f>IF(anleihenkäufe[[#This Row],[Verkauft am]]="","",anleihenkäufe[[#This Row],[Gewinn aus Kursänderung]]+anleihenkäufe[[#This Row],[Gewinn aus Zinsen]]+anleihenkäufe[[#This Row],[Gewinn aus Währungseffekten]])</f>
        <v/>
      </c>
      <c r="Z432" s="156" t="str">
        <f>IF(anleihenkäufe[[#This Row],[Verkauft am]]="","",anleihenkäufe[[#This Row],[Gewinn gesamt]]/anleihenkäufe[[#This Row],[Dirty Kaufpreis]])</f>
        <v/>
      </c>
    </row>
    <row r="433" spans="1:26" ht="14.25" x14ac:dyDescent="0.2">
      <c r="A433" s="9">
        <v>45412</v>
      </c>
      <c r="B433" s="1" t="s">
        <v>1251</v>
      </c>
      <c r="C433" s="1" t="s">
        <v>0</v>
      </c>
      <c r="D433" s="5">
        <f t="shared" si="18"/>
        <v>2046.4779969825456</v>
      </c>
      <c r="E433" s="5">
        <f t="shared" si="19"/>
        <v>1981.7215331530356</v>
      </c>
      <c r="F433" s="1">
        <v>2</v>
      </c>
      <c r="G433" s="1">
        <v>1000</v>
      </c>
      <c r="H433" s="6">
        <v>1.0625</v>
      </c>
      <c r="I433" s="4">
        <f t="shared" si="20"/>
        <v>64.756463829509983</v>
      </c>
      <c r="J433" s="6">
        <v>9.2499999999999999E-2</v>
      </c>
      <c r="K433" s="99">
        <v>1.0723</v>
      </c>
      <c r="L433" s="1" t="s">
        <v>887</v>
      </c>
      <c r="M433" s="1">
        <v>2</v>
      </c>
      <c r="N433" s="9">
        <v>45275</v>
      </c>
      <c r="O433" s="1" t="s">
        <v>276</v>
      </c>
      <c r="P433" s="1" t="s">
        <v>1011</v>
      </c>
      <c r="Q433" s="1" t="s">
        <v>1252</v>
      </c>
      <c r="R433" s="1" t="s">
        <v>1253</v>
      </c>
      <c r="S433" s="1" t="b">
        <v>1</v>
      </c>
      <c r="T433" s="96"/>
      <c r="U433" s="97"/>
      <c r="V433" s="97"/>
      <c r="W433" s="97"/>
      <c r="X433" s="97"/>
      <c r="Y433" s="97" t="str">
        <f>IF(anleihenkäufe[[#This Row],[Verkauft am]]="","",anleihenkäufe[[#This Row],[Gewinn aus Kursänderung]]+anleihenkäufe[[#This Row],[Gewinn aus Zinsen]]+anleihenkäufe[[#This Row],[Gewinn aus Währungseffekten]])</f>
        <v/>
      </c>
      <c r="Z433" s="156" t="str">
        <f>IF(anleihenkäufe[[#This Row],[Verkauft am]]="","",anleihenkäufe[[#This Row],[Gewinn gesamt]]/anleihenkäufe[[#This Row],[Dirty Kaufpreis]])</f>
        <v/>
      </c>
    </row>
    <row r="434" spans="1:26" ht="14.25" x14ac:dyDescent="0.2">
      <c r="A434" s="9">
        <v>45412</v>
      </c>
      <c r="B434" s="1" t="s">
        <v>1250</v>
      </c>
      <c r="C434" s="1" t="s">
        <v>7</v>
      </c>
      <c r="D434" s="5">
        <f t="shared" si="18"/>
        <v>1930.3430470158244</v>
      </c>
      <c r="E434" s="5">
        <f t="shared" si="19"/>
        <v>1860.8598340016786</v>
      </c>
      <c r="F434" s="1">
        <v>2</v>
      </c>
      <c r="G434" s="1">
        <v>1000</v>
      </c>
      <c r="H434" s="6">
        <v>0.99769999999999992</v>
      </c>
      <c r="I434" s="4">
        <f t="shared" si="20"/>
        <v>69.483213014145747</v>
      </c>
      <c r="J434" s="6">
        <v>9.2499999999999999E-2</v>
      </c>
      <c r="K434" s="99">
        <v>1.0723</v>
      </c>
      <c r="L434" s="1" t="s">
        <v>887</v>
      </c>
      <c r="M434" s="1">
        <v>2</v>
      </c>
      <c r="N434" s="9">
        <v>45265</v>
      </c>
      <c r="O434" s="1" t="s">
        <v>995</v>
      </c>
      <c r="P434" s="1" t="s">
        <v>109</v>
      </c>
      <c r="Q434" s="1" t="s">
        <v>1267</v>
      </c>
      <c r="R434" s="1" t="s">
        <v>1268</v>
      </c>
      <c r="S434" s="1" t="b">
        <v>1</v>
      </c>
      <c r="T434" s="96"/>
      <c r="U434" s="97"/>
      <c r="V434" s="97"/>
      <c r="W434" s="97"/>
      <c r="X434" s="97"/>
      <c r="Y434" s="97" t="str">
        <f>IF(anleihenkäufe[[#This Row],[Verkauft am]]="","",anleihenkäufe[[#This Row],[Gewinn aus Kursänderung]]+anleihenkäufe[[#This Row],[Gewinn aus Zinsen]]+anleihenkäufe[[#This Row],[Gewinn aus Währungseffekten]])</f>
        <v/>
      </c>
      <c r="Z434" s="156" t="str">
        <f>IF(anleihenkäufe[[#This Row],[Verkauft am]]="","",anleihenkäufe[[#This Row],[Gewinn gesamt]]/anleihenkäufe[[#This Row],[Dirty Kaufpreis]])</f>
        <v/>
      </c>
    </row>
    <row r="435" spans="1:26" ht="14.25" x14ac:dyDescent="0.2">
      <c r="A435" s="9">
        <v>45412</v>
      </c>
      <c r="B435" s="1" t="s">
        <v>1261</v>
      </c>
      <c r="C435" s="1" t="s">
        <v>0</v>
      </c>
      <c r="D435" s="5">
        <f t="shared" si="18"/>
        <v>2039.479853189725</v>
      </c>
      <c r="E435" s="5">
        <f t="shared" si="19"/>
        <v>1968.1059405017249</v>
      </c>
      <c r="F435" s="1">
        <v>2</v>
      </c>
      <c r="G435" s="1">
        <v>1000</v>
      </c>
      <c r="H435" s="6">
        <v>1.0551999999999999</v>
      </c>
      <c r="I435" s="4">
        <f t="shared" si="20"/>
        <v>71.373912688000061</v>
      </c>
      <c r="J435" s="6">
        <v>9.2499999999999999E-2</v>
      </c>
      <c r="K435" s="99">
        <v>1.0723</v>
      </c>
      <c r="L435" s="1" t="s">
        <v>887</v>
      </c>
      <c r="M435" s="1">
        <v>2</v>
      </c>
      <c r="N435" s="9">
        <v>45261</v>
      </c>
      <c r="O435" s="1" t="s">
        <v>1096</v>
      </c>
      <c r="P435" s="1" t="s">
        <v>39</v>
      </c>
      <c r="Q435" s="1" t="s">
        <v>1262</v>
      </c>
      <c r="R435" s="1" t="s">
        <v>1263</v>
      </c>
      <c r="S435" s="1" t="b">
        <v>1</v>
      </c>
      <c r="T435" s="96"/>
      <c r="U435" s="97"/>
      <c r="V435" s="97"/>
      <c r="W435" s="97"/>
      <c r="X435" s="97"/>
      <c r="Y435" s="97" t="str">
        <f>IF(anleihenkäufe[[#This Row],[Verkauft am]]="","",anleihenkäufe[[#This Row],[Gewinn aus Kursänderung]]+anleihenkäufe[[#This Row],[Gewinn aus Zinsen]]+anleihenkäufe[[#This Row],[Gewinn aus Währungseffekten]])</f>
        <v/>
      </c>
      <c r="Z435" s="156" t="str">
        <f>IF(anleihenkäufe[[#This Row],[Verkauft am]]="","",anleihenkäufe[[#This Row],[Gewinn gesamt]]/anleihenkäufe[[#This Row],[Dirty Kaufpreis]])</f>
        <v/>
      </c>
    </row>
    <row r="436" spans="1:26" ht="14.25" x14ac:dyDescent="0.2">
      <c r="A436" s="9">
        <v>45412</v>
      </c>
      <c r="B436" s="1" t="s">
        <v>1249</v>
      </c>
      <c r="C436" s="1" t="s">
        <v>0</v>
      </c>
      <c r="D436" s="5">
        <f t="shared" si="18"/>
        <v>1956.5701174916549</v>
      </c>
      <c r="E436" s="5">
        <f t="shared" si="19"/>
        <v>1878.5787559451646</v>
      </c>
      <c r="F436" s="1">
        <v>2</v>
      </c>
      <c r="G436" s="1">
        <v>1000</v>
      </c>
      <c r="H436" s="6">
        <v>1.0072000000000001</v>
      </c>
      <c r="I436" s="4">
        <f t="shared" si="20"/>
        <v>77.991361546490126</v>
      </c>
      <c r="J436" s="6">
        <v>9.2499999999999999E-2</v>
      </c>
      <c r="K436" s="99">
        <v>1.0723</v>
      </c>
      <c r="L436" s="1" t="s">
        <v>887</v>
      </c>
      <c r="M436" s="1">
        <v>2</v>
      </c>
      <c r="N436" s="9">
        <v>45247</v>
      </c>
      <c r="O436" s="1" t="s">
        <v>102</v>
      </c>
      <c r="P436" s="1" t="s">
        <v>1533</v>
      </c>
      <c r="Q436" s="1" t="s">
        <v>1534</v>
      </c>
      <c r="R436" s="1" t="s">
        <v>1535</v>
      </c>
      <c r="S436" s="1" t="b">
        <v>1</v>
      </c>
      <c r="T436" s="96"/>
      <c r="U436" s="97"/>
      <c r="V436" s="97"/>
      <c r="W436" s="97"/>
      <c r="X436" s="97"/>
      <c r="Y436" s="97" t="str">
        <f>IF(anleihenkäufe[[#This Row],[Verkauft am]]="","",anleihenkäufe[[#This Row],[Gewinn aus Kursänderung]]+anleihenkäufe[[#This Row],[Gewinn aus Zinsen]]+anleihenkäufe[[#This Row],[Gewinn aus Währungseffekten]])</f>
        <v/>
      </c>
      <c r="Z436" s="156" t="str">
        <f>IF(anleihenkäufe[[#This Row],[Verkauft am]]="","",anleihenkäufe[[#This Row],[Gewinn gesamt]]/anleihenkäufe[[#This Row],[Dirty Kaufpreis]])</f>
        <v/>
      </c>
    </row>
    <row r="437" spans="1:26" ht="14.25" x14ac:dyDescent="0.2">
      <c r="A437" s="9">
        <v>45412</v>
      </c>
      <c r="B437" s="1" t="s">
        <v>1243</v>
      </c>
      <c r="C437" s="1" t="s">
        <v>10</v>
      </c>
      <c r="D437" s="5">
        <f t="shared" si="18"/>
        <v>2116.9218898309737</v>
      </c>
      <c r="E437" s="5">
        <f t="shared" si="19"/>
        <v>2088.4080947496032</v>
      </c>
      <c r="F437" s="1">
        <v>2</v>
      </c>
      <c r="G437" s="1">
        <v>1000</v>
      </c>
      <c r="H437" s="6">
        <v>1.1196999999999999</v>
      </c>
      <c r="I437" s="4">
        <f t="shared" si="20"/>
        <v>28.513795081370354</v>
      </c>
      <c r="J437" s="6">
        <v>9.3000000000000013E-2</v>
      </c>
      <c r="K437" s="99">
        <v>1.0723</v>
      </c>
      <c r="L437" s="1" t="s">
        <v>887</v>
      </c>
      <c r="M437" s="1">
        <v>2</v>
      </c>
      <c r="N437" s="9">
        <v>45352</v>
      </c>
      <c r="O437" s="1" t="s">
        <v>276</v>
      </c>
      <c r="P437" s="1" t="s">
        <v>61</v>
      </c>
      <c r="Q437" s="1" t="s">
        <v>1244</v>
      </c>
      <c r="R437" s="1" t="s">
        <v>1245</v>
      </c>
      <c r="S437" s="1" t="b">
        <v>1</v>
      </c>
      <c r="T437" s="9"/>
      <c r="U437" s="4"/>
      <c r="V437" s="4"/>
      <c r="W437" s="4"/>
      <c r="X437" s="4"/>
      <c r="Y437" s="4" t="str">
        <f>IF(anleihenkäufe[[#This Row],[Verkauft am]]="","",anleihenkäufe[[#This Row],[Gewinn aus Kursänderung]]+anleihenkäufe[[#This Row],[Gewinn aus Zinsen]]+anleihenkäufe[[#This Row],[Gewinn aus Währungseffekten]])</f>
        <v/>
      </c>
      <c r="Z437" s="156" t="str">
        <f>IF(anleihenkäufe[[#This Row],[Verkauft am]]="","",anleihenkäufe[[#This Row],[Gewinn gesamt]]/anleihenkäufe[[#This Row],[Dirty Kaufpreis]])</f>
        <v/>
      </c>
    </row>
    <row r="438" spans="1:26" ht="14.25" x14ac:dyDescent="0.2">
      <c r="A438" s="9">
        <v>45412</v>
      </c>
      <c r="B438" s="1" t="s">
        <v>1240</v>
      </c>
      <c r="C438" s="1" t="s">
        <v>4</v>
      </c>
      <c r="D438" s="5">
        <f t="shared" si="18"/>
        <v>1760.504561312963</v>
      </c>
      <c r="E438" s="5">
        <f t="shared" si="19"/>
        <v>1695.0480276042151</v>
      </c>
      <c r="F438" s="1">
        <v>2</v>
      </c>
      <c r="G438" s="1">
        <v>1000</v>
      </c>
      <c r="H438" s="6">
        <v>0.90879999999999994</v>
      </c>
      <c r="I438" s="4">
        <f t="shared" si="20"/>
        <v>65.456533708747941</v>
      </c>
      <c r="J438" s="6">
        <v>9.35E-2</v>
      </c>
      <c r="K438" s="99">
        <v>1.0723</v>
      </c>
      <c r="L438" s="1" t="s">
        <v>887</v>
      </c>
      <c r="M438" s="1">
        <v>2</v>
      </c>
      <c r="N438" s="9">
        <v>45275</v>
      </c>
      <c r="O438" s="1" t="s">
        <v>986</v>
      </c>
      <c r="P438" s="1" t="s">
        <v>57</v>
      </c>
      <c r="Q438" s="1" t="s">
        <v>1241</v>
      </c>
      <c r="R438" s="1" t="s">
        <v>1242</v>
      </c>
      <c r="S438" s="1" t="b">
        <v>1</v>
      </c>
      <c r="T438" s="96"/>
      <c r="U438" s="97"/>
      <c r="V438" s="97"/>
      <c r="W438" s="97"/>
      <c r="X438" s="97"/>
      <c r="Y438" s="97" t="str">
        <f>IF(anleihenkäufe[[#This Row],[Verkauft am]]="","",anleihenkäufe[[#This Row],[Gewinn aus Kursänderung]]+anleihenkäufe[[#This Row],[Gewinn aus Zinsen]]+anleihenkäufe[[#This Row],[Gewinn aus Währungseffekten]])</f>
        <v/>
      </c>
      <c r="Z438" s="156" t="str">
        <f>IF(anleihenkäufe[[#This Row],[Verkauft am]]="","",anleihenkäufe[[#This Row],[Gewinn gesamt]]/anleihenkäufe[[#This Row],[Dirty Kaufpreis]])</f>
        <v/>
      </c>
    </row>
    <row r="439" spans="1:26" ht="14.25" x14ac:dyDescent="0.2">
      <c r="A439" s="9">
        <v>45412</v>
      </c>
      <c r="B439" s="1" t="s">
        <v>1237</v>
      </c>
      <c r="C439" s="1" t="s">
        <v>0</v>
      </c>
      <c r="D439" s="5">
        <f t="shared" si="18"/>
        <v>1867.8806150905939</v>
      </c>
      <c r="E439" s="5">
        <f t="shared" si="19"/>
        <v>1845.3790916721066</v>
      </c>
      <c r="F439" s="1">
        <v>2</v>
      </c>
      <c r="G439" s="1">
        <v>1000</v>
      </c>
      <c r="H439" s="6">
        <v>0.98939999999999995</v>
      </c>
      <c r="I439" s="4">
        <f t="shared" si="20"/>
        <v>22.50152341848721</v>
      </c>
      <c r="J439" s="6">
        <v>9.3689999999999996E-2</v>
      </c>
      <c r="K439" s="99">
        <v>1.0723</v>
      </c>
      <c r="L439" s="1" t="s">
        <v>887</v>
      </c>
      <c r="M439" s="1">
        <v>2</v>
      </c>
      <c r="N439" s="9">
        <v>45365</v>
      </c>
      <c r="O439" s="1" t="s">
        <v>1004</v>
      </c>
      <c r="P439" s="1" t="s">
        <v>52</v>
      </c>
      <c r="Q439" s="1" t="s">
        <v>1238</v>
      </c>
      <c r="R439" s="1" t="s">
        <v>1239</v>
      </c>
      <c r="S439" s="1" t="b">
        <v>1</v>
      </c>
      <c r="T439" s="96"/>
      <c r="U439" s="97"/>
      <c r="V439" s="97"/>
      <c r="W439" s="97"/>
      <c r="X439" s="97"/>
      <c r="Y439" s="97" t="str">
        <f>IF(anleihenkäufe[[#This Row],[Verkauft am]]="","",anleihenkäufe[[#This Row],[Gewinn aus Kursänderung]]+anleihenkäufe[[#This Row],[Gewinn aus Zinsen]]+anleihenkäufe[[#This Row],[Gewinn aus Währungseffekten]])</f>
        <v/>
      </c>
      <c r="Z439" s="156" t="str">
        <f>IF(anleihenkäufe[[#This Row],[Verkauft am]]="","",anleihenkäufe[[#This Row],[Gewinn gesamt]]/anleihenkäufe[[#This Row],[Dirty Kaufpreis]])</f>
        <v/>
      </c>
    </row>
    <row r="440" spans="1:26" ht="14.25" x14ac:dyDescent="0.2">
      <c r="A440" s="9">
        <v>45412</v>
      </c>
      <c r="B440" s="1" t="s">
        <v>1234</v>
      </c>
      <c r="C440" s="1" t="s">
        <v>0</v>
      </c>
      <c r="D440" s="5">
        <f t="shared" si="18"/>
        <v>1928.6103485147148</v>
      </c>
      <c r="E440" s="5">
        <f t="shared" si="19"/>
        <v>1855.823929870372</v>
      </c>
      <c r="F440" s="1">
        <v>2</v>
      </c>
      <c r="G440" s="1">
        <v>1000</v>
      </c>
      <c r="H440" s="6">
        <v>0.995</v>
      </c>
      <c r="I440" s="4">
        <f t="shared" si="20"/>
        <v>72.786418644342788</v>
      </c>
      <c r="J440" s="6">
        <v>9.3710000000000002E-2</v>
      </c>
      <c r="K440" s="99">
        <v>1.0723</v>
      </c>
      <c r="L440" s="1" t="s">
        <v>887</v>
      </c>
      <c r="M440" s="1">
        <v>2</v>
      </c>
      <c r="N440" s="9">
        <v>45260</v>
      </c>
      <c r="O440" s="1" t="s">
        <v>986</v>
      </c>
      <c r="P440" s="1" t="s">
        <v>39</v>
      </c>
      <c r="Q440" s="1" t="s">
        <v>1235</v>
      </c>
      <c r="R440" s="1" t="s">
        <v>1236</v>
      </c>
      <c r="S440" s="1" t="b">
        <v>1</v>
      </c>
      <c r="T440" s="96"/>
      <c r="U440" s="97"/>
      <c r="V440" s="97"/>
      <c r="W440" s="97"/>
      <c r="X440" s="97"/>
      <c r="Y440" s="97" t="str">
        <f>IF(anleihenkäufe[[#This Row],[Verkauft am]]="","",anleihenkäufe[[#This Row],[Gewinn aus Kursänderung]]+anleihenkäufe[[#This Row],[Gewinn aus Zinsen]]+anleihenkäufe[[#This Row],[Gewinn aus Währungseffekten]])</f>
        <v/>
      </c>
      <c r="Z440" s="156" t="str">
        <f>IF(anleihenkäufe[[#This Row],[Verkauft am]]="","",anleihenkäufe[[#This Row],[Gewinn gesamt]]/anleihenkäufe[[#This Row],[Dirty Kaufpreis]])</f>
        <v/>
      </c>
    </row>
    <row r="441" spans="1:26" ht="14.25" x14ac:dyDescent="0.2">
      <c r="A441" s="9">
        <v>45412</v>
      </c>
      <c r="B441" s="1" t="s">
        <v>1216</v>
      </c>
      <c r="C441" s="1" t="s">
        <v>2</v>
      </c>
      <c r="D441" s="5">
        <f t="shared" si="18"/>
        <v>1346.8169176740814</v>
      </c>
      <c r="E441" s="5">
        <f t="shared" si="19"/>
        <v>1270.1669308962041</v>
      </c>
      <c r="F441" s="1">
        <v>2000</v>
      </c>
      <c r="G441" s="1">
        <v>1</v>
      </c>
      <c r="H441" s="6">
        <v>0.68099999999999994</v>
      </c>
      <c r="I441" s="4">
        <f t="shared" si="20"/>
        <v>76.649986777877274</v>
      </c>
      <c r="J441" s="6">
        <v>9.375E-2</v>
      </c>
      <c r="K441" s="99">
        <v>1.0723</v>
      </c>
      <c r="L441" s="1" t="s">
        <v>887</v>
      </c>
      <c r="M441" s="1">
        <v>2</v>
      </c>
      <c r="N441" s="9">
        <v>45252</v>
      </c>
      <c r="O441" s="1" t="s">
        <v>1020</v>
      </c>
      <c r="P441" s="1" t="s">
        <v>39</v>
      </c>
      <c r="Q441" s="1" t="s">
        <v>1217</v>
      </c>
      <c r="R441" s="1" t="s">
        <v>1218</v>
      </c>
      <c r="S441" s="1" t="b">
        <v>1</v>
      </c>
      <c r="T441" s="96" t="s">
        <v>164</v>
      </c>
      <c r="U441" s="97"/>
      <c r="V441" s="97"/>
      <c r="W441" s="97"/>
      <c r="X441" s="97"/>
      <c r="Y441" s="97" t="str">
        <f>IF(anleihenkäufe[[#This Row],[Verkauft am]]="","",anleihenkäufe[[#This Row],[Gewinn aus Kursänderung]]+anleihenkäufe[[#This Row],[Gewinn aus Zinsen]]+anleihenkäufe[[#This Row],[Gewinn aus Währungseffekten]])</f>
        <v/>
      </c>
      <c r="Z441" s="156" t="str">
        <f>IF(anleihenkäufe[[#This Row],[Verkauft am]]="","",anleihenkäufe[[#This Row],[Gewinn gesamt]]/anleihenkäufe[[#This Row],[Dirty Kaufpreis]])</f>
        <v/>
      </c>
    </row>
    <row r="442" spans="1:26" ht="14.25" x14ac:dyDescent="0.2">
      <c r="A442" s="9">
        <v>45412</v>
      </c>
      <c r="B442" s="1" t="s">
        <v>1213</v>
      </c>
      <c r="C442" s="1" t="s">
        <v>11</v>
      </c>
      <c r="D442" s="5">
        <f t="shared" si="18"/>
        <v>2041.6835403095895</v>
      </c>
      <c r="E442" s="5">
        <f t="shared" si="19"/>
        <v>2027.7907302060992</v>
      </c>
      <c r="F442" s="1">
        <v>2</v>
      </c>
      <c r="G442" s="1">
        <v>1000</v>
      </c>
      <c r="H442" s="6">
        <v>1.0871999999999999</v>
      </c>
      <c r="I442" s="4">
        <f t="shared" si="20"/>
        <v>13.892810103490255</v>
      </c>
      <c r="J442" s="6">
        <v>9.375E-2</v>
      </c>
      <c r="K442" s="99">
        <v>1.0723</v>
      </c>
      <c r="L442" s="1" t="s">
        <v>887</v>
      </c>
      <c r="M442" s="1">
        <v>2</v>
      </c>
      <c r="N442" s="9">
        <v>45383</v>
      </c>
      <c r="O442" s="1" t="s">
        <v>533</v>
      </c>
      <c r="P442" s="1" t="s">
        <v>39</v>
      </c>
      <c r="Q442" s="1" t="s">
        <v>1214</v>
      </c>
      <c r="R442" s="1" t="s">
        <v>1215</v>
      </c>
      <c r="S442" s="1" t="b">
        <v>1</v>
      </c>
      <c r="T442" s="96"/>
      <c r="U442" s="97"/>
      <c r="V442" s="97"/>
      <c r="W442" s="97"/>
      <c r="X442" s="97"/>
      <c r="Y442" s="97" t="str">
        <f>IF(anleihenkäufe[[#This Row],[Verkauft am]]="","",anleihenkäufe[[#This Row],[Gewinn aus Kursänderung]]+anleihenkäufe[[#This Row],[Gewinn aus Zinsen]]+anleihenkäufe[[#This Row],[Gewinn aus Währungseffekten]])</f>
        <v/>
      </c>
      <c r="Z442" s="156" t="str">
        <f>IF(anleihenkäufe[[#This Row],[Verkauft am]]="","",anleihenkäufe[[#This Row],[Gewinn gesamt]]/anleihenkäufe[[#This Row],[Dirty Kaufpreis]])</f>
        <v/>
      </c>
    </row>
    <row r="443" spans="1:26" ht="14.25" x14ac:dyDescent="0.2">
      <c r="A443" s="9">
        <v>45412</v>
      </c>
      <c r="B443" s="1" t="s">
        <v>1228</v>
      </c>
      <c r="C443" s="1" t="s">
        <v>0</v>
      </c>
      <c r="D443" s="5">
        <f t="shared" si="18"/>
        <v>1987.1611272147054</v>
      </c>
      <c r="E443" s="5">
        <f t="shared" si="19"/>
        <v>1944.0455096521493</v>
      </c>
      <c r="F443" s="1">
        <v>2</v>
      </c>
      <c r="G443" s="1">
        <v>1000</v>
      </c>
      <c r="H443" s="6">
        <v>1.0423</v>
      </c>
      <c r="I443" s="4">
        <f t="shared" si="20"/>
        <v>43.115617562555968</v>
      </c>
      <c r="J443" s="6">
        <v>9.375E-2</v>
      </c>
      <c r="K443" s="99">
        <v>1.0723</v>
      </c>
      <c r="L443" s="1" t="s">
        <v>887</v>
      </c>
      <c r="M443" s="1">
        <v>2</v>
      </c>
      <c r="N443" s="9">
        <v>45322</v>
      </c>
      <c r="O443" s="1" t="s">
        <v>1004</v>
      </c>
      <c r="P443" s="1" t="s">
        <v>39</v>
      </c>
      <c r="Q443" s="1" t="s">
        <v>1229</v>
      </c>
      <c r="R443" s="1" t="s">
        <v>1230</v>
      </c>
      <c r="S443" s="1" t="b">
        <v>1</v>
      </c>
      <c r="T443" s="96"/>
      <c r="U443" s="97"/>
      <c r="V443" s="97"/>
      <c r="W443" s="97"/>
      <c r="X443" s="97"/>
      <c r="Y443" s="97" t="str">
        <f>IF(anleihenkäufe[[#This Row],[Verkauft am]]="","",anleihenkäufe[[#This Row],[Gewinn aus Kursänderung]]+anleihenkäufe[[#This Row],[Gewinn aus Zinsen]]+anleihenkäufe[[#This Row],[Gewinn aus Währungseffekten]])</f>
        <v/>
      </c>
      <c r="Z443" s="156" t="str">
        <f>IF(anleihenkäufe[[#This Row],[Verkauft am]]="","",anleihenkäufe[[#This Row],[Gewinn gesamt]]/anleihenkäufe[[#This Row],[Dirty Kaufpreis]])</f>
        <v/>
      </c>
    </row>
    <row r="444" spans="1:26" ht="14.25" x14ac:dyDescent="0.2">
      <c r="A444" s="9">
        <v>45412</v>
      </c>
      <c r="B444" s="1" t="s">
        <v>1231</v>
      </c>
      <c r="C444" s="1" t="s">
        <v>0</v>
      </c>
      <c r="D444" s="5">
        <f t="shared" si="18"/>
        <v>1961.2278816881903</v>
      </c>
      <c r="E444" s="5">
        <f t="shared" si="19"/>
        <v>1911.4053902825701</v>
      </c>
      <c r="F444" s="1">
        <v>2</v>
      </c>
      <c r="G444" s="1">
        <v>1000</v>
      </c>
      <c r="H444" s="6">
        <v>1.0247999999999999</v>
      </c>
      <c r="I444" s="4">
        <f t="shared" si="20"/>
        <v>49.822491405620234</v>
      </c>
      <c r="J444" s="6">
        <v>9.375E-2</v>
      </c>
      <c r="K444" s="99">
        <v>1.0723</v>
      </c>
      <c r="L444" s="1" t="s">
        <v>887</v>
      </c>
      <c r="M444" s="1">
        <v>2</v>
      </c>
      <c r="N444" s="9">
        <v>45308</v>
      </c>
      <c r="O444" s="1" t="s">
        <v>1004</v>
      </c>
      <c r="P444" s="1" t="s">
        <v>39</v>
      </c>
      <c r="Q444" s="1" t="s">
        <v>1232</v>
      </c>
      <c r="R444" s="1" t="s">
        <v>1233</v>
      </c>
      <c r="S444" s="1" t="b">
        <v>1</v>
      </c>
      <c r="T444" s="96"/>
      <c r="U444" s="97"/>
      <c r="V444" s="97"/>
      <c r="W444" s="97"/>
      <c r="X444" s="97"/>
      <c r="Y444" s="97" t="str">
        <f>IF(anleihenkäufe[[#This Row],[Verkauft am]]="","",anleihenkäufe[[#This Row],[Gewinn aus Kursänderung]]+anleihenkäufe[[#This Row],[Gewinn aus Zinsen]]+anleihenkäufe[[#This Row],[Gewinn aus Währungseffekten]])</f>
        <v/>
      </c>
      <c r="Z444" s="156" t="str">
        <f>IF(anleihenkäufe[[#This Row],[Verkauft am]]="","",anleihenkäufe[[#This Row],[Gewinn gesamt]]/anleihenkäufe[[#This Row],[Dirty Kaufpreis]])</f>
        <v/>
      </c>
    </row>
    <row r="445" spans="1:26" ht="14.25" x14ac:dyDescent="0.2">
      <c r="A445" s="9">
        <v>45412</v>
      </c>
      <c r="B445" s="1" t="s">
        <v>1222</v>
      </c>
      <c r="C445" s="1" t="s">
        <v>9</v>
      </c>
      <c r="D445" s="5">
        <f t="shared" si="18"/>
        <v>1979.897263467722</v>
      </c>
      <c r="E445" s="5">
        <f t="shared" si="19"/>
        <v>1922.4097733843141</v>
      </c>
      <c r="F445" s="1">
        <v>2</v>
      </c>
      <c r="G445" s="1">
        <v>1000</v>
      </c>
      <c r="H445" s="6">
        <v>1.0306999999999999</v>
      </c>
      <c r="I445" s="4">
        <f t="shared" si="20"/>
        <v>57.487490083407963</v>
      </c>
      <c r="J445" s="6">
        <v>9.375E-2</v>
      </c>
      <c r="K445" s="99">
        <v>1.0723</v>
      </c>
      <c r="L445" s="1" t="s">
        <v>887</v>
      </c>
      <c r="M445" s="1">
        <v>2</v>
      </c>
      <c r="N445" s="9">
        <v>45292</v>
      </c>
      <c r="O445" s="1" t="s">
        <v>276</v>
      </c>
      <c r="P445" s="1" t="s">
        <v>57</v>
      </c>
      <c r="Q445" s="1" t="s">
        <v>1223</v>
      </c>
      <c r="R445" s="1" t="s">
        <v>1224</v>
      </c>
      <c r="S445" s="1" t="b">
        <v>1</v>
      </c>
      <c r="T445" s="96"/>
      <c r="U445" s="97"/>
      <c r="V445" s="97"/>
      <c r="W445" s="97"/>
      <c r="X445" s="97"/>
      <c r="Y445" s="97" t="str">
        <f>IF(anleihenkäufe[[#This Row],[Verkauft am]]="","",anleihenkäufe[[#This Row],[Gewinn aus Kursänderung]]+anleihenkäufe[[#This Row],[Gewinn aus Zinsen]]+anleihenkäufe[[#This Row],[Gewinn aus Währungseffekten]])</f>
        <v/>
      </c>
      <c r="Z445" s="156" t="str">
        <f>IF(anleihenkäufe[[#This Row],[Verkauft am]]="","",anleihenkäufe[[#This Row],[Gewinn gesamt]]/anleihenkäufe[[#This Row],[Dirty Kaufpreis]])</f>
        <v/>
      </c>
    </row>
    <row r="446" spans="1:26" ht="14.25" x14ac:dyDescent="0.2">
      <c r="A446" s="9">
        <v>45412</v>
      </c>
      <c r="B446" s="1" t="s">
        <v>1225</v>
      </c>
      <c r="C446" s="1" t="s">
        <v>11</v>
      </c>
      <c r="D446" s="5">
        <f t="shared" si="18"/>
        <v>1640.0043945992418</v>
      </c>
      <c r="E446" s="5">
        <f t="shared" si="19"/>
        <v>1574.3728434206844</v>
      </c>
      <c r="F446" s="1">
        <v>2</v>
      </c>
      <c r="G446" s="1">
        <v>1000</v>
      </c>
      <c r="H446" s="6">
        <v>0.84409999999999996</v>
      </c>
      <c r="I446" s="4">
        <f t="shared" si="20"/>
        <v>65.63155117855743</v>
      </c>
      <c r="J446" s="6">
        <v>9.375E-2</v>
      </c>
      <c r="K446" s="99">
        <v>1.0723</v>
      </c>
      <c r="L446" s="1" t="s">
        <v>887</v>
      </c>
      <c r="M446" s="1">
        <v>2</v>
      </c>
      <c r="N446" s="9">
        <v>45275</v>
      </c>
      <c r="O446" s="1" t="s">
        <v>1532</v>
      </c>
      <c r="P446" s="1" t="s">
        <v>61</v>
      </c>
      <c r="Q446" s="1" t="s">
        <v>1226</v>
      </c>
      <c r="R446" s="1" t="s">
        <v>1227</v>
      </c>
      <c r="S446" s="1" t="b">
        <v>1</v>
      </c>
      <c r="T446" s="9"/>
      <c r="U446" s="4"/>
      <c r="V446" s="4"/>
      <c r="W446" s="4"/>
      <c r="X446" s="4"/>
      <c r="Y446" s="4" t="str">
        <f>IF(anleihenkäufe[[#This Row],[Verkauft am]]="","",anleihenkäufe[[#This Row],[Gewinn aus Kursänderung]]+anleihenkäufe[[#This Row],[Gewinn aus Zinsen]]+anleihenkäufe[[#This Row],[Gewinn aus Währungseffekten]])</f>
        <v/>
      </c>
      <c r="Z446" s="156" t="str">
        <f>IF(anleihenkäufe[[#This Row],[Verkauft am]]="","",anleihenkäufe[[#This Row],[Gewinn gesamt]]/anleihenkäufe[[#This Row],[Dirty Kaufpreis]])</f>
        <v/>
      </c>
    </row>
    <row r="447" spans="1:26" ht="14.25" x14ac:dyDescent="0.2">
      <c r="A447" s="9">
        <v>45412</v>
      </c>
      <c r="B447" s="1" t="s">
        <v>1219</v>
      </c>
      <c r="C447" s="1" t="s">
        <v>4</v>
      </c>
      <c r="D447" s="5">
        <f t="shared" si="18"/>
        <v>2007.8042461537675</v>
      </c>
      <c r="E447" s="5">
        <f t="shared" si="19"/>
        <v>1935.4658211321459</v>
      </c>
      <c r="F447" s="1">
        <v>2</v>
      </c>
      <c r="G447" s="1">
        <v>1000</v>
      </c>
      <c r="H447" s="6">
        <v>1.0377000000000001</v>
      </c>
      <c r="I447" s="4">
        <f t="shared" si="20"/>
        <v>72.338425021621674</v>
      </c>
      <c r="J447" s="6">
        <v>9.375E-2</v>
      </c>
      <c r="K447" s="99">
        <v>1.0723</v>
      </c>
      <c r="L447" s="1" t="s">
        <v>887</v>
      </c>
      <c r="M447" s="1">
        <v>2</v>
      </c>
      <c r="N447" s="9">
        <v>45261</v>
      </c>
      <c r="O447" s="1" t="s">
        <v>276</v>
      </c>
      <c r="P447" s="1" t="s">
        <v>39</v>
      </c>
      <c r="Q447" s="1" t="s">
        <v>1220</v>
      </c>
      <c r="R447" s="1" t="s">
        <v>1221</v>
      </c>
      <c r="S447" s="1" t="b">
        <v>1</v>
      </c>
      <c r="T447" s="96"/>
      <c r="U447" s="97"/>
      <c r="V447" s="97"/>
      <c r="W447" s="97"/>
      <c r="X447" s="97"/>
      <c r="Y447" s="97" t="str">
        <f>IF(anleihenkäufe[[#This Row],[Verkauft am]]="","",anleihenkäufe[[#This Row],[Gewinn aus Kursänderung]]+anleihenkäufe[[#This Row],[Gewinn aus Zinsen]]+anleihenkäufe[[#This Row],[Gewinn aus Währungseffekten]])</f>
        <v/>
      </c>
      <c r="Z447" s="156" t="str">
        <f>IF(anleihenkäufe[[#This Row],[Verkauft am]]="","",anleihenkäufe[[#This Row],[Gewinn gesamt]]/anleihenkäufe[[#This Row],[Dirty Kaufpreis]])</f>
        <v/>
      </c>
    </row>
    <row r="448" spans="1:26" ht="14.25" x14ac:dyDescent="0.2">
      <c r="A448" s="9">
        <v>45412</v>
      </c>
      <c r="B448" s="1" t="s">
        <v>1210</v>
      </c>
      <c r="C448" s="1" t="s">
        <v>2</v>
      </c>
      <c r="D448" s="5">
        <f t="shared" si="18"/>
        <v>2494.6530246723528</v>
      </c>
      <c r="E448" s="5">
        <f t="shared" si="19"/>
        <v>2414.4362585097451</v>
      </c>
      <c r="F448" s="1">
        <v>2</v>
      </c>
      <c r="G448" s="1">
        <v>1000</v>
      </c>
      <c r="H448" s="6">
        <v>1.2945</v>
      </c>
      <c r="I448" s="4">
        <f t="shared" si="20"/>
        <v>80.21676616260784</v>
      </c>
      <c r="J448" s="6">
        <v>9.4E-2</v>
      </c>
      <c r="K448" s="99">
        <v>1.0723</v>
      </c>
      <c r="L448" s="1" t="s">
        <v>887</v>
      </c>
      <c r="M448" s="1">
        <v>2</v>
      </c>
      <c r="N448" s="9">
        <v>45245</v>
      </c>
      <c r="O448" s="1" t="s">
        <v>276</v>
      </c>
      <c r="P448" s="1" t="s">
        <v>39</v>
      </c>
      <c r="Q448" s="1" t="s">
        <v>1211</v>
      </c>
      <c r="R448" s="1" t="s">
        <v>1212</v>
      </c>
      <c r="S448" s="1" t="b">
        <v>1</v>
      </c>
      <c r="T448" s="9"/>
      <c r="U448" s="4"/>
      <c r="V448" s="4"/>
      <c r="W448" s="4"/>
      <c r="X448" s="4"/>
      <c r="Y448" s="4" t="str">
        <f>IF(anleihenkäufe[[#This Row],[Verkauft am]]="","",anleihenkäufe[[#This Row],[Gewinn aus Kursänderung]]+anleihenkäufe[[#This Row],[Gewinn aus Zinsen]]+anleihenkäufe[[#This Row],[Gewinn aus Währungseffekten]])</f>
        <v/>
      </c>
      <c r="Z448" s="156" t="str">
        <f>IF(anleihenkäufe[[#This Row],[Verkauft am]]="","",anleihenkäufe[[#This Row],[Gewinn gesamt]]/anleihenkäufe[[#This Row],[Dirty Kaufpreis]])</f>
        <v/>
      </c>
    </row>
    <row r="449" spans="1:26" ht="14.25" x14ac:dyDescent="0.2">
      <c r="A449" s="9">
        <v>45412</v>
      </c>
      <c r="B449" s="1" t="s">
        <v>1179</v>
      </c>
      <c r="C449" s="1" t="s">
        <v>11</v>
      </c>
      <c r="D449" s="5">
        <f t="shared" si="18"/>
        <v>1521.1956375937523</v>
      </c>
      <c r="E449" s="5">
        <f t="shared" si="19"/>
        <v>1469.737946470204</v>
      </c>
      <c r="F449" s="1">
        <v>2</v>
      </c>
      <c r="G449" s="1">
        <v>1000</v>
      </c>
      <c r="H449" s="6">
        <v>0.78799999999999992</v>
      </c>
      <c r="I449" s="4">
        <f t="shared" si="20"/>
        <v>51.45769112354828</v>
      </c>
      <c r="J449" s="6">
        <v>9.5000000000000001E-2</v>
      </c>
      <c r="K449" s="99">
        <v>1.0723</v>
      </c>
      <c r="L449" s="1" t="s">
        <v>887</v>
      </c>
      <c r="M449" s="1">
        <v>2</v>
      </c>
      <c r="N449" s="9">
        <v>45306</v>
      </c>
      <c r="O449" s="1" t="s">
        <v>1180</v>
      </c>
      <c r="P449" s="1" t="s">
        <v>39</v>
      </c>
      <c r="Q449" s="1" t="s">
        <v>1181</v>
      </c>
      <c r="R449" s="1" t="s">
        <v>1182</v>
      </c>
      <c r="S449" s="1" t="b">
        <v>1</v>
      </c>
      <c r="T449" s="96" t="s">
        <v>164</v>
      </c>
      <c r="U449" s="97"/>
      <c r="V449" s="97"/>
      <c r="W449" s="97"/>
      <c r="X449" s="97"/>
      <c r="Y449" s="97" t="str">
        <f>IF(anleihenkäufe[[#This Row],[Verkauft am]]="","",anleihenkäufe[[#This Row],[Gewinn aus Kursänderung]]+anleihenkäufe[[#This Row],[Gewinn aus Zinsen]]+anleihenkäufe[[#This Row],[Gewinn aus Währungseffekten]])</f>
        <v/>
      </c>
      <c r="Z449" s="156" t="str">
        <f>IF(anleihenkäufe[[#This Row],[Verkauft am]]="","",anleihenkäufe[[#This Row],[Gewinn gesamt]]/anleihenkäufe[[#This Row],[Dirty Kaufpreis]])</f>
        <v/>
      </c>
    </row>
    <row r="450" spans="1:26" ht="14.25" x14ac:dyDescent="0.2">
      <c r="A450" s="9">
        <v>45412</v>
      </c>
      <c r="B450" s="1" t="s">
        <v>1200</v>
      </c>
      <c r="C450" s="1" t="s">
        <v>1</v>
      </c>
      <c r="D450" s="5">
        <f t="shared" ref="D450:D513" si="21">E450+I450</f>
        <v>1729.9365465859457</v>
      </c>
      <c r="E450" s="5">
        <f t="shared" ref="E450:E513" si="22">G450*H450*F450/K450</f>
        <v>1720.2275482607479</v>
      </c>
      <c r="F450" s="1">
        <v>2</v>
      </c>
      <c r="G450" s="1">
        <v>1000</v>
      </c>
      <c r="H450" s="6">
        <v>0.92230000000000001</v>
      </c>
      <c r="I450" s="4">
        <f t="shared" ref="I450:I513" si="23">G450*J450*(A450-N450)/365*F450/K450</f>
        <v>9.7089983251977898</v>
      </c>
      <c r="J450" s="6">
        <v>9.5000000000000001E-2</v>
      </c>
      <c r="K450" s="99">
        <v>1.0723</v>
      </c>
      <c r="L450" s="1" t="s">
        <v>887</v>
      </c>
      <c r="M450" s="1">
        <v>4</v>
      </c>
      <c r="N450" s="9">
        <v>45392</v>
      </c>
      <c r="O450" s="1" t="s">
        <v>1004</v>
      </c>
      <c r="P450" s="1" t="s">
        <v>52</v>
      </c>
      <c r="Q450" s="1" t="s">
        <v>1201</v>
      </c>
      <c r="R450" s="1" t="s">
        <v>1202</v>
      </c>
      <c r="S450" s="1" t="b">
        <v>1</v>
      </c>
      <c r="T450" s="96"/>
      <c r="U450" s="97"/>
      <c r="V450" s="97"/>
      <c r="W450" s="97"/>
      <c r="X450" s="97"/>
      <c r="Y450" s="97" t="str">
        <f>IF(anleihenkäufe[[#This Row],[Verkauft am]]="","",anleihenkäufe[[#This Row],[Gewinn aus Kursänderung]]+anleihenkäufe[[#This Row],[Gewinn aus Zinsen]]+anleihenkäufe[[#This Row],[Gewinn aus Währungseffekten]])</f>
        <v/>
      </c>
      <c r="Z450" s="156" t="str">
        <f>IF(anleihenkäufe[[#This Row],[Verkauft am]]="","",anleihenkäufe[[#This Row],[Gewinn gesamt]]/anleihenkäufe[[#This Row],[Dirty Kaufpreis]])</f>
        <v/>
      </c>
    </row>
    <row r="451" spans="1:26" ht="14.25" x14ac:dyDescent="0.2">
      <c r="A451" s="9">
        <v>45412</v>
      </c>
      <c r="B451" s="1" t="s">
        <v>1176</v>
      </c>
      <c r="C451" s="1" t="s">
        <v>2</v>
      </c>
      <c r="D451" s="5">
        <f t="shared" si="21"/>
        <v>1935.5526911171607</v>
      </c>
      <c r="E451" s="5">
        <f t="shared" si="22"/>
        <v>1923.9018931269234</v>
      </c>
      <c r="F451" s="1">
        <v>2</v>
      </c>
      <c r="G451" s="1">
        <v>1000</v>
      </c>
      <c r="H451" s="6">
        <v>1.0315000000000001</v>
      </c>
      <c r="I451" s="4">
        <f t="shared" si="23"/>
        <v>11.650797990237347</v>
      </c>
      <c r="J451" s="6">
        <v>9.5000000000000001E-2</v>
      </c>
      <c r="K451" s="99">
        <v>1.0723</v>
      </c>
      <c r="L451" s="1" t="s">
        <v>887</v>
      </c>
      <c r="M451" s="1">
        <v>2</v>
      </c>
      <c r="N451" s="9">
        <v>45388</v>
      </c>
      <c r="O451" s="1" t="s">
        <v>65</v>
      </c>
      <c r="P451" s="1" t="s">
        <v>52</v>
      </c>
      <c r="Q451" s="1" t="s">
        <v>1177</v>
      </c>
      <c r="R451" s="1" t="s">
        <v>1178</v>
      </c>
      <c r="S451" s="1" t="b">
        <v>1</v>
      </c>
      <c r="T451" s="96"/>
      <c r="U451" s="97"/>
      <c r="V451" s="97"/>
      <c r="W451" s="97"/>
      <c r="X451" s="97"/>
      <c r="Y451" s="97" t="str">
        <f>IF(anleihenkäufe[[#This Row],[Verkauft am]]="","",anleihenkäufe[[#This Row],[Gewinn aus Kursänderung]]+anleihenkäufe[[#This Row],[Gewinn aus Zinsen]]+anleihenkäufe[[#This Row],[Gewinn aus Währungseffekten]])</f>
        <v/>
      </c>
      <c r="Z451" s="156" t="str">
        <f>IF(anleihenkäufe[[#This Row],[Verkauft am]]="","",anleihenkäufe[[#This Row],[Gewinn gesamt]]/anleihenkäufe[[#This Row],[Dirty Kaufpreis]])</f>
        <v/>
      </c>
    </row>
    <row r="452" spans="1:26" ht="14.25" x14ac:dyDescent="0.2">
      <c r="A452" s="9">
        <v>45412</v>
      </c>
      <c r="B452" s="1" t="s">
        <v>1183</v>
      </c>
      <c r="C452" s="1" t="s">
        <v>4</v>
      </c>
      <c r="D452" s="5">
        <f t="shared" si="21"/>
        <v>1882.1123203356244</v>
      </c>
      <c r="E452" s="5">
        <f t="shared" si="22"/>
        <v>1856.3834747738504</v>
      </c>
      <c r="F452" s="1">
        <v>2</v>
      </c>
      <c r="G452" s="1">
        <v>1000</v>
      </c>
      <c r="H452" s="6">
        <v>0.99529999999999996</v>
      </c>
      <c r="I452" s="4">
        <f t="shared" si="23"/>
        <v>25.72884556177414</v>
      </c>
      <c r="J452" s="6">
        <v>9.5000000000000001E-2</v>
      </c>
      <c r="K452" s="99">
        <v>1.0723</v>
      </c>
      <c r="L452" s="1" t="s">
        <v>887</v>
      </c>
      <c r="M452" s="1">
        <v>2</v>
      </c>
      <c r="N452" s="9">
        <v>45359</v>
      </c>
      <c r="O452" s="1" t="s">
        <v>1105</v>
      </c>
      <c r="P452" s="1" t="s">
        <v>52</v>
      </c>
      <c r="Q452" s="1" t="s">
        <v>1184</v>
      </c>
      <c r="R452" s="1" t="s">
        <v>1185</v>
      </c>
      <c r="S452" s="1" t="b">
        <v>1</v>
      </c>
      <c r="T452" s="96"/>
      <c r="U452" s="97"/>
      <c r="V452" s="97"/>
      <c r="W452" s="97"/>
      <c r="X452" s="97"/>
      <c r="Y452" s="97" t="str">
        <f>IF(anleihenkäufe[[#This Row],[Verkauft am]]="","",anleihenkäufe[[#This Row],[Gewinn aus Kursänderung]]+anleihenkäufe[[#This Row],[Gewinn aus Zinsen]]+anleihenkäufe[[#This Row],[Gewinn aus Währungseffekten]])</f>
        <v/>
      </c>
      <c r="Z452" s="156" t="str">
        <f>IF(anleihenkäufe[[#This Row],[Verkauft am]]="","",anleihenkäufe[[#This Row],[Gewinn gesamt]]/anleihenkäufe[[#This Row],[Dirty Kaufpreis]])</f>
        <v/>
      </c>
    </row>
    <row r="453" spans="1:26" ht="14.25" x14ac:dyDescent="0.2">
      <c r="A453" s="9">
        <v>45412</v>
      </c>
      <c r="B453" s="1" t="s">
        <v>1206</v>
      </c>
      <c r="C453" s="1" t="s">
        <v>3</v>
      </c>
      <c r="D453" s="5">
        <f t="shared" si="21"/>
        <v>1941.0893751620829</v>
      </c>
      <c r="E453" s="5">
        <f t="shared" si="22"/>
        <v>1914.3896297677891</v>
      </c>
      <c r="F453" s="1">
        <v>2</v>
      </c>
      <c r="G453" s="1">
        <v>1000</v>
      </c>
      <c r="H453" s="6">
        <v>1.0264</v>
      </c>
      <c r="I453" s="4">
        <f t="shared" si="23"/>
        <v>26.69974539429392</v>
      </c>
      <c r="J453" s="6">
        <v>9.5000000000000001E-2</v>
      </c>
      <c r="K453" s="99">
        <v>1.0723</v>
      </c>
      <c r="L453" s="1" t="s">
        <v>887</v>
      </c>
      <c r="M453" s="1">
        <v>2</v>
      </c>
      <c r="N453" s="9">
        <v>45357</v>
      </c>
      <c r="O453" s="1" t="s">
        <v>1207</v>
      </c>
      <c r="P453" s="1" t="s">
        <v>52</v>
      </c>
      <c r="Q453" s="1" t="s">
        <v>1208</v>
      </c>
      <c r="R453" s="1" t="s">
        <v>1209</v>
      </c>
      <c r="S453" s="1" t="b">
        <v>1</v>
      </c>
      <c r="T453" s="96"/>
      <c r="U453" s="97"/>
      <c r="V453" s="97"/>
      <c r="W453" s="97"/>
      <c r="X453" s="97"/>
      <c r="Y453" s="97" t="str">
        <f>IF(anleihenkäufe[[#This Row],[Verkauft am]]="","",anleihenkäufe[[#This Row],[Gewinn aus Kursänderung]]+anleihenkäufe[[#This Row],[Gewinn aus Zinsen]]+anleihenkäufe[[#This Row],[Gewinn aus Währungseffekten]])</f>
        <v/>
      </c>
      <c r="Z453" s="156" t="str">
        <f>IF(anleihenkäufe[[#This Row],[Verkauft am]]="","",anleihenkäufe[[#This Row],[Gewinn gesamt]]/anleihenkäufe[[#This Row],[Dirty Kaufpreis]])</f>
        <v/>
      </c>
    </row>
    <row r="454" spans="1:26" ht="14.25" x14ac:dyDescent="0.2">
      <c r="A454" s="9">
        <v>45412</v>
      </c>
      <c r="B454" s="1" t="s">
        <v>1189</v>
      </c>
      <c r="C454" s="1" t="s">
        <v>0</v>
      </c>
      <c r="D454" s="5">
        <f t="shared" si="21"/>
        <v>1815.9531617480798</v>
      </c>
      <c r="E454" s="5">
        <f t="shared" si="22"/>
        <v>1774.6899188659891</v>
      </c>
      <c r="F454" s="1">
        <v>2</v>
      </c>
      <c r="G454" s="1">
        <v>1000</v>
      </c>
      <c r="H454" s="6">
        <v>0.95150000000000001</v>
      </c>
      <c r="I454" s="4">
        <f t="shared" si="23"/>
        <v>41.263242882090601</v>
      </c>
      <c r="J454" s="6">
        <v>9.5000000000000001E-2</v>
      </c>
      <c r="K454" s="99">
        <v>1.0723</v>
      </c>
      <c r="L454" s="1" t="s">
        <v>887</v>
      </c>
      <c r="M454" s="1">
        <v>2</v>
      </c>
      <c r="N454" s="9">
        <v>45327</v>
      </c>
      <c r="O454" s="1" t="s">
        <v>1190</v>
      </c>
      <c r="P454" s="1" t="s">
        <v>39</v>
      </c>
      <c r="Q454" s="1" t="s">
        <v>1191</v>
      </c>
      <c r="R454" s="1" t="s">
        <v>1192</v>
      </c>
      <c r="S454" s="1" t="b">
        <v>1</v>
      </c>
      <c r="T454" s="96"/>
      <c r="U454" s="97"/>
      <c r="V454" s="97"/>
      <c r="W454" s="97"/>
      <c r="X454" s="97"/>
      <c r="Y454" s="97" t="str">
        <f>IF(anleihenkäufe[[#This Row],[Verkauft am]]="","",anleihenkäufe[[#This Row],[Gewinn aus Kursänderung]]+anleihenkäufe[[#This Row],[Gewinn aus Zinsen]]+anleihenkäufe[[#This Row],[Gewinn aus Währungseffekten]])</f>
        <v/>
      </c>
      <c r="Z454" s="156" t="str">
        <f>IF(anleihenkäufe[[#This Row],[Verkauft am]]="","",anleihenkäufe[[#This Row],[Gewinn gesamt]]/anleihenkäufe[[#This Row],[Dirty Kaufpreis]])</f>
        <v/>
      </c>
    </row>
    <row r="455" spans="1:26" ht="14.25" x14ac:dyDescent="0.2">
      <c r="A455" s="9">
        <v>45412</v>
      </c>
      <c r="B455" s="1" t="s">
        <v>1203</v>
      </c>
      <c r="C455" s="1" t="s">
        <v>0</v>
      </c>
      <c r="D455" s="5">
        <f t="shared" si="21"/>
        <v>1995.8302407192832</v>
      </c>
      <c r="E455" s="5">
        <f t="shared" si="22"/>
        <v>1952.625198172153</v>
      </c>
      <c r="F455" s="1">
        <v>2</v>
      </c>
      <c r="G455" s="1">
        <v>1000</v>
      </c>
      <c r="H455" s="6">
        <v>1.0468999999999999</v>
      </c>
      <c r="I455" s="4">
        <f t="shared" si="23"/>
        <v>43.205042547130155</v>
      </c>
      <c r="J455" s="6">
        <v>9.5000000000000001E-2</v>
      </c>
      <c r="K455" s="99">
        <v>1.0723</v>
      </c>
      <c r="L455" s="1" t="s">
        <v>887</v>
      </c>
      <c r="M455" s="1">
        <v>2</v>
      </c>
      <c r="N455" s="9">
        <v>45323</v>
      </c>
      <c r="O455" s="1" t="s">
        <v>1004</v>
      </c>
      <c r="P455" s="1" t="s">
        <v>39</v>
      </c>
      <c r="Q455" s="1" t="s">
        <v>1204</v>
      </c>
      <c r="R455" s="1" t="s">
        <v>1205</v>
      </c>
      <c r="S455" s="1" t="b">
        <v>1</v>
      </c>
      <c r="T455" s="96"/>
      <c r="U455" s="97"/>
      <c r="V455" s="97"/>
      <c r="W455" s="97"/>
      <c r="X455" s="97"/>
      <c r="Y455" s="97" t="str">
        <f>IF(anleihenkäufe[[#This Row],[Verkauft am]]="","",anleihenkäufe[[#This Row],[Gewinn aus Kursänderung]]+anleihenkäufe[[#This Row],[Gewinn aus Zinsen]]+anleihenkäufe[[#This Row],[Gewinn aus Währungseffekten]])</f>
        <v/>
      </c>
      <c r="Z455" s="156" t="str">
        <f>IF(anleihenkäufe[[#This Row],[Verkauft am]]="","",anleihenkäufe[[#This Row],[Gewinn gesamt]]/anleihenkäufe[[#This Row],[Dirty Kaufpreis]])</f>
        <v/>
      </c>
    </row>
    <row r="456" spans="1:26" ht="14.25" x14ac:dyDescent="0.2">
      <c r="A456" s="9">
        <v>45412</v>
      </c>
      <c r="B456" s="1" t="s">
        <v>1186</v>
      </c>
      <c r="C456" s="1" t="s">
        <v>4</v>
      </c>
      <c r="D456" s="5">
        <f t="shared" si="21"/>
        <v>1928.5060023327144</v>
      </c>
      <c r="E456" s="5">
        <f t="shared" si="22"/>
        <v>1878.0192110416858</v>
      </c>
      <c r="F456" s="1">
        <v>2</v>
      </c>
      <c r="G456" s="1">
        <v>1000</v>
      </c>
      <c r="H456" s="6">
        <v>1.0068999999999999</v>
      </c>
      <c r="I456" s="4">
        <f t="shared" si="23"/>
        <v>50.486791291028503</v>
      </c>
      <c r="J456" s="6">
        <v>9.5000000000000001E-2</v>
      </c>
      <c r="K456" s="99">
        <v>1.0723</v>
      </c>
      <c r="L456" s="1" t="s">
        <v>887</v>
      </c>
      <c r="M456" s="1">
        <v>2</v>
      </c>
      <c r="N456" s="9">
        <v>45308</v>
      </c>
      <c r="O456" s="1" t="s">
        <v>1105</v>
      </c>
      <c r="P456" s="1" t="s">
        <v>52</v>
      </c>
      <c r="Q456" s="1" t="s">
        <v>1187</v>
      </c>
      <c r="R456" s="1" t="s">
        <v>1188</v>
      </c>
      <c r="S456" s="1" t="b">
        <v>1</v>
      </c>
      <c r="T456" s="96"/>
      <c r="U456" s="97"/>
      <c r="V456" s="97"/>
      <c r="W456" s="97"/>
      <c r="X456" s="97"/>
      <c r="Y456" s="97" t="str">
        <f>IF(anleihenkäufe[[#This Row],[Verkauft am]]="","",anleihenkäufe[[#This Row],[Gewinn aus Kursänderung]]+anleihenkäufe[[#This Row],[Gewinn aus Zinsen]]+anleihenkäufe[[#This Row],[Gewinn aus Währungseffekten]])</f>
        <v/>
      </c>
      <c r="Z456" s="156" t="str">
        <f>IF(anleihenkäufe[[#This Row],[Verkauft am]]="","",anleihenkäufe[[#This Row],[Gewinn gesamt]]/anleihenkäufe[[#This Row],[Dirty Kaufpreis]])</f>
        <v/>
      </c>
    </row>
    <row r="457" spans="1:26" ht="14.25" x14ac:dyDescent="0.2">
      <c r="A457" s="9">
        <v>45412</v>
      </c>
      <c r="B457" s="1" t="s">
        <v>1193</v>
      </c>
      <c r="C457" s="1" t="s">
        <v>0</v>
      </c>
      <c r="D457" s="5">
        <f t="shared" si="21"/>
        <v>1843.8869719294973</v>
      </c>
      <c r="E457" s="5">
        <f t="shared" si="22"/>
        <v>1773.0112841555535</v>
      </c>
      <c r="F457" s="1">
        <v>2</v>
      </c>
      <c r="G457" s="1">
        <v>1000</v>
      </c>
      <c r="H457" s="6">
        <v>0.9506</v>
      </c>
      <c r="I457" s="4">
        <f t="shared" si="23"/>
        <v>70.875687773943852</v>
      </c>
      <c r="J457" s="6">
        <v>9.5000000000000001E-2</v>
      </c>
      <c r="K457" s="99">
        <v>1.0723</v>
      </c>
      <c r="L457" s="1" t="s">
        <v>887</v>
      </c>
      <c r="M457" s="1">
        <v>2</v>
      </c>
      <c r="N457" s="9">
        <v>45266</v>
      </c>
      <c r="O457" s="1" t="s">
        <v>176</v>
      </c>
      <c r="P457" s="1" t="s">
        <v>81</v>
      </c>
      <c r="Q457" s="1" t="s">
        <v>1194</v>
      </c>
      <c r="R457" s="1" t="s">
        <v>1195</v>
      </c>
      <c r="S457" s="1" t="b">
        <v>1</v>
      </c>
      <c r="T457" s="96"/>
      <c r="U457" s="97"/>
      <c r="V457" s="97"/>
      <c r="W457" s="97"/>
      <c r="X457" s="97"/>
      <c r="Y457" s="97" t="str">
        <f>IF(anleihenkäufe[[#This Row],[Verkauft am]]="","",anleihenkäufe[[#This Row],[Gewinn aus Kursänderung]]+anleihenkäufe[[#This Row],[Gewinn aus Zinsen]]+anleihenkäufe[[#This Row],[Gewinn aus Währungseffekten]])</f>
        <v/>
      </c>
      <c r="Z457" s="156" t="str">
        <f>IF(anleihenkäufe[[#This Row],[Verkauft am]]="","",anleihenkäufe[[#This Row],[Gewinn gesamt]]/anleihenkäufe[[#This Row],[Dirty Kaufpreis]])</f>
        <v/>
      </c>
    </row>
    <row r="458" spans="1:26" ht="14.25" x14ac:dyDescent="0.2">
      <c r="A458" s="9">
        <v>45412</v>
      </c>
      <c r="B458" s="1" t="s">
        <v>1173</v>
      </c>
      <c r="C458" s="1" t="s">
        <v>10</v>
      </c>
      <c r="D458" s="5">
        <f t="shared" si="21"/>
        <v>1933.5291314662247</v>
      </c>
      <c r="E458" s="5">
        <f t="shared" si="22"/>
        <v>1859.7407441947216</v>
      </c>
      <c r="F458" s="1">
        <v>2</v>
      </c>
      <c r="G458" s="1">
        <v>1000</v>
      </c>
      <c r="H458" s="6">
        <v>0.99709999999999999</v>
      </c>
      <c r="I458" s="4">
        <f t="shared" si="23"/>
        <v>73.788387271503197</v>
      </c>
      <c r="J458" s="6">
        <v>9.5000000000000001E-2</v>
      </c>
      <c r="K458" s="99">
        <v>1.0723</v>
      </c>
      <c r="L458" s="1" t="s">
        <v>887</v>
      </c>
      <c r="M458" s="1">
        <v>2</v>
      </c>
      <c r="N458" s="9">
        <v>45260</v>
      </c>
      <c r="O458" s="1" t="s">
        <v>276</v>
      </c>
      <c r="P458" s="1" t="s">
        <v>109</v>
      </c>
      <c r="Q458" s="1" t="s">
        <v>1174</v>
      </c>
      <c r="R458" s="1" t="s">
        <v>1175</v>
      </c>
      <c r="S458" s="1" t="b">
        <v>1</v>
      </c>
      <c r="T458" s="96"/>
      <c r="U458" s="97"/>
      <c r="V458" s="97"/>
      <c r="W458" s="97"/>
      <c r="X458" s="97"/>
      <c r="Y458" s="97" t="str">
        <f>IF(anleihenkäufe[[#This Row],[Verkauft am]]="","",anleihenkäufe[[#This Row],[Gewinn aus Kursänderung]]+anleihenkäufe[[#This Row],[Gewinn aus Zinsen]]+anleihenkäufe[[#This Row],[Gewinn aus Währungseffekten]])</f>
        <v/>
      </c>
      <c r="Z458" s="156" t="str">
        <f>IF(anleihenkäufe[[#This Row],[Verkauft am]]="","",anleihenkäufe[[#This Row],[Gewinn gesamt]]/anleihenkäufe[[#This Row],[Dirty Kaufpreis]])</f>
        <v/>
      </c>
    </row>
    <row r="459" spans="1:26" ht="14.25" x14ac:dyDescent="0.2">
      <c r="A459" s="9">
        <v>45412</v>
      </c>
      <c r="B459" s="1" t="s">
        <v>1196</v>
      </c>
      <c r="C459" s="1" t="s">
        <v>11</v>
      </c>
      <c r="D459" s="5">
        <f t="shared" si="21"/>
        <v>1914.6221347276817</v>
      </c>
      <c r="E459" s="5">
        <f t="shared" si="22"/>
        <v>1835.4937983773198</v>
      </c>
      <c r="F459" s="1">
        <v>2</v>
      </c>
      <c r="G459" s="1">
        <v>1000</v>
      </c>
      <c r="H459" s="6">
        <v>0.98409999999999997</v>
      </c>
      <c r="I459" s="4">
        <f t="shared" si="23"/>
        <v>79.128336350361977</v>
      </c>
      <c r="J459" s="6">
        <v>9.5000000000000001E-2</v>
      </c>
      <c r="K459" s="99">
        <v>1.0723</v>
      </c>
      <c r="L459" s="1" t="s">
        <v>887</v>
      </c>
      <c r="M459" s="1">
        <v>2</v>
      </c>
      <c r="N459" s="9">
        <v>45249</v>
      </c>
      <c r="O459" s="1" t="s">
        <v>1197</v>
      </c>
      <c r="P459" s="1" t="s">
        <v>52</v>
      </c>
      <c r="Q459" s="1" t="s">
        <v>1198</v>
      </c>
      <c r="R459" s="1" t="s">
        <v>1199</v>
      </c>
      <c r="S459" s="1" t="b">
        <v>1</v>
      </c>
      <c r="T459" s="96"/>
      <c r="U459" s="97"/>
      <c r="V459" s="97"/>
      <c r="W459" s="97"/>
      <c r="X459" s="97"/>
      <c r="Y459" s="97" t="str">
        <f>IF(anleihenkäufe[[#This Row],[Verkauft am]]="","",anleihenkäufe[[#This Row],[Gewinn aus Kursänderung]]+anleihenkäufe[[#This Row],[Gewinn aus Zinsen]]+anleihenkäufe[[#This Row],[Gewinn aus Währungseffekten]])</f>
        <v/>
      </c>
      <c r="Z459" s="156" t="str">
        <f>IF(anleihenkäufe[[#This Row],[Verkauft am]]="","",anleihenkäufe[[#This Row],[Gewinn gesamt]]/anleihenkäufe[[#This Row],[Dirty Kaufpreis]])</f>
        <v/>
      </c>
    </row>
    <row r="460" spans="1:26" ht="14.25" x14ac:dyDescent="0.2">
      <c r="A460" s="9">
        <v>45412</v>
      </c>
      <c r="B460" s="1" t="s">
        <v>1167</v>
      </c>
      <c r="C460" s="1" t="s">
        <v>11</v>
      </c>
      <c r="D460" s="5">
        <f t="shared" si="21"/>
        <v>938.47688811273679</v>
      </c>
      <c r="E460" s="5">
        <f t="shared" si="22"/>
        <v>932.57483913084025</v>
      </c>
      <c r="F460" s="1">
        <v>2</v>
      </c>
      <c r="G460" s="1">
        <v>1000</v>
      </c>
      <c r="H460" s="6">
        <v>0.5</v>
      </c>
      <c r="I460" s="4">
        <f t="shared" si="23"/>
        <v>5.9020489818965505</v>
      </c>
      <c r="J460" s="6">
        <v>9.6250000000000002E-2</v>
      </c>
      <c r="K460" s="99">
        <v>1.0723</v>
      </c>
      <c r="L460" s="1" t="s">
        <v>887</v>
      </c>
      <c r="M460" s="1">
        <v>2</v>
      </c>
      <c r="N460" s="9">
        <v>45400</v>
      </c>
      <c r="O460" s="1" t="s">
        <v>1105</v>
      </c>
      <c r="P460" s="1" t="s">
        <v>81</v>
      </c>
      <c r="Q460" s="1" t="s">
        <v>1168</v>
      </c>
      <c r="R460" s="1" t="s">
        <v>1169</v>
      </c>
      <c r="S460" s="1" t="b">
        <v>1</v>
      </c>
      <c r="T460" s="96" t="s">
        <v>164</v>
      </c>
      <c r="U460" s="97"/>
      <c r="V460" s="97"/>
      <c r="W460" s="97"/>
      <c r="X460" s="97"/>
      <c r="Y460" s="97" t="str">
        <f>IF(anleihenkäufe[[#This Row],[Verkauft am]]="","",anleihenkäufe[[#This Row],[Gewinn aus Kursänderung]]+anleihenkäufe[[#This Row],[Gewinn aus Zinsen]]+anleihenkäufe[[#This Row],[Gewinn aus Währungseffekten]])</f>
        <v/>
      </c>
      <c r="Z460" s="156" t="str">
        <f>IF(anleihenkäufe[[#This Row],[Verkauft am]]="","",anleihenkäufe[[#This Row],[Gewinn gesamt]]/anleihenkäufe[[#This Row],[Dirty Kaufpreis]])</f>
        <v/>
      </c>
    </row>
    <row r="461" spans="1:26" ht="14.25" x14ac:dyDescent="0.2">
      <c r="A461" s="9">
        <v>45412</v>
      </c>
      <c r="B461" s="1" t="s">
        <v>1108</v>
      </c>
      <c r="C461" s="1" t="s">
        <v>10</v>
      </c>
      <c r="D461" s="5">
        <f t="shared" si="21"/>
        <v>2135.0547217030607</v>
      </c>
      <c r="E461" s="5">
        <f t="shared" si="22"/>
        <v>2131.1200223817964</v>
      </c>
      <c r="F461" s="1">
        <v>2</v>
      </c>
      <c r="G461" s="1">
        <v>1000</v>
      </c>
      <c r="H461" s="6">
        <v>1.1426000000000001</v>
      </c>
      <c r="I461" s="4">
        <f t="shared" si="23"/>
        <v>3.9346993212643668</v>
      </c>
      <c r="J461" s="6">
        <v>9.6250000000000002E-2</v>
      </c>
      <c r="K461" s="99">
        <v>1.0723</v>
      </c>
      <c r="L461" s="1" t="s">
        <v>887</v>
      </c>
      <c r="M461" s="1">
        <v>2</v>
      </c>
      <c r="N461" s="9">
        <v>45404</v>
      </c>
      <c r="O461" s="1" t="s">
        <v>276</v>
      </c>
      <c r="P461" s="1" t="s">
        <v>61</v>
      </c>
      <c r="Q461" s="1" t="s">
        <v>1162</v>
      </c>
      <c r="R461" s="1" t="s">
        <v>1163</v>
      </c>
      <c r="S461" s="1" t="b">
        <v>1</v>
      </c>
      <c r="T461" s="96"/>
      <c r="U461" s="97"/>
      <c r="V461" s="97"/>
      <c r="W461" s="97"/>
      <c r="X461" s="97"/>
      <c r="Y461" s="97" t="str">
        <f>IF(anleihenkäufe[[#This Row],[Verkauft am]]="","",anleihenkäufe[[#This Row],[Gewinn aus Kursänderung]]+anleihenkäufe[[#This Row],[Gewinn aus Zinsen]]+anleihenkäufe[[#This Row],[Gewinn aus Währungseffekten]])</f>
        <v/>
      </c>
      <c r="Z461" s="156" t="str">
        <f>IF(anleihenkäufe[[#This Row],[Verkauft am]]="","",anleihenkäufe[[#This Row],[Gewinn gesamt]]/anleihenkäufe[[#This Row],[Dirty Kaufpreis]])</f>
        <v/>
      </c>
    </row>
    <row r="462" spans="1:26" ht="14.25" x14ac:dyDescent="0.2">
      <c r="A462" s="9">
        <v>45412</v>
      </c>
      <c r="B462" s="1" t="s">
        <v>1164</v>
      </c>
      <c r="C462" s="1" t="s">
        <v>4</v>
      </c>
      <c r="D462" s="5">
        <f t="shared" si="21"/>
        <v>1746.6296362063877</v>
      </c>
      <c r="E462" s="5">
        <f t="shared" si="22"/>
        <v>1739.2520749790169</v>
      </c>
      <c r="F462" s="1">
        <v>2</v>
      </c>
      <c r="G462" s="1">
        <v>1000</v>
      </c>
      <c r="H462" s="6">
        <v>0.9325</v>
      </c>
      <c r="I462" s="4">
        <f t="shared" si="23"/>
        <v>7.3775612273706876</v>
      </c>
      <c r="J462" s="6">
        <v>9.6250000000000002E-2</v>
      </c>
      <c r="K462" s="99">
        <v>1.0723</v>
      </c>
      <c r="L462" s="1" t="s">
        <v>887</v>
      </c>
      <c r="M462" s="1">
        <v>2</v>
      </c>
      <c r="N462" s="9">
        <v>45397</v>
      </c>
      <c r="O462" s="1" t="s">
        <v>986</v>
      </c>
      <c r="P462" s="1" t="s">
        <v>52</v>
      </c>
      <c r="Q462" s="1" t="s">
        <v>1165</v>
      </c>
      <c r="R462" s="1" t="s">
        <v>1166</v>
      </c>
      <c r="S462" s="1" t="b">
        <v>1</v>
      </c>
      <c r="T462" s="96"/>
      <c r="U462" s="97"/>
      <c r="V462" s="97"/>
      <c r="W462" s="97"/>
      <c r="X462" s="97"/>
      <c r="Y462" s="97" t="str">
        <f>IF(anleihenkäufe[[#This Row],[Verkauft am]]="","",anleihenkäufe[[#This Row],[Gewinn aus Kursänderung]]+anleihenkäufe[[#This Row],[Gewinn aus Zinsen]]+anleihenkäufe[[#This Row],[Gewinn aus Währungseffekten]])</f>
        <v/>
      </c>
      <c r="Z462" s="156" t="str">
        <f>IF(anleihenkäufe[[#This Row],[Verkauft am]]="","",anleihenkäufe[[#This Row],[Gewinn gesamt]]/anleihenkäufe[[#This Row],[Dirty Kaufpreis]])</f>
        <v/>
      </c>
    </row>
    <row r="463" spans="1:26" ht="14.25" x14ac:dyDescent="0.2">
      <c r="A463" s="9">
        <v>45412</v>
      </c>
      <c r="B463" s="1" t="s">
        <v>1156</v>
      </c>
      <c r="C463" s="1" t="s">
        <v>0</v>
      </c>
      <c r="D463" s="5">
        <f t="shared" si="21"/>
        <v>1956.9712524224587</v>
      </c>
      <c r="E463" s="5">
        <f t="shared" si="22"/>
        <v>1934.3467313251886</v>
      </c>
      <c r="F463" s="1">
        <v>2</v>
      </c>
      <c r="G463" s="1">
        <v>1000</v>
      </c>
      <c r="H463" s="6">
        <v>1.0370999999999999</v>
      </c>
      <c r="I463" s="4">
        <f t="shared" si="23"/>
        <v>22.624521097270108</v>
      </c>
      <c r="J463" s="6">
        <v>9.6250000000000002E-2</v>
      </c>
      <c r="K463" s="99">
        <v>1.0723</v>
      </c>
      <c r="L463" s="1" t="s">
        <v>887</v>
      </c>
      <c r="M463" s="1">
        <v>4</v>
      </c>
      <c r="N463" s="9">
        <v>45366</v>
      </c>
      <c r="O463" s="1" t="s">
        <v>65</v>
      </c>
      <c r="P463" s="1" t="s">
        <v>109</v>
      </c>
      <c r="Q463" s="1" t="s">
        <v>1157</v>
      </c>
      <c r="R463" s="1" t="s">
        <v>1158</v>
      </c>
      <c r="S463" s="1" t="b">
        <v>1</v>
      </c>
      <c r="T463" s="96"/>
      <c r="U463" s="97"/>
      <c r="V463" s="97"/>
      <c r="W463" s="97"/>
      <c r="X463" s="97"/>
      <c r="Y463" s="97" t="str">
        <f>IF(anleihenkäufe[[#This Row],[Verkauft am]]="","",anleihenkäufe[[#This Row],[Gewinn aus Kursänderung]]+anleihenkäufe[[#This Row],[Gewinn aus Zinsen]]+anleihenkäufe[[#This Row],[Gewinn aus Währungseffekten]])</f>
        <v/>
      </c>
      <c r="Z463" s="156" t="str">
        <f>IF(anleihenkäufe[[#This Row],[Verkauft am]]="","",anleihenkäufe[[#This Row],[Gewinn gesamt]]/anleihenkäufe[[#This Row],[Dirty Kaufpreis]])</f>
        <v/>
      </c>
    </row>
    <row r="464" spans="1:26" ht="14.25" x14ac:dyDescent="0.2">
      <c r="A464" s="9">
        <v>45412</v>
      </c>
      <c r="B464" s="1" t="s">
        <v>1170</v>
      </c>
      <c r="C464" s="1" t="s">
        <v>11</v>
      </c>
      <c r="D464" s="5">
        <f t="shared" si="21"/>
        <v>1933.6415514468324</v>
      </c>
      <c r="E464" s="5">
        <f t="shared" si="22"/>
        <v>1904.1313065373497</v>
      </c>
      <c r="F464" s="1">
        <v>2</v>
      </c>
      <c r="G464" s="1">
        <v>1000</v>
      </c>
      <c r="H464" s="6">
        <v>1.0209000000000001</v>
      </c>
      <c r="I464" s="4">
        <f t="shared" si="23"/>
        <v>29.510244909482751</v>
      </c>
      <c r="J464" s="6">
        <v>9.6250000000000002E-2</v>
      </c>
      <c r="K464" s="99">
        <v>1.0723</v>
      </c>
      <c r="L464" s="1" t="s">
        <v>887</v>
      </c>
      <c r="M464" s="1">
        <v>2</v>
      </c>
      <c r="N464" s="9">
        <v>45352</v>
      </c>
      <c r="O464" s="1" t="s">
        <v>1141</v>
      </c>
      <c r="P464" s="1" t="s">
        <v>39</v>
      </c>
      <c r="Q464" s="1" t="s">
        <v>1171</v>
      </c>
      <c r="R464" s="1" t="s">
        <v>1172</v>
      </c>
      <c r="S464" s="1" t="b">
        <v>1</v>
      </c>
      <c r="T464" s="96"/>
      <c r="U464" s="97"/>
      <c r="V464" s="97"/>
      <c r="W464" s="97"/>
      <c r="X464" s="97"/>
      <c r="Y464" s="97" t="str">
        <f>IF(anleihenkäufe[[#This Row],[Verkauft am]]="","",anleihenkäufe[[#This Row],[Gewinn aus Kursänderung]]+anleihenkäufe[[#This Row],[Gewinn aus Zinsen]]+anleihenkäufe[[#This Row],[Gewinn aus Währungseffekten]])</f>
        <v/>
      </c>
      <c r="Z464" s="156" t="str">
        <f>IF(anleihenkäufe[[#This Row],[Verkauft am]]="","",anleihenkäufe[[#This Row],[Gewinn gesamt]]/anleihenkäufe[[#This Row],[Dirty Kaufpreis]])</f>
        <v/>
      </c>
    </row>
    <row r="465" spans="1:26" ht="14.25" x14ac:dyDescent="0.2">
      <c r="A465" s="9">
        <v>45412</v>
      </c>
      <c r="B465" s="1" t="s">
        <v>1519</v>
      </c>
      <c r="C465" s="1" t="s">
        <v>8</v>
      </c>
      <c r="D465" s="5">
        <f t="shared" si="21"/>
        <v>1817.1259065457809</v>
      </c>
      <c r="E465" s="5">
        <f t="shared" si="22"/>
        <v>1764.991140539028</v>
      </c>
      <c r="F465" s="1">
        <v>2</v>
      </c>
      <c r="G465" s="1">
        <v>1000</v>
      </c>
      <c r="H465" s="6">
        <v>0.94629999999999992</v>
      </c>
      <c r="I465" s="4">
        <f t="shared" si="23"/>
        <v>52.134766006752862</v>
      </c>
      <c r="J465" s="6">
        <v>9.6250000000000002E-2</v>
      </c>
      <c r="K465" s="99">
        <v>1.0723</v>
      </c>
      <c r="L465" s="1" t="s">
        <v>887</v>
      </c>
      <c r="M465" s="1">
        <v>2</v>
      </c>
      <c r="N465" s="9">
        <v>45306</v>
      </c>
      <c r="O465" s="1" t="s">
        <v>35</v>
      </c>
      <c r="P465" s="1" t="s">
        <v>1011</v>
      </c>
      <c r="Q465" s="1" t="s">
        <v>1520</v>
      </c>
      <c r="R465" s="1" t="s">
        <v>1521</v>
      </c>
      <c r="S465" s="1" t="b">
        <v>1</v>
      </c>
      <c r="T465" s="96"/>
      <c r="U465" s="97"/>
      <c r="V465" s="97"/>
      <c r="W465" s="97"/>
      <c r="X465" s="97"/>
      <c r="Y465" s="97" t="str">
        <f>IF(anleihenkäufe[[#This Row],[Verkauft am]]="","",anleihenkäufe[[#This Row],[Gewinn aus Kursänderung]]+anleihenkäufe[[#This Row],[Gewinn aus Zinsen]]+anleihenkäufe[[#This Row],[Gewinn aus Währungseffekten]])</f>
        <v/>
      </c>
      <c r="Z465" s="156" t="str">
        <f>IF(anleihenkäufe[[#This Row],[Verkauft am]]="","",anleihenkäufe[[#This Row],[Gewinn gesamt]]/anleihenkäufe[[#This Row],[Dirty Kaufpreis]])</f>
        <v/>
      </c>
    </row>
    <row r="466" spans="1:26" ht="14.25" x14ac:dyDescent="0.2">
      <c r="A466" s="9">
        <v>45412</v>
      </c>
      <c r="B466" s="1" t="s">
        <v>1159</v>
      </c>
      <c r="C466" s="1" t="s">
        <v>8</v>
      </c>
      <c r="D466" s="5">
        <f t="shared" si="21"/>
        <v>2287.4693879115302</v>
      </c>
      <c r="E466" s="5">
        <f t="shared" si="22"/>
        <v>2220.0876620348781</v>
      </c>
      <c r="F466" s="1">
        <v>2</v>
      </c>
      <c r="G466" s="1">
        <v>1000</v>
      </c>
      <c r="H466" s="6">
        <v>1.1902999999999999</v>
      </c>
      <c r="I466" s="4">
        <f t="shared" si="23"/>
        <v>67.381725876652297</v>
      </c>
      <c r="J466" s="6">
        <v>9.6250000000000002E-2</v>
      </c>
      <c r="K466" s="99">
        <v>1.0723</v>
      </c>
      <c r="L466" s="1" t="s">
        <v>887</v>
      </c>
      <c r="M466" s="1">
        <v>2</v>
      </c>
      <c r="N466" s="9">
        <v>45275</v>
      </c>
      <c r="O466" s="1" t="s">
        <v>65</v>
      </c>
      <c r="P466" s="1" t="s">
        <v>61</v>
      </c>
      <c r="Q466" s="1" t="s">
        <v>1160</v>
      </c>
      <c r="R466" s="1" t="s">
        <v>1161</v>
      </c>
      <c r="S466" s="1" t="b">
        <v>1</v>
      </c>
      <c r="T466" s="9"/>
      <c r="U466" s="4"/>
      <c r="V466" s="4"/>
      <c r="W466" s="4"/>
      <c r="X466" s="4"/>
      <c r="Y466" s="4" t="str">
        <f>IF(anleihenkäufe[[#This Row],[Verkauft am]]="","",anleihenkäufe[[#This Row],[Gewinn aus Kursänderung]]+anleihenkäufe[[#This Row],[Gewinn aus Zinsen]]+anleihenkäufe[[#This Row],[Gewinn aus Währungseffekten]])</f>
        <v/>
      </c>
      <c r="Z466" s="156" t="str">
        <f>IF(anleihenkäufe[[#This Row],[Verkauft am]]="","",anleihenkäufe[[#This Row],[Gewinn gesamt]]/anleihenkäufe[[#This Row],[Dirty Kaufpreis]])</f>
        <v/>
      </c>
    </row>
    <row r="467" spans="1:26" ht="14.25" x14ac:dyDescent="0.2">
      <c r="A467" s="9">
        <v>45412</v>
      </c>
      <c r="B467" s="1" t="s">
        <v>1152</v>
      </c>
      <c r="C467" s="1" t="s">
        <v>0</v>
      </c>
      <c r="D467" s="5">
        <f t="shared" si="21"/>
        <v>1863.9539384679456</v>
      </c>
      <c r="E467" s="5">
        <f t="shared" si="22"/>
        <v>1805.4648885573067</v>
      </c>
      <c r="F467" s="1">
        <v>2</v>
      </c>
      <c r="G467" s="1">
        <v>1000</v>
      </c>
      <c r="H467" s="6">
        <v>0.96799999999999997</v>
      </c>
      <c r="I467" s="4">
        <f t="shared" si="23"/>
        <v>58.489049910638883</v>
      </c>
      <c r="J467" s="6">
        <v>9.6999999999999989E-2</v>
      </c>
      <c r="K467" s="99">
        <v>1.0723</v>
      </c>
      <c r="L467" s="1" t="s">
        <v>887</v>
      </c>
      <c r="M467" s="1">
        <v>2</v>
      </c>
      <c r="N467" s="9">
        <v>45294</v>
      </c>
      <c r="O467" s="1" t="s">
        <v>1153</v>
      </c>
      <c r="P467" s="1" t="s">
        <v>52</v>
      </c>
      <c r="Q467" s="1" t="s">
        <v>1154</v>
      </c>
      <c r="R467" s="1" t="s">
        <v>1155</v>
      </c>
      <c r="S467" s="1" t="b">
        <v>1</v>
      </c>
      <c r="T467" s="96"/>
      <c r="U467" s="97"/>
      <c r="V467" s="97"/>
      <c r="W467" s="97"/>
      <c r="X467" s="97"/>
      <c r="Y467" s="97" t="str">
        <f>IF(anleihenkäufe[[#This Row],[Verkauft am]]="","",anleihenkäufe[[#This Row],[Gewinn aus Kursänderung]]+anleihenkäufe[[#This Row],[Gewinn aus Zinsen]]+anleihenkäufe[[#This Row],[Gewinn aus Währungseffekten]])</f>
        <v/>
      </c>
      <c r="Z467" s="156" t="str">
        <f>IF(anleihenkäufe[[#This Row],[Verkauft am]]="","",anleihenkäufe[[#This Row],[Gewinn gesamt]]/anleihenkäufe[[#This Row],[Dirty Kaufpreis]])</f>
        <v/>
      </c>
    </row>
    <row r="468" spans="1:26" ht="14.25" x14ac:dyDescent="0.2">
      <c r="A468" s="9">
        <v>45412</v>
      </c>
      <c r="B468" s="1" t="s">
        <v>1149</v>
      </c>
      <c r="C468" s="1" t="s">
        <v>0</v>
      </c>
      <c r="D468" s="5">
        <f t="shared" si="21"/>
        <v>1918.3642381821689</v>
      </c>
      <c r="E468" s="5">
        <f t="shared" si="22"/>
        <v>1860.1137741303739</v>
      </c>
      <c r="F468" s="1">
        <v>2</v>
      </c>
      <c r="G468" s="1">
        <v>1000</v>
      </c>
      <c r="H468" s="6">
        <v>0.99730000000000008</v>
      </c>
      <c r="I468" s="4">
        <f t="shared" si="23"/>
        <v>58.250464051794957</v>
      </c>
      <c r="J468" s="6">
        <v>9.7430000000000003E-2</v>
      </c>
      <c r="K468" s="99">
        <v>1.0723</v>
      </c>
      <c r="L468" s="1" t="s">
        <v>887</v>
      </c>
      <c r="M468" s="1">
        <v>2</v>
      </c>
      <c r="N468" s="9">
        <v>45295</v>
      </c>
      <c r="O468" s="1" t="s">
        <v>1004</v>
      </c>
      <c r="P468" s="1" t="s">
        <v>52</v>
      </c>
      <c r="Q468" s="1" t="s">
        <v>1150</v>
      </c>
      <c r="R468" s="1" t="s">
        <v>1151</v>
      </c>
      <c r="S468" s="1" t="b">
        <v>1</v>
      </c>
      <c r="T468" s="96"/>
      <c r="U468" s="97"/>
      <c r="V468" s="97"/>
      <c r="W468" s="97"/>
      <c r="X468" s="97"/>
      <c r="Y468" s="97" t="str">
        <f>IF(anleihenkäufe[[#This Row],[Verkauft am]]="","",anleihenkäufe[[#This Row],[Gewinn aus Kursänderung]]+anleihenkäufe[[#This Row],[Gewinn aus Zinsen]]+anleihenkäufe[[#This Row],[Gewinn aus Währungseffekten]])</f>
        <v/>
      </c>
      <c r="Z468" s="156" t="str">
        <f>IF(anleihenkäufe[[#This Row],[Verkauft am]]="","",anleihenkäufe[[#This Row],[Gewinn gesamt]]/anleihenkäufe[[#This Row],[Dirty Kaufpreis]])</f>
        <v/>
      </c>
    </row>
    <row r="469" spans="1:26" ht="14.25" x14ac:dyDescent="0.2">
      <c r="A469" s="9">
        <v>45412</v>
      </c>
      <c r="B469" s="1" t="s">
        <v>1137</v>
      </c>
      <c r="C469" s="1" t="s">
        <v>4</v>
      </c>
      <c r="D469" s="5">
        <f t="shared" si="21"/>
        <v>1245.5622851405058</v>
      </c>
      <c r="E469" s="5">
        <f t="shared" si="22"/>
        <v>1163.8533992352886</v>
      </c>
      <c r="F469" s="1">
        <v>2</v>
      </c>
      <c r="G469" s="1">
        <v>1000</v>
      </c>
      <c r="H469" s="6">
        <v>0.624</v>
      </c>
      <c r="I469" s="4">
        <f t="shared" si="23"/>
        <v>81.708885905217173</v>
      </c>
      <c r="J469" s="6">
        <v>9.7500000000000003E-2</v>
      </c>
      <c r="K469" s="99">
        <v>1.0723</v>
      </c>
      <c r="L469" s="1" t="s">
        <v>887</v>
      </c>
      <c r="M469" s="1">
        <v>2</v>
      </c>
      <c r="N469" s="9">
        <v>45248</v>
      </c>
      <c r="O469" s="1" t="s">
        <v>986</v>
      </c>
      <c r="P469" s="1" t="s">
        <v>39</v>
      </c>
      <c r="Q469" s="1" t="s">
        <v>1138</v>
      </c>
      <c r="R469" s="1" t="s">
        <v>1139</v>
      </c>
      <c r="S469" s="1" t="b">
        <v>1</v>
      </c>
      <c r="T469" s="96" t="s">
        <v>164</v>
      </c>
      <c r="U469" s="97"/>
      <c r="V469" s="97"/>
      <c r="W469" s="97"/>
      <c r="X469" s="97"/>
      <c r="Y469" s="97" t="str">
        <f>IF(anleihenkäufe[[#This Row],[Verkauft am]]="","",anleihenkäufe[[#This Row],[Gewinn aus Kursänderung]]+anleihenkäufe[[#This Row],[Gewinn aus Zinsen]]+anleihenkäufe[[#This Row],[Gewinn aus Währungseffekten]])</f>
        <v/>
      </c>
      <c r="Z469" s="156" t="str">
        <f>IF(anleihenkäufe[[#This Row],[Verkauft am]]="","",anleihenkäufe[[#This Row],[Gewinn gesamt]]/anleihenkäufe[[#This Row],[Dirty Kaufpreis]])</f>
        <v/>
      </c>
    </row>
    <row r="470" spans="1:26" ht="14.25" x14ac:dyDescent="0.2">
      <c r="A470" s="9">
        <v>45412</v>
      </c>
      <c r="B470" s="1" t="s">
        <v>1516</v>
      </c>
      <c r="C470" s="1" t="s">
        <v>4</v>
      </c>
      <c r="D470" s="5">
        <f t="shared" si="21"/>
        <v>2048.6931816004262</v>
      </c>
      <c r="E470" s="5">
        <f t="shared" si="22"/>
        <v>2041.2198078895833</v>
      </c>
      <c r="F470" s="1">
        <v>2</v>
      </c>
      <c r="G470" s="1">
        <v>1000</v>
      </c>
      <c r="H470" s="6">
        <v>1.0944</v>
      </c>
      <c r="I470" s="4">
        <f t="shared" si="23"/>
        <v>7.4733737108430347</v>
      </c>
      <c r="J470" s="6">
        <v>9.7500000000000003E-2</v>
      </c>
      <c r="K470" s="99">
        <v>1.0723</v>
      </c>
      <c r="L470" s="1" t="s">
        <v>887</v>
      </c>
      <c r="M470" s="1">
        <v>2</v>
      </c>
      <c r="N470" s="9">
        <v>45397</v>
      </c>
      <c r="O470" s="1" t="s">
        <v>276</v>
      </c>
      <c r="P470" s="1" t="s">
        <v>1011</v>
      </c>
      <c r="Q470" s="1" t="s">
        <v>1517</v>
      </c>
      <c r="R470" s="1" t="s">
        <v>1518</v>
      </c>
      <c r="S470" s="1" t="b">
        <v>1</v>
      </c>
      <c r="T470" s="96"/>
      <c r="U470" s="97"/>
      <c r="V470" s="97"/>
      <c r="W470" s="97"/>
      <c r="X470" s="97"/>
      <c r="Y470" s="97" t="str">
        <f>IF(anleihenkäufe[[#This Row],[Verkauft am]]="","",anleihenkäufe[[#This Row],[Gewinn aus Kursänderung]]+anleihenkäufe[[#This Row],[Gewinn aus Zinsen]]+anleihenkäufe[[#This Row],[Gewinn aus Währungseffekten]])</f>
        <v/>
      </c>
      <c r="Z470" s="156" t="str">
        <f>IF(anleihenkäufe[[#This Row],[Verkauft am]]="","",anleihenkäufe[[#This Row],[Gewinn gesamt]]/anleihenkäufe[[#This Row],[Dirty Kaufpreis]])</f>
        <v/>
      </c>
    </row>
    <row r="471" spans="1:26" ht="14.25" x14ac:dyDescent="0.2">
      <c r="A471" s="9">
        <v>45412</v>
      </c>
      <c r="B471" s="1" t="s">
        <v>1127</v>
      </c>
      <c r="C471" s="1" t="s">
        <v>4</v>
      </c>
      <c r="D471" s="5">
        <f t="shared" si="21"/>
        <v>1901.3540220164309</v>
      </c>
      <c r="E471" s="5">
        <f t="shared" si="22"/>
        <v>1889.3966240790821</v>
      </c>
      <c r="F471" s="1">
        <v>2</v>
      </c>
      <c r="G471" s="1">
        <v>1000</v>
      </c>
      <c r="H471" s="6">
        <v>1.0129999999999999</v>
      </c>
      <c r="I471" s="4">
        <f t="shared" si="23"/>
        <v>11.957397937348855</v>
      </c>
      <c r="J471" s="6">
        <v>9.7500000000000003E-2</v>
      </c>
      <c r="K471" s="99">
        <v>1.0723</v>
      </c>
      <c r="L471" s="1" t="s">
        <v>887</v>
      </c>
      <c r="M471" s="1">
        <v>4</v>
      </c>
      <c r="N471" s="9">
        <v>45388</v>
      </c>
      <c r="O471" s="1" t="s">
        <v>276</v>
      </c>
      <c r="P471" s="1" t="s">
        <v>39</v>
      </c>
      <c r="Q471" s="1" t="s">
        <v>1128</v>
      </c>
      <c r="R471" s="1" t="s">
        <v>1129</v>
      </c>
      <c r="S471" s="1" t="b">
        <v>1</v>
      </c>
      <c r="T471" s="96"/>
      <c r="U471" s="97"/>
      <c r="V471" s="97"/>
      <c r="W471" s="97"/>
      <c r="X471" s="97"/>
      <c r="Y471" s="97" t="str">
        <f>IF(anleihenkäufe[[#This Row],[Verkauft am]]="","",anleihenkäufe[[#This Row],[Gewinn aus Kursänderung]]+anleihenkäufe[[#This Row],[Gewinn aus Zinsen]]+anleihenkäufe[[#This Row],[Gewinn aus Währungseffekten]])</f>
        <v/>
      </c>
      <c r="Z471" s="156" t="str">
        <f>IF(anleihenkäufe[[#This Row],[Verkauft am]]="","",anleihenkäufe[[#This Row],[Gewinn gesamt]]/anleihenkäufe[[#This Row],[Dirty Kaufpreis]])</f>
        <v/>
      </c>
    </row>
    <row r="472" spans="1:26" ht="14.25" x14ac:dyDescent="0.2">
      <c r="A472" s="9">
        <v>45412</v>
      </c>
      <c r="B472" s="1" t="s">
        <v>1510</v>
      </c>
      <c r="C472" s="1" t="s">
        <v>2</v>
      </c>
      <c r="D472" s="5">
        <f t="shared" si="21"/>
        <v>1995.9835406928394</v>
      </c>
      <c r="E472" s="5">
        <f t="shared" si="22"/>
        <v>1981.5350181852095</v>
      </c>
      <c r="F472" s="1">
        <v>2</v>
      </c>
      <c r="G472" s="1">
        <v>1000</v>
      </c>
      <c r="H472" s="6">
        <v>1.0624</v>
      </c>
      <c r="I472" s="4">
        <f t="shared" si="23"/>
        <v>14.448522507629868</v>
      </c>
      <c r="J472" s="6">
        <v>9.7500000000000003E-2</v>
      </c>
      <c r="K472" s="99">
        <v>1.0723</v>
      </c>
      <c r="L472" s="1" t="s">
        <v>887</v>
      </c>
      <c r="M472" s="1">
        <v>2</v>
      </c>
      <c r="N472" s="9">
        <v>45383</v>
      </c>
      <c r="O472" s="1" t="s">
        <v>276</v>
      </c>
      <c r="P472" s="1" t="s">
        <v>1011</v>
      </c>
      <c r="Q472" s="1" t="s">
        <v>1511</v>
      </c>
      <c r="R472" s="1" t="s">
        <v>1512</v>
      </c>
      <c r="S472" s="1" t="b">
        <v>1</v>
      </c>
      <c r="T472" s="96"/>
      <c r="U472" s="97"/>
      <c r="V472" s="97"/>
      <c r="W472" s="97"/>
      <c r="X472" s="97"/>
      <c r="Y472" s="97" t="str">
        <f>IF(anleihenkäufe[[#This Row],[Verkauft am]]="","",anleihenkäufe[[#This Row],[Gewinn aus Kursänderung]]+anleihenkäufe[[#This Row],[Gewinn aus Zinsen]]+anleihenkäufe[[#This Row],[Gewinn aus Währungseffekten]])</f>
        <v/>
      </c>
      <c r="Z472" s="156" t="str">
        <f>IF(anleihenkäufe[[#This Row],[Verkauft am]]="","",anleihenkäufe[[#This Row],[Gewinn gesamt]]/anleihenkäufe[[#This Row],[Dirty Kaufpreis]])</f>
        <v/>
      </c>
    </row>
    <row r="473" spans="1:26" ht="14.25" x14ac:dyDescent="0.2">
      <c r="A473" s="9">
        <v>45412</v>
      </c>
      <c r="B473" s="1" t="s">
        <v>1146</v>
      </c>
      <c r="C473" s="1" t="s">
        <v>0</v>
      </c>
      <c r="D473" s="5">
        <f t="shared" si="21"/>
        <v>1871.0900522369659</v>
      </c>
      <c r="E473" s="5">
        <f t="shared" si="22"/>
        <v>1851.1610556747178</v>
      </c>
      <c r="F473" s="1">
        <v>2</v>
      </c>
      <c r="G473" s="1">
        <v>1000</v>
      </c>
      <c r="H473" s="6">
        <v>0.99250000000000005</v>
      </c>
      <c r="I473" s="4">
        <f t="shared" si="23"/>
        <v>19.928996562248091</v>
      </c>
      <c r="J473" s="6">
        <v>9.7500000000000003E-2</v>
      </c>
      <c r="K473" s="99">
        <v>1.0723</v>
      </c>
      <c r="L473" s="1" t="s">
        <v>887</v>
      </c>
      <c r="M473" s="1">
        <v>2</v>
      </c>
      <c r="N473" s="9">
        <v>45372</v>
      </c>
      <c r="O473" s="1" t="s">
        <v>1004</v>
      </c>
      <c r="P473" s="1" t="s">
        <v>52</v>
      </c>
      <c r="Q473" s="1" t="s">
        <v>1147</v>
      </c>
      <c r="R473" s="1" t="s">
        <v>1148</v>
      </c>
      <c r="S473" s="1" t="b">
        <v>1</v>
      </c>
      <c r="T473" s="96"/>
      <c r="U473" s="97"/>
      <c r="V473" s="97"/>
      <c r="W473" s="97"/>
      <c r="X473" s="97"/>
      <c r="Y473" s="97" t="str">
        <f>IF(anleihenkäufe[[#This Row],[Verkauft am]]="","",anleihenkäufe[[#This Row],[Gewinn aus Kursänderung]]+anleihenkäufe[[#This Row],[Gewinn aus Zinsen]]+anleihenkäufe[[#This Row],[Gewinn aus Währungseffekten]])</f>
        <v/>
      </c>
      <c r="Z473" s="156" t="str">
        <f>IF(anleihenkäufe[[#This Row],[Verkauft am]]="","",anleihenkäufe[[#This Row],[Gewinn gesamt]]/anleihenkäufe[[#This Row],[Dirty Kaufpreis]])</f>
        <v/>
      </c>
    </row>
    <row r="474" spans="1:26" ht="14.25" x14ac:dyDescent="0.2">
      <c r="A474" s="9">
        <v>45412</v>
      </c>
      <c r="B474" s="1" t="s">
        <v>1124</v>
      </c>
      <c r="C474" s="1" t="s">
        <v>0</v>
      </c>
      <c r="D474" s="5">
        <f t="shared" si="21"/>
        <v>2000.7562798695417</v>
      </c>
      <c r="E474" s="5">
        <f t="shared" si="22"/>
        <v>1958.4071621747644</v>
      </c>
      <c r="F474" s="1">
        <v>2</v>
      </c>
      <c r="G474" s="1">
        <v>1000</v>
      </c>
      <c r="H474" s="6">
        <v>1.05</v>
      </c>
      <c r="I474" s="4">
        <f t="shared" si="23"/>
        <v>42.349117694777199</v>
      </c>
      <c r="J474" s="6">
        <v>9.7500000000000003E-2</v>
      </c>
      <c r="K474" s="99">
        <v>1.0723</v>
      </c>
      <c r="L474" s="1" t="s">
        <v>887</v>
      </c>
      <c r="M474" s="1">
        <v>2</v>
      </c>
      <c r="N474" s="9">
        <v>45327</v>
      </c>
      <c r="O474" s="1" t="s">
        <v>35</v>
      </c>
      <c r="P474" s="1" t="s">
        <v>1011</v>
      </c>
      <c r="Q474" s="1" t="s">
        <v>1125</v>
      </c>
      <c r="R474" s="1" t="s">
        <v>1126</v>
      </c>
      <c r="S474" s="1" t="b">
        <v>1</v>
      </c>
      <c r="T474" s="96"/>
      <c r="U474" s="97"/>
      <c r="V474" s="97"/>
      <c r="W474" s="97"/>
      <c r="X474" s="97"/>
      <c r="Y474" s="97" t="str">
        <f>IF(anleihenkäufe[[#This Row],[Verkauft am]]="","",anleihenkäufe[[#This Row],[Gewinn aus Kursänderung]]+anleihenkäufe[[#This Row],[Gewinn aus Zinsen]]+anleihenkäufe[[#This Row],[Gewinn aus Währungseffekten]])</f>
        <v/>
      </c>
      <c r="Z474" s="156" t="str">
        <f>IF(anleihenkäufe[[#This Row],[Verkauft am]]="","",anleihenkäufe[[#This Row],[Gewinn gesamt]]/anleihenkäufe[[#This Row],[Dirty Kaufpreis]])</f>
        <v/>
      </c>
    </row>
    <row r="475" spans="1:26" ht="14.25" x14ac:dyDescent="0.2">
      <c r="A475" s="9">
        <v>45412</v>
      </c>
      <c r="B475" s="1" t="s">
        <v>1134</v>
      </c>
      <c r="C475" s="1" t="s">
        <v>0</v>
      </c>
      <c r="D475" s="5">
        <f t="shared" si="21"/>
        <v>1741.947599514039</v>
      </c>
      <c r="E475" s="5">
        <f t="shared" si="22"/>
        <v>1692.623333022475</v>
      </c>
      <c r="F475" s="1">
        <v>2</v>
      </c>
      <c r="G475" s="1">
        <v>1000</v>
      </c>
      <c r="H475" s="6">
        <v>0.90749999999999997</v>
      </c>
      <c r="I475" s="4">
        <f t="shared" si="23"/>
        <v>49.324266491564032</v>
      </c>
      <c r="J475" s="6">
        <v>9.7500000000000003E-2</v>
      </c>
      <c r="K475" s="99">
        <v>1.0723</v>
      </c>
      <c r="L475" s="1" t="s">
        <v>887</v>
      </c>
      <c r="M475" s="1">
        <v>2</v>
      </c>
      <c r="N475" s="9">
        <v>45313</v>
      </c>
      <c r="O475" s="1" t="s">
        <v>65</v>
      </c>
      <c r="P475" s="1" t="s">
        <v>39</v>
      </c>
      <c r="Q475" s="1" t="s">
        <v>1135</v>
      </c>
      <c r="R475" s="1" t="s">
        <v>1136</v>
      </c>
      <c r="S475" s="1" t="b">
        <v>1</v>
      </c>
      <c r="T475" s="96"/>
      <c r="U475" s="97"/>
      <c r="V475" s="97"/>
      <c r="W475" s="97"/>
      <c r="X475" s="97"/>
      <c r="Y475" s="97" t="str">
        <f>IF(anleihenkäufe[[#This Row],[Verkauft am]]="","",anleihenkäufe[[#This Row],[Gewinn aus Kursänderung]]+anleihenkäufe[[#This Row],[Gewinn aus Zinsen]]+anleihenkäufe[[#This Row],[Gewinn aus Währungseffekten]])</f>
        <v/>
      </c>
      <c r="Z475" s="156" t="str">
        <f>IF(anleihenkäufe[[#This Row],[Verkauft am]]="","",anleihenkäufe[[#This Row],[Gewinn gesamt]]/anleihenkäufe[[#This Row],[Dirty Kaufpreis]])</f>
        <v/>
      </c>
    </row>
    <row r="476" spans="1:26" ht="14.25" x14ac:dyDescent="0.2">
      <c r="A476" s="9">
        <v>45412</v>
      </c>
      <c r="B476" s="1" t="s">
        <v>1513</v>
      </c>
      <c r="C476" s="1" t="s">
        <v>0</v>
      </c>
      <c r="D476" s="5">
        <f t="shared" si="21"/>
        <v>1992.5675062821051</v>
      </c>
      <c r="E476" s="5">
        <f t="shared" si="22"/>
        <v>1939.7556653921476</v>
      </c>
      <c r="F476" s="1">
        <v>2</v>
      </c>
      <c r="G476" s="1">
        <v>1000</v>
      </c>
      <c r="H476" s="6">
        <v>1.04</v>
      </c>
      <c r="I476" s="4">
        <f t="shared" si="23"/>
        <v>52.811840889957445</v>
      </c>
      <c r="J476" s="6">
        <v>9.7500000000000003E-2</v>
      </c>
      <c r="K476" s="99">
        <v>1.0723</v>
      </c>
      <c r="L476" s="1" t="s">
        <v>887</v>
      </c>
      <c r="M476" s="1">
        <v>2</v>
      </c>
      <c r="N476" s="9">
        <v>45306</v>
      </c>
      <c r="O476" s="1" t="s">
        <v>276</v>
      </c>
      <c r="P476" s="1" t="s">
        <v>1011</v>
      </c>
      <c r="Q476" s="1" t="s">
        <v>1514</v>
      </c>
      <c r="R476" s="1" t="s">
        <v>1515</v>
      </c>
      <c r="S476" s="1" t="b">
        <v>1</v>
      </c>
      <c r="T476" s="96"/>
      <c r="U476" s="97"/>
      <c r="V476" s="97"/>
      <c r="W476" s="97"/>
      <c r="X476" s="97"/>
      <c r="Y476" s="97" t="str">
        <f>IF(anleihenkäufe[[#This Row],[Verkauft am]]="","",anleihenkäufe[[#This Row],[Gewinn aus Kursänderung]]+anleihenkäufe[[#This Row],[Gewinn aus Zinsen]]+anleihenkäufe[[#This Row],[Gewinn aus Währungseffekten]])</f>
        <v/>
      </c>
      <c r="Z476" s="156" t="str">
        <f>IF(anleihenkäufe[[#This Row],[Verkauft am]]="","",anleihenkäufe[[#This Row],[Gewinn gesamt]]/anleihenkäufe[[#This Row],[Dirty Kaufpreis]])</f>
        <v/>
      </c>
    </row>
    <row r="477" spans="1:26" ht="14.25" x14ac:dyDescent="0.2">
      <c r="A477" s="9">
        <v>45412</v>
      </c>
      <c r="B477" s="1" t="s">
        <v>1121</v>
      </c>
      <c r="C477" s="1" t="s">
        <v>0</v>
      </c>
      <c r="D477" s="5">
        <f t="shared" si="21"/>
        <v>1914.7549947047632</v>
      </c>
      <c r="E477" s="5">
        <f t="shared" si="22"/>
        <v>1846.4981814790635</v>
      </c>
      <c r="F477" s="1">
        <v>2000</v>
      </c>
      <c r="G477" s="1">
        <v>1</v>
      </c>
      <c r="H477" s="6">
        <v>0.99</v>
      </c>
      <c r="I477" s="4">
        <f t="shared" si="23"/>
        <v>68.256813225699716</v>
      </c>
      <c r="J477" s="6">
        <v>9.7500000000000003E-2</v>
      </c>
      <c r="K477" s="99">
        <v>1.0723</v>
      </c>
      <c r="L477" s="1" t="s">
        <v>887</v>
      </c>
      <c r="M477" s="1">
        <v>2</v>
      </c>
      <c r="N477" s="9">
        <v>45275</v>
      </c>
      <c r="O477" s="1" t="s">
        <v>65</v>
      </c>
      <c r="P477" s="1" t="s">
        <v>39</v>
      </c>
      <c r="Q477" s="1" t="s">
        <v>1122</v>
      </c>
      <c r="R477" s="1" t="s">
        <v>1123</v>
      </c>
      <c r="S477" s="1" t="b">
        <v>1</v>
      </c>
      <c r="T477" s="96"/>
      <c r="U477" s="97"/>
      <c r="V477" s="97"/>
      <c r="W477" s="97"/>
      <c r="X477" s="97"/>
      <c r="Y477" s="97" t="str">
        <f>IF(anleihenkäufe[[#This Row],[Verkauft am]]="","",anleihenkäufe[[#This Row],[Gewinn aus Kursänderung]]+anleihenkäufe[[#This Row],[Gewinn aus Zinsen]]+anleihenkäufe[[#This Row],[Gewinn aus Währungseffekten]])</f>
        <v/>
      </c>
      <c r="Z477" s="156" t="str">
        <f>IF(anleihenkäufe[[#This Row],[Verkauft am]]="","",anleihenkäufe[[#This Row],[Gewinn gesamt]]/anleihenkäufe[[#This Row],[Dirty Kaufpreis]])</f>
        <v/>
      </c>
    </row>
    <row r="478" spans="1:26" ht="14.25" x14ac:dyDescent="0.2">
      <c r="A478" s="9">
        <v>45412</v>
      </c>
      <c r="B478" s="1" t="s">
        <v>1130</v>
      </c>
      <c r="C478" s="1" t="s">
        <v>11</v>
      </c>
      <c r="D478" s="5">
        <f t="shared" si="21"/>
        <v>2370.4110611040924</v>
      </c>
      <c r="E478" s="5">
        <f t="shared" si="22"/>
        <v>2302.1542478783927</v>
      </c>
      <c r="F478" s="1">
        <v>2</v>
      </c>
      <c r="G478" s="1">
        <v>1000</v>
      </c>
      <c r="H478" s="6">
        <v>1.2343000000000002</v>
      </c>
      <c r="I478" s="4">
        <f t="shared" si="23"/>
        <v>68.256813225699716</v>
      </c>
      <c r="J478" s="6">
        <v>9.7500000000000003E-2</v>
      </c>
      <c r="K478" s="99">
        <v>1.0723</v>
      </c>
      <c r="L478" s="1" t="s">
        <v>887</v>
      </c>
      <c r="M478" s="1">
        <v>2</v>
      </c>
      <c r="N478" s="9">
        <v>45275</v>
      </c>
      <c r="O478" s="1" t="s">
        <v>1131</v>
      </c>
      <c r="P478" s="1" t="s">
        <v>61</v>
      </c>
      <c r="Q478" s="1" t="s">
        <v>1132</v>
      </c>
      <c r="R478" s="1" t="s">
        <v>1133</v>
      </c>
      <c r="S478" s="1" t="b">
        <v>1</v>
      </c>
      <c r="T478" s="9"/>
      <c r="U478" s="4"/>
      <c r="V478" s="4"/>
      <c r="W478" s="4"/>
      <c r="X478" s="4"/>
      <c r="Y478" s="4" t="str">
        <f>IF(anleihenkäufe[[#This Row],[Verkauft am]]="","",anleihenkäufe[[#This Row],[Gewinn aus Kursänderung]]+anleihenkäufe[[#This Row],[Gewinn aus Zinsen]]+anleihenkäufe[[#This Row],[Gewinn aus Währungseffekten]])</f>
        <v/>
      </c>
      <c r="Z478" s="156" t="str">
        <f>IF(anleihenkäufe[[#This Row],[Verkauft am]]="","",anleihenkäufe[[#This Row],[Gewinn gesamt]]/anleihenkäufe[[#This Row],[Dirty Kaufpreis]])</f>
        <v/>
      </c>
    </row>
    <row r="479" spans="1:26" ht="14.25" x14ac:dyDescent="0.2">
      <c r="A479" s="9">
        <v>45412</v>
      </c>
      <c r="B479" s="1" t="s">
        <v>1140</v>
      </c>
      <c r="C479" s="1" t="s">
        <v>0</v>
      </c>
      <c r="D479" s="5">
        <f t="shared" si="21"/>
        <v>1941.4572950986167</v>
      </c>
      <c r="E479" s="5">
        <f t="shared" si="22"/>
        <v>1855.2643849668937</v>
      </c>
      <c r="F479" s="1">
        <v>2</v>
      </c>
      <c r="G479" s="1">
        <v>1000</v>
      </c>
      <c r="H479" s="6">
        <v>0.99470000000000003</v>
      </c>
      <c r="I479" s="4">
        <f t="shared" si="23"/>
        <v>86.192910131722996</v>
      </c>
      <c r="J479" s="6">
        <v>9.7500000000000003E-2</v>
      </c>
      <c r="K479" s="99">
        <v>1.0723</v>
      </c>
      <c r="L479" s="1" t="s">
        <v>887</v>
      </c>
      <c r="M479" s="1">
        <v>2</v>
      </c>
      <c r="N479" s="9">
        <v>45239</v>
      </c>
      <c r="O479" s="1" t="s">
        <v>1141</v>
      </c>
      <c r="P479" s="1" t="s">
        <v>39</v>
      </c>
      <c r="Q479" s="1" t="s">
        <v>1142</v>
      </c>
      <c r="R479" s="1" t="s">
        <v>1143</v>
      </c>
      <c r="S479" s="1" t="b">
        <v>1</v>
      </c>
      <c r="T479" s="96"/>
      <c r="U479" s="97"/>
      <c r="V479" s="97"/>
      <c r="W479" s="97"/>
      <c r="X479" s="97"/>
      <c r="Y479" s="97" t="str">
        <f>IF(anleihenkäufe[[#This Row],[Verkauft am]]="","",anleihenkäufe[[#This Row],[Gewinn aus Kursänderung]]+anleihenkäufe[[#This Row],[Gewinn aus Zinsen]]+anleihenkäufe[[#This Row],[Gewinn aus Währungseffekten]])</f>
        <v/>
      </c>
      <c r="Z479" s="156" t="str">
        <f>IF(anleihenkäufe[[#This Row],[Verkauft am]]="","",anleihenkäufe[[#This Row],[Gewinn gesamt]]/anleihenkäufe[[#This Row],[Dirty Kaufpreis]])</f>
        <v/>
      </c>
    </row>
    <row r="480" spans="1:26" ht="14.25" x14ac:dyDescent="0.2">
      <c r="A480" s="9">
        <v>45412</v>
      </c>
      <c r="B480" s="1" t="s">
        <v>1118</v>
      </c>
      <c r="C480" s="1" t="s">
        <v>0</v>
      </c>
      <c r="D480" s="5">
        <f t="shared" si="21"/>
        <v>2045.6604993235635</v>
      </c>
      <c r="E480" s="5">
        <f t="shared" si="22"/>
        <v>1961.3914016599829</v>
      </c>
      <c r="F480" s="1">
        <v>2</v>
      </c>
      <c r="G480" s="1">
        <v>1000</v>
      </c>
      <c r="H480" s="6">
        <v>1.0515999999999999</v>
      </c>
      <c r="I480" s="4">
        <f t="shared" si="23"/>
        <v>84.269097663580638</v>
      </c>
      <c r="J480" s="6">
        <v>9.7579999999999986E-2</v>
      </c>
      <c r="K480" s="99">
        <v>1.0723</v>
      </c>
      <c r="L480" s="1" t="s">
        <v>887</v>
      </c>
      <c r="M480" s="1">
        <v>2</v>
      </c>
      <c r="N480" s="9">
        <v>45243</v>
      </c>
      <c r="O480" s="1" t="s">
        <v>1004</v>
      </c>
      <c r="P480" s="1" t="s">
        <v>52</v>
      </c>
      <c r="Q480" s="1" t="s">
        <v>1119</v>
      </c>
      <c r="R480" s="1" t="s">
        <v>1120</v>
      </c>
      <c r="S480" s="1" t="b">
        <v>1</v>
      </c>
      <c r="T480" s="96"/>
      <c r="U480" s="97"/>
      <c r="V480" s="97"/>
      <c r="W480" s="97"/>
      <c r="X480" s="97"/>
      <c r="Y480" s="97" t="str">
        <f>IF(anleihenkäufe[[#This Row],[Verkauft am]]="","",anleihenkäufe[[#This Row],[Gewinn aus Kursänderung]]+anleihenkäufe[[#This Row],[Gewinn aus Zinsen]]+anleihenkäufe[[#This Row],[Gewinn aus Währungseffekten]])</f>
        <v/>
      </c>
      <c r="Z480" s="156" t="str">
        <f>IF(anleihenkäufe[[#This Row],[Verkauft am]]="","",anleihenkäufe[[#This Row],[Gewinn gesamt]]/anleihenkäufe[[#This Row],[Dirty Kaufpreis]])</f>
        <v/>
      </c>
    </row>
    <row r="481" spans="1:26" ht="14.25" x14ac:dyDescent="0.2">
      <c r="A481" s="9">
        <v>45412</v>
      </c>
      <c r="B481" s="1" t="s">
        <v>1112</v>
      </c>
      <c r="C481" s="1" t="s">
        <v>11</v>
      </c>
      <c r="D481" s="5">
        <f t="shared" si="21"/>
        <v>1629.30533394483</v>
      </c>
      <c r="E481" s="5">
        <f t="shared" si="22"/>
        <v>1618.2038608598341</v>
      </c>
      <c r="F481" s="1">
        <v>2</v>
      </c>
      <c r="G481" s="1">
        <v>1000</v>
      </c>
      <c r="H481" s="6">
        <v>0.86760000000000004</v>
      </c>
      <c r="I481" s="4">
        <f t="shared" si="23"/>
        <v>11.101473084995892</v>
      </c>
      <c r="J481" s="6">
        <v>9.8750000000000004E-2</v>
      </c>
      <c r="K481" s="99">
        <v>1.0723</v>
      </c>
      <c r="L481" s="1" t="s">
        <v>887</v>
      </c>
      <c r="M481" s="1">
        <v>2</v>
      </c>
      <c r="N481" s="9">
        <v>45390</v>
      </c>
      <c r="O481" s="1" t="s">
        <v>986</v>
      </c>
      <c r="P481" s="1" t="s">
        <v>39</v>
      </c>
      <c r="Q481" s="1" t="s">
        <v>1113</v>
      </c>
      <c r="R481" s="1" t="s">
        <v>1114</v>
      </c>
      <c r="S481" s="1" t="b">
        <v>1</v>
      </c>
      <c r="T481" s="9"/>
      <c r="U481" s="4"/>
      <c r="V481" s="4"/>
      <c r="W481" s="4"/>
      <c r="X481" s="4"/>
      <c r="Y481" s="4" t="str">
        <f>IF(anleihenkäufe[[#This Row],[Verkauft am]]="","",anleihenkäufe[[#This Row],[Gewinn aus Kursänderung]]+anleihenkäufe[[#This Row],[Gewinn aus Zinsen]]+anleihenkäufe[[#This Row],[Gewinn aus Währungseffekten]])</f>
        <v/>
      </c>
      <c r="Z481" s="156" t="str">
        <f>IF(anleihenkäufe[[#This Row],[Verkauft am]]="","",anleihenkäufe[[#This Row],[Gewinn gesamt]]/anleihenkäufe[[#This Row],[Dirty Kaufpreis]])</f>
        <v/>
      </c>
    </row>
    <row r="482" spans="1:26" ht="14.25" x14ac:dyDescent="0.2">
      <c r="A482" s="9">
        <v>45412</v>
      </c>
      <c r="B482" s="1" t="s">
        <v>1115</v>
      </c>
      <c r="C482" s="1" t="s">
        <v>1</v>
      </c>
      <c r="D482" s="5">
        <f t="shared" si="21"/>
        <v>1886.6474445533156</v>
      </c>
      <c r="E482" s="5">
        <f t="shared" si="22"/>
        <v>1844.2600018651494</v>
      </c>
      <c r="F482" s="1">
        <v>2</v>
      </c>
      <c r="G482" s="1">
        <v>1000</v>
      </c>
      <c r="H482" s="6">
        <v>0.9887999999999999</v>
      </c>
      <c r="I482" s="4">
        <f t="shared" si="23"/>
        <v>42.387442688166139</v>
      </c>
      <c r="J482" s="6">
        <v>9.8750000000000004E-2</v>
      </c>
      <c r="K482" s="99">
        <v>1.0723</v>
      </c>
      <c r="L482" s="1" t="s">
        <v>887</v>
      </c>
      <c r="M482" s="1">
        <v>2</v>
      </c>
      <c r="N482" s="9">
        <v>45328</v>
      </c>
      <c r="O482" s="1" t="s">
        <v>35</v>
      </c>
      <c r="P482" s="1" t="s">
        <v>1011</v>
      </c>
      <c r="Q482" s="1" t="s">
        <v>1116</v>
      </c>
      <c r="R482" s="1" t="s">
        <v>1117</v>
      </c>
      <c r="S482" s="1" t="b">
        <v>1</v>
      </c>
      <c r="T482" s="96"/>
      <c r="U482" s="97"/>
      <c r="V482" s="97"/>
      <c r="W482" s="97"/>
      <c r="X482" s="97"/>
      <c r="Y482" s="97" t="str">
        <f>IF(anleihenkäufe[[#This Row],[Verkauft am]]="","",anleihenkäufe[[#This Row],[Gewinn aus Kursänderung]]+anleihenkäufe[[#This Row],[Gewinn aus Zinsen]]+anleihenkäufe[[#This Row],[Gewinn aus Währungseffekten]])</f>
        <v/>
      </c>
      <c r="Z482" s="156" t="str">
        <f>IF(anleihenkäufe[[#This Row],[Verkauft am]]="","",anleihenkäufe[[#This Row],[Gewinn gesamt]]/anleihenkäufe[[#This Row],[Dirty Kaufpreis]])</f>
        <v/>
      </c>
    </row>
    <row r="483" spans="1:26" ht="14.25" x14ac:dyDescent="0.2">
      <c r="A483" s="9">
        <v>45412</v>
      </c>
      <c r="B483" s="1" t="s">
        <v>1507</v>
      </c>
      <c r="C483" s="1" t="s">
        <v>4</v>
      </c>
      <c r="D483" s="5">
        <f t="shared" si="21"/>
        <v>2057.0339776616388</v>
      </c>
      <c r="E483" s="5">
        <f t="shared" si="22"/>
        <v>2012.1234729087007</v>
      </c>
      <c r="F483" s="1">
        <v>2</v>
      </c>
      <c r="G483" s="1">
        <v>1000</v>
      </c>
      <c r="H483" s="6">
        <v>1.0788</v>
      </c>
      <c r="I483" s="4">
        <f t="shared" si="23"/>
        <v>44.910504752937932</v>
      </c>
      <c r="J483" s="6">
        <v>9.8750000000000004E-2</v>
      </c>
      <c r="K483" s="99">
        <v>1.0723</v>
      </c>
      <c r="L483" s="1" t="s">
        <v>887</v>
      </c>
      <c r="M483" s="1">
        <v>2</v>
      </c>
      <c r="N483" s="9">
        <v>45323</v>
      </c>
      <c r="O483" s="1" t="s">
        <v>276</v>
      </c>
      <c r="P483" s="1" t="s">
        <v>1011</v>
      </c>
      <c r="Q483" s="1" t="s">
        <v>1508</v>
      </c>
      <c r="R483" s="1" t="s">
        <v>1509</v>
      </c>
      <c r="S483" s="1" t="b">
        <v>1</v>
      </c>
      <c r="T483" s="96"/>
      <c r="U483" s="97"/>
      <c r="V483" s="97"/>
      <c r="W483" s="97"/>
      <c r="X483" s="97"/>
      <c r="Y483" s="97" t="str">
        <f>IF(anleihenkäufe[[#This Row],[Verkauft am]]="","",anleihenkäufe[[#This Row],[Gewinn aus Kursänderung]]+anleihenkäufe[[#This Row],[Gewinn aus Zinsen]]+anleihenkäufe[[#This Row],[Gewinn aus Währungseffekten]])</f>
        <v/>
      </c>
      <c r="Z483" s="156" t="str">
        <f>IF(anleihenkäufe[[#This Row],[Verkauft am]]="","",anleihenkäufe[[#This Row],[Gewinn gesamt]]/anleihenkäufe[[#This Row],[Dirty Kaufpreis]])</f>
        <v/>
      </c>
    </row>
    <row r="484" spans="1:26" ht="14.25" x14ac:dyDescent="0.2">
      <c r="A484" s="9">
        <v>45412</v>
      </c>
      <c r="B484" s="1" t="s">
        <v>1109</v>
      </c>
      <c r="C484" s="1" t="s">
        <v>1</v>
      </c>
      <c r="D484" s="5">
        <f t="shared" si="21"/>
        <v>2601.6742912111845</v>
      </c>
      <c r="E484" s="5">
        <f t="shared" si="22"/>
        <v>2514.221766296745</v>
      </c>
      <c r="F484" s="1">
        <v>2</v>
      </c>
      <c r="G484" s="1">
        <v>1000</v>
      </c>
      <c r="H484" s="6">
        <v>1.3480000000000001</v>
      </c>
      <c r="I484" s="4">
        <f t="shared" si="23"/>
        <v>87.452524914439437</v>
      </c>
      <c r="J484" s="6">
        <v>9.9499999999999991E-2</v>
      </c>
      <c r="K484" s="99">
        <v>1.0723</v>
      </c>
      <c r="L484" s="1" t="s">
        <v>887</v>
      </c>
      <c r="M484" s="1">
        <v>2</v>
      </c>
      <c r="N484" s="9">
        <v>45240</v>
      </c>
      <c r="O484" s="1" t="s">
        <v>276</v>
      </c>
      <c r="P484" s="1" t="s">
        <v>57</v>
      </c>
      <c r="Q484" s="1" t="s">
        <v>1110</v>
      </c>
      <c r="R484" s="1" t="s">
        <v>1111</v>
      </c>
      <c r="S484" s="1" t="b">
        <v>1</v>
      </c>
      <c r="T484" s="9"/>
      <c r="U484" s="4"/>
      <c r="V484" s="4"/>
      <c r="W484" s="4"/>
      <c r="X484" s="4"/>
      <c r="Y484" s="4" t="str">
        <f>IF(anleihenkäufe[[#This Row],[Verkauft am]]="","",anleihenkäufe[[#This Row],[Gewinn aus Kursänderung]]+anleihenkäufe[[#This Row],[Gewinn aus Zinsen]]+anleihenkäufe[[#This Row],[Gewinn aus Währungseffekten]])</f>
        <v/>
      </c>
      <c r="Z484" s="156" t="str">
        <f>IF(anleihenkäufe[[#This Row],[Verkauft am]]="","",anleihenkäufe[[#This Row],[Gewinn gesamt]]/anleihenkäufe[[#This Row],[Dirty Kaufpreis]])</f>
        <v/>
      </c>
    </row>
    <row r="485" spans="1:26" ht="14.25" x14ac:dyDescent="0.2">
      <c r="A485" s="9">
        <v>45412</v>
      </c>
      <c r="B485" s="1" t="s">
        <v>1101</v>
      </c>
      <c r="C485" s="1" t="s">
        <v>0</v>
      </c>
      <c r="D485" s="5">
        <f t="shared" si="21"/>
        <v>1231.1699726231798</v>
      </c>
      <c r="E485" s="5">
        <f t="shared" si="22"/>
        <v>1189.778979763126</v>
      </c>
      <c r="F485" s="1">
        <v>2</v>
      </c>
      <c r="G485" s="1">
        <v>1000</v>
      </c>
      <c r="H485" s="6">
        <v>0.63790000000000002</v>
      </c>
      <c r="I485" s="4">
        <f t="shared" si="23"/>
        <v>41.390992860053736</v>
      </c>
      <c r="J485" s="6">
        <v>0.1</v>
      </c>
      <c r="K485" s="99">
        <v>1.0723</v>
      </c>
      <c r="L485" s="1" t="s">
        <v>887</v>
      </c>
      <c r="M485" s="1">
        <v>4</v>
      </c>
      <c r="N485" s="9">
        <v>45331</v>
      </c>
      <c r="O485" s="1" t="s">
        <v>995</v>
      </c>
      <c r="P485" s="1" t="s">
        <v>52</v>
      </c>
      <c r="Q485" s="1" t="s">
        <v>1102</v>
      </c>
      <c r="R485" s="1" t="s">
        <v>1103</v>
      </c>
      <c r="S485" s="1" t="b">
        <v>1</v>
      </c>
      <c r="T485" s="96" t="s">
        <v>164</v>
      </c>
      <c r="U485" s="97"/>
      <c r="V485" s="97"/>
      <c r="W485" s="97"/>
      <c r="X485" s="97"/>
      <c r="Y485" s="97" t="str">
        <f>IF(anleihenkäufe[[#This Row],[Verkauft am]]="","",anleihenkäufe[[#This Row],[Gewinn aus Kursänderung]]+anleihenkäufe[[#This Row],[Gewinn aus Zinsen]]+anleihenkäufe[[#This Row],[Gewinn aus Währungseffekten]])</f>
        <v/>
      </c>
      <c r="Z485" s="156" t="str">
        <f>IF(anleihenkäufe[[#This Row],[Verkauft am]]="","",anleihenkäufe[[#This Row],[Gewinn gesamt]]/anleihenkäufe[[#This Row],[Dirty Kaufpreis]])</f>
        <v/>
      </c>
    </row>
    <row r="486" spans="1:26" ht="14.25" x14ac:dyDescent="0.2">
      <c r="A486" s="9">
        <v>45412</v>
      </c>
      <c r="B486" s="1" t="s">
        <v>1092</v>
      </c>
      <c r="C486" s="1" t="s">
        <v>4</v>
      </c>
      <c r="D486" s="5">
        <f t="shared" si="21"/>
        <v>1866.3428630558562</v>
      </c>
      <c r="E486" s="5">
        <f t="shared" si="22"/>
        <v>1823.9298703720974</v>
      </c>
      <c r="F486" s="1">
        <v>2</v>
      </c>
      <c r="G486" s="1">
        <v>1000</v>
      </c>
      <c r="H486" s="6">
        <v>0.9779000000000001</v>
      </c>
      <c r="I486" s="4">
        <f t="shared" si="23"/>
        <v>42.412992683758759</v>
      </c>
      <c r="J486" s="6">
        <v>0.1</v>
      </c>
      <c r="K486" s="99">
        <v>1.0723</v>
      </c>
      <c r="L486" s="1" t="s">
        <v>887</v>
      </c>
      <c r="M486" s="1">
        <v>2</v>
      </c>
      <c r="N486" s="9">
        <v>45329</v>
      </c>
      <c r="O486" s="1" t="s">
        <v>1020</v>
      </c>
      <c r="P486" s="1" t="s">
        <v>61</v>
      </c>
      <c r="Q486" s="1" t="s">
        <v>1093</v>
      </c>
      <c r="R486" s="1" t="s">
        <v>1094</v>
      </c>
      <c r="S486" s="1" t="b">
        <v>1</v>
      </c>
      <c r="T486" s="96"/>
      <c r="U486" s="97"/>
      <c r="V486" s="97"/>
      <c r="W486" s="97"/>
      <c r="X486" s="97"/>
      <c r="Y486" s="97" t="str">
        <f>IF(anleihenkäufe[[#This Row],[Verkauft am]]="","",anleihenkäufe[[#This Row],[Gewinn aus Kursänderung]]+anleihenkäufe[[#This Row],[Gewinn aus Zinsen]]+anleihenkäufe[[#This Row],[Gewinn aus Währungseffekten]])</f>
        <v/>
      </c>
      <c r="Z486" s="156" t="str">
        <f>IF(anleihenkäufe[[#This Row],[Verkauft am]]="","",anleihenkäufe[[#This Row],[Gewinn gesamt]]/anleihenkäufe[[#This Row],[Dirty Kaufpreis]])</f>
        <v/>
      </c>
    </row>
    <row r="487" spans="1:26" ht="14.25" x14ac:dyDescent="0.2">
      <c r="A487" s="9">
        <v>45412</v>
      </c>
      <c r="B487" s="1" t="s">
        <v>1104</v>
      </c>
      <c r="C487" s="1" t="s">
        <v>4</v>
      </c>
      <c r="D487" s="5">
        <f t="shared" si="21"/>
        <v>1908.2371908290847</v>
      </c>
      <c r="E487" s="5">
        <f t="shared" si="22"/>
        <v>1859.1811992912433</v>
      </c>
      <c r="F487" s="1">
        <v>2</v>
      </c>
      <c r="G487" s="1">
        <v>1000</v>
      </c>
      <c r="H487" s="6">
        <v>0.99680000000000002</v>
      </c>
      <c r="I487" s="4">
        <f t="shared" si="23"/>
        <v>49.055991537841457</v>
      </c>
      <c r="J487" s="6">
        <v>0.1</v>
      </c>
      <c r="K487" s="99">
        <v>1.0723</v>
      </c>
      <c r="L487" s="1" t="s">
        <v>887</v>
      </c>
      <c r="M487" s="1">
        <v>2</v>
      </c>
      <c r="N487" s="9">
        <v>45316</v>
      </c>
      <c r="O487" s="1" t="s">
        <v>1105</v>
      </c>
      <c r="P487" s="1" t="s">
        <v>39</v>
      </c>
      <c r="Q487" s="1" t="s">
        <v>1106</v>
      </c>
      <c r="R487" s="1" t="s">
        <v>1107</v>
      </c>
      <c r="S487" s="1" t="b">
        <v>1</v>
      </c>
      <c r="T487" s="96"/>
      <c r="U487" s="97"/>
      <c r="V487" s="97"/>
      <c r="W487" s="97"/>
      <c r="X487" s="97"/>
      <c r="Y487" s="97" t="str">
        <f>IF(anleihenkäufe[[#This Row],[Verkauft am]]="","",anleihenkäufe[[#This Row],[Gewinn aus Kursänderung]]+anleihenkäufe[[#This Row],[Gewinn aus Zinsen]]+anleihenkäufe[[#This Row],[Gewinn aus Währungseffekten]])</f>
        <v/>
      </c>
      <c r="Z487" s="156" t="str">
        <f>IF(anleihenkäufe[[#This Row],[Verkauft am]]="","",anleihenkäufe[[#This Row],[Gewinn gesamt]]/anleihenkäufe[[#This Row],[Dirty Kaufpreis]])</f>
        <v/>
      </c>
    </row>
    <row r="488" spans="1:26" ht="14.25" x14ac:dyDescent="0.2">
      <c r="A488" s="9">
        <v>45412</v>
      </c>
      <c r="B488" s="1" t="s">
        <v>1095</v>
      </c>
      <c r="C488" s="1" t="s">
        <v>0</v>
      </c>
      <c r="D488" s="5">
        <f t="shared" si="21"/>
        <v>2027.4688002616319</v>
      </c>
      <c r="E488" s="5">
        <f t="shared" si="22"/>
        <v>1941.6208150704094</v>
      </c>
      <c r="F488" s="1">
        <v>2</v>
      </c>
      <c r="G488" s="1">
        <v>1000</v>
      </c>
      <c r="H488" s="6">
        <v>1.0409999999999999</v>
      </c>
      <c r="I488" s="4">
        <f t="shared" si="23"/>
        <v>85.847985191222548</v>
      </c>
      <c r="J488" s="6">
        <v>0.1</v>
      </c>
      <c r="K488" s="99">
        <v>1.0723</v>
      </c>
      <c r="L488" s="1" t="s">
        <v>887</v>
      </c>
      <c r="M488" s="1">
        <v>2</v>
      </c>
      <c r="N488" s="9">
        <v>45244</v>
      </c>
      <c r="O488" s="1" t="s">
        <v>102</v>
      </c>
      <c r="P488" s="1" t="s">
        <v>81</v>
      </c>
      <c r="Q488" s="1" t="s">
        <v>1097</v>
      </c>
      <c r="R488" s="1" t="s">
        <v>1098</v>
      </c>
      <c r="S488" s="1" t="b">
        <v>1</v>
      </c>
      <c r="T488" s="96"/>
      <c r="U488" s="97"/>
      <c r="V488" s="97"/>
      <c r="W488" s="97"/>
      <c r="X488" s="97"/>
      <c r="Y488" s="97" t="str">
        <f>IF(anleihenkäufe[[#This Row],[Verkauft am]]="","",anleihenkäufe[[#This Row],[Gewinn aus Kursänderung]]+anleihenkäufe[[#This Row],[Gewinn aus Zinsen]]+anleihenkäufe[[#This Row],[Gewinn aus Währungseffekten]])</f>
        <v/>
      </c>
      <c r="Z488" s="156" t="str">
        <f>IF(anleihenkäufe[[#This Row],[Verkauft am]]="","",anleihenkäufe[[#This Row],[Gewinn gesamt]]/anleihenkäufe[[#This Row],[Dirty Kaufpreis]])</f>
        <v/>
      </c>
    </row>
    <row r="489" spans="1:26" ht="14.25" x14ac:dyDescent="0.2">
      <c r="A489" s="9">
        <v>45412</v>
      </c>
      <c r="B489" s="1" t="s">
        <v>1091</v>
      </c>
      <c r="C489" s="1" t="s">
        <v>10</v>
      </c>
      <c r="D489" s="5">
        <f t="shared" si="21"/>
        <v>1920.5241837095784</v>
      </c>
      <c r="E489" s="5">
        <f t="shared" si="22"/>
        <v>1828.0331996642733</v>
      </c>
      <c r="F489" s="1">
        <v>2</v>
      </c>
      <c r="G489" s="1">
        <v>1000</v>
      </c>
      <c r="H489" s="6">
        <v>0.98010000000000008</v>
      </c>
      <c r="I489" s="4">
        <f t="shared" si="23"/>
        <v>92.49098404530524</v>
      </c>
      <c r="J489" s="6">
        <v>0.1</v>
      </c>
      <c r="K489" s="99">
        <v>1.0723</v>
      </c>
      <c r="L489" s="1" t="s">
        <v>887</v>
      </c>
      <c r="M489" s="1">
        <v>2</v>
      </c>
      <c r="N489" s="9">
        <v>45231</v>
      </c>
      <c r="O489" s="1" t="s">
        <v>284</v>
      </c>
      <c r="P489" s="1" t="s">
        <v>109</v>
      </c>
      <c r="Q489" s="1" t="s">
        <v>1099</v>
      </c>
      <c r="R489" s="1" t="s">
        <v>1100</v>
      </c>
      <c r="S489" s="1" t="b">
        <v>1</v>
      </c>
      <c r="T489" s="96"/>
      <c r="U489" s="97"/>
      <c r="V489" s="97"/>
      <c r="W489" s="97"/>
      <c r="X489" s="97"/>
      <c r="Y489" s="97" t="str">
        <f>IF(anleihenkäufe[[#This Row],[Verkauft am]]="","",anleihenkäufe[[#This Row],[Gewinn aus Kursänderung]]+anleihenkäufe[[#This Row],[Gewinn aus Zinsen]]+anleihenkäufe[[#This Row],[Gewinn aus Währungseffekten]])</f>
        <v/>
      </c>
      <c r="Z489" s="156" t="str">
        <f>IF(anleihenkäufe[[#This Row],[Verkauft am]]="","",anleihenkäufe[[#This Row],[Gewinn gesamt]]/anleihenkäufe[[#This Row],[Dirty Kaufpreis]])</f>
        <v/>
      </c>
    </row>
    <row r="490" spans="1:26" ht="14.25" x14ac:dyDescent="0.2">
      <c r="A490" s="9">
        <v>45412</v>
      </c>
      <c r="B490" s="1" t="s">
        <v>1088</v>
      </c>
      <c r="C490" s="1" t="s">
        <v>0</v>
      </c>
      <c r="D490" s="5">
        <f t="shared" si="21"/>
        <v>1919.7729627391639</v>
      </c>
      <c r="E490" s="5">
        <f t="shared" si="22"/>
        <v>1869.6260374895085</v>
      </c>
      <c r="F490" s="1">
        <v>2</v>
      </c>
      <c r="G490" s="1">
        <v>1000</v>
      </c>
      <c r="H490" s="6">
        <v>1.0024</v>
      </c>
      <c r="I490" s="4">
        <f t="shared" si="23"/>
        <v>50.146925249655403</v>
      </c>
      <c r="J490" s="6">
        <v>0.10117000000000001</v>
      </c>
      <c r="K490" s="99">
        <v>1.0723</v>
      </c>
      <c r="L490" s="1" t="s">
        <v>887</v>
      </c>
      <c r="M490" s="1">
        <v>2</v>
      </c>
      <c r="N490" s="9">
        <v>45315</v>
      </c>
      <c r="O490" s="1" t="s">
        <v>1004</v>
      </c>
      <c r="P490" s="1" t="s">
        <v>52</v>
      </c>
      <c r="Q490" s="1" t="s">
        <v>1089</v>
      </c>
      <c r="R490" s="1" t="s">
        <v>1090</v>
      </c>
      <c r="S490" s="1" t="b">
        <v>1</v>
      </c>
      <c r="T490" s="96"/>
      <c r="U490" s="97"/>
      <c r="V490" s="97"/>
      <c r="W490" s="97"/>
      <c r="X490" s="97"/>
      <c r="Y490" s="97" t="str">
        <f>IF(anleihenkäufe[[#This Row],[Verkauft am]]="","",anleihenkäufe[[#This Row],[Gewinn aus Kursänderung]]+anleihenkäufe[[#This Row],[Gewinn aus Zinsen]]+anleihenkäufe[[#This Row],[Gewinn aus Währungseffekten]])</f>
        <v/>
      </c>
      <c r="Z490" s="156" t="str">
        <f>IF(anleihenkäufe[[#This Row],[Verkauft am]]="","",anleihenkäufe[[#This Row],[Gewinn gesamt]]/anleihenkäufe[[#This Row],[Dirty Kaufpreis]])</f>
        <v/>
      </c>
    </row>
    <row r="491" spans="1:26" ht="14.25" x14ac:dyDescent="0.2">
      <c r="A491" s="9">
        <v>45412</v>
      </c>
      <c r="B491" s="1" t="s">
        <v>1085</v>
      </c>
      <c r="C491" s="1" t="s">
        <v>0</v>
      </c>
      <c r="D491" s="5">
        <f t="shared" si="21"/>
        <v>2269.1652177690003</v>
      </c>
      <c r="E491" s="5">
        <f t="shared" si="22"/>
        <v>2205.7260095122638</v>
      </c>
      <c r="F491" s="1">
        <v>2</v>
      </c>
      <c r="G491" s="1">
        <v>1000</v>
      </c>
      <c r="H491" s="6">
        <v>1.1826000000000001</v>
      </c>
      <c r="I491" s="4">
        <f t="shared" si="23"/>
        <v>63.439208256736585</v>
      </c>
      <c r="J491" s="6">
        <v>0.10176</v>
      </c>
      <c r="K491" s="99">
        <v>1.0723</v>
      </c>
      <c r="L491" s="1" t="s">
        <v>887</v>
      </c>
      <c r="M491" s="1">
        <v>2</v>
      </c>
      <c r="N491" s="9">
        <v>45290</v>
      </c>
      <c r="O491" s="1" t="s">
        <v>284</v>
      </c>
      <c r="P491" s="1" t="s">
        <v>39</v>
      </c>
      <c r="Q491" s="1" t="s">
        <v>1086</v>
      </c>
      <c r="R491" s="1" t="s">
        <v>1087</v>
      </c>
      <c r="S491" s="1" t="b">
        <v>1</v>
      </c>
      <c r="T491" s="96"/>
      <c r="U491" s="97"/>
      <c r="V491" s="97"/>
      <c r="W491" s="97"/>
      <c r="X491" s="97"/>
      <c r="Y491" s="97" t="str">
        <f>IF(anleihenkäufe[[#This Row],[Verkauft am]]="","",anleihenkäufe[[#This Row],[Gewinn aus Kursänderung]]+anleihenkäufe[[#This Row],[Gewinn aus Zinsen]]+anleihenkäufe[[#This Row],[Gewinn aus Währungseffekten]])</f>
        <v/>
      </c>
      <c r="Z491" s="156" t="str">
        <f>IF(anleihenkäufe[[#This Row],[Verkauft am]]="","",anleihenkäufe[[#This Row],[Gewinn gesamt]]/anleihenkäufe[[#This Row],[Dirty Kaufpreis]])</f>
        <v/>
      </c>
    </row>
    <row r="492" spans="1:26" ht="14.25" x14ac:dyDescent="0.2">
      <c r="A492" s="9">
        <v>45412</v>
      </c>
      <c r="B492" s="1" t="s">
        <v>1079</v>
      </c>
      <c r="C492" s="1" t="s">
        <v>10</v>
      </c>
      <c r="D492" s="5">
        <f t="shared" si="21"/>
        <v>1629.2618989523221</v>
      </c>
      <c r="E492" s="5">
        <f t="shared" si="22"/>
        <v>1534.4586403058843</v>
      </c>
      <c r="F492" s="1">
        <v>2</v>
      </c>
      <c r="G492" s="1">
        <v>1000</v>
      </c>
      <c r="H492" s="6">
        <v>0.82269999999999999</v>
      </c>
      <c r="I492" s="4">
        <f t="shared" si="23"/>
        <v>94.803258646437882</v>
      </c>
      <c r="J492" s="6">
        <v>0.10249999999999999</v>
      </c>
      <c r="K492" s="99">
        <v>1.0723</v>
      </c>
      <c r="L492" s="1" t="s">
        <v>887</v>
      </c>
      <c r="M492" s="1">
        <v>2</v>
      </c>
      <c r="N492" s="9">
        <v>45231</v>
      </c>
      <c r="O492" s="1" t="s">
        <v>276</v>
      </c>
      <c r="P492" s="1" t="s">
        <v>39</v>
      </c>
      <c r="Q492" s="1" t="s">
        <v>1080</v>
      </c>
      <c r="R492" s="1" t="s">
        <v>1081</v>
      </c>
      <c r="S492" s="1" t="b">
        <v>1</v>
      </c>
      <c r="T492" s="96" t="s">
        <v>164</v>
      </c>
      <c r="U492" s="97"/>
      <c r="V492" s="97"/>
      <c r="W492" s="97"/>
      <c r="X492" s="97"/>
      <c r="Y492" s="97" t="str">
        <f>IF(anleihenkäufe[[#This Row],[Verkauft am]]="","",anleihenkäufe[[#This Row],[Gewinn aus Kursänderung]]+anleihenkäufe[[#This Row],[Gewinn aus Zinsen]]+anleihenkäufe[[#This Row],[Gewinn aus Währungseffekten]])</f>
        <v/>
      </c>
      <c r="Z492" s="156" t="str">
        <f>IF(anleihenkäufe[[#This Row],[Verkauft am]]="","",anleihenkäufe[[#This Row],[Gewinn gesamt]]/anleihenkäufe[[#This Row],[Dirty Kaufpreis]])</f>
        <v/>
      </c>
    </row>
    <row r="493" spans="1:26" ht="14.25" x14ac:dyDescent="0.2">
      <c r="A493" s="9">
        <v>45412</v>
      </c>
      <c r="B493" s="1" t="s">
        <v>1076</v>
      </c>
      <c r="C493" s="1" t="s">
        <v>8</v>
      </c>
      <c r="D493" s="5">
        <f t="shared" si="21"/>
        <v>1831.8886939991999</v>
      </c>
      <c r="E493" s="5">
        <f t="shared" si="22"/>
        <v>1776.3685535764241</v>
      </c>
      <c r="F493" s="1">
        <v>2</v>
      </c>
      <c r="G493" s="1">
        <v>1000</v>
      </c>
      <c r="H493" s="6">
        <v>0.95239999999999991</v>
      </c>
      <c r="I493" s="4">
        <f t="shared" si="23"/>
        <v>55.520140422775775</v>
      </c>
      <c r="J493" s="6">
        <v>0.10249999999999999</v>
      </c>
      <c r="K493" s="99">
        <v>1.0723</v>
      </c>
      <c r="L493" s="1" t="s">
        <v>887</v>
      </c>
      <c r="M493" s="1">
        <v>2</v>
      </c>
      <c r="N493" s="9">
        <v>45306</v>
      </c>
      <c r="O493" s="1" t="s">
        <v>276</v>
      </c>
      <c r="P493" s="1" t="s">
        <v>39</v>
      </c>
      <c r="Q493" s="1" t="s">
        <v>1077</v>
      </c>
      <c r="R493" s="1" t="s">
        <v>1078</v>
      </c>
      <c r="S493" s="1" t="b">
        <v>1</v>
      </c>
      <c r="T493" s="96"/>
      <c r="U493" s="97"/>
      <c r="V493" s="97"/>
      <c r="W493" s="97"/>
      <c r="X493" s="97"/>
      <c r="Y493" s="97" t="str">
        <f>IF(anleihenkäufe[[#This Row],[Verkauft am]]="","",anleihenkäufe[[#This Row],[Gewinn aus Kursänderung]]+anleihenkäufe[[#This Row],[Gewinn aus Zinsen]]+anleihenkäufe[[#This Row],[Gewinn aus Währungseffekten]])</f>
        <v/>
      </c>
      <c r="Z493" s="156" t="str">
        <f>IF(anleihenkäufe[[#This Row],[Verkauft am]]="","",anleihenkäufe[[#This Row],[Gewinn gesamt]]/anleihenkäufe[[#This Row],[Dirty Kaufpreis]])</f>
        <v/>
      </c>
    </row>
    <row r="494" spans="1:26" ht="14.25" x14ac:dyDescent="0.2">
      <c r="A494" s="9">
        <v>45412</v>
      </c>
      <c r="B494" s="1" t="s">
        <v>1073</v>
      </c>
      <c r="C494" s="1" t="s">
        <v>4</v>
      </c>
      <c r="D494" s="5">
        <f t="shared" si="21"/>
        <v>1863.2794185842999</v>
      </c>
      <c r="E494" s="5">
        <f t="shared" si="22"/>
        <v>1775.8090086729458</v>
      </c>
      <c r="F494" s="1">
        <v>2</v>
      </c>
      <c r="G494" s="1">
        <v>1000</v>
      </c>
      <c r="H494" s="6">
        <v>0.95209999999999995</v>
      </c>
      <c r="I494" s="4">
        <f t="shared" si="23"/>
        <v>87.470409911354295</v>
      </c>
      <c r="J494" s="6">
        <v>0.10249999999999999</v>
      </c>
      <c r="K494" s="99">
        <v>1.0723</v>
      </c>
      <c r="L494" s="1" t="s">
        <v>887</v>
      </c>
      <c r="M494" s="1">
        <v>2</v>
      </c>
      <c r="N494" s="9">
        <v>45245</v>
      </c>
      <c r="O494" s="1" t="s">
        <v>65</v>
      </c>
      <c r="P494" s="1" t="s">
        <v>109</v>
      </c>
      <c r="Q494" s="1" t="s">
        <v>1074</v>
      </c>
      <c r="R494" s="1" t="s">
        <v>1075</v>
      </c>
      <c r="S494" s="1" t="b">
        <v>1</v>
      </c>
      <c r="T494" s="96"/>
      <c r="U494" s="97"/>
      <c r="V494" s="97"/>
      <c r="W494" s="97"/>
      <c r="X494" s="97"/>
      <c r="Y494" s="97" t="str">
        <f>IF(anleihenkäufe[[#This Row],[Verkauft am]]="","",anleihenkäufe[[#This Row],[Gewinn aus Kursänderung]]+anleihenkäufe[[#This Row],[Gewinn aus Zinsen]]+anleihenkäufe[[#This Row],[Gewinn aus Währungseffekten]])</f>
        <v/>
      </c>
      <c r="Z494" s="156" t="str">
        <f>IF(anleihenkäufe[[#This Row],[Verkauft am]]="","",anleihenkäufe[[#This Row],[Gewinn gesamt]]/anleihenkäufe[[#This Row],[Dirty Kaufpreis]])</f>
        <v/>
      </c>
    </row>
    <row r="495" spans="1:26" ht="14.25" x14ac:dyDescent="0.2">
      <c r="A495" s="9">
        <v>45412</v>
      </c>
      <c r="B495" s="1" t="s">
        <v>1082</v>
      </c>
      <c r="C495" s="1" t="s">
        <v>0</v>
      </c>
      <c r="D495" s="5">
        <f t="shared" si="21"/>
        <v>2036.1046987719392</v>
      </c>
      <c r="E495" s="5">
        <f t="shared" si="22"/>
        <v>1846.4981814790635</v>
      </c>
      <c r="F495" s="1">
        <v>2</v>
      </c>
      <c r="G495" s="1">
        <v>1000</v>
      </c>
      <c r="H495" s="6">
        <v>0.99</v>
      </c>
      <c r="I495" s="4">
        <f t="shared" si="23"/>
        <v>189.60651729287576</v>
      </c>
      <c r="J495" s="6">
        <v>0.10249999999999999</v>
      </c>
      <c r="K495" s="99">
        <v>1.0723</v>
      </c>
      <c r="L495" s="1" t="s">
        <v>887</v>
      </c>
      <c r="M495" s="1">
        <v>1</v>
      </c>
      <c r="N495" s="9">
        <v>45050</v>
      </c>
      <c r="O495" s="1" t="s">
        <v>176</v>
      </c>
      <c r="P495" s="1" t="s">
        <v>39</v>
      </c>
      <c r="Q495" s="1" t="s">
        <v>1083</v>
      </c>
      <c r="R495" s="1" t="s">
        <v>1084</v>
      </c>
      <c r="S495" s="1" t="b">
        <v>1</v>
      </c>
      <c r="T495" s="96"/>
      <c r="U495" s="97"/>
      <c r="V495" s="97"/>
      <c r="W495" s="97"/>
      <c r="X495" s="97"/>
      <c r="Y495" s="97" t="str">
        <f>IF(anleihenkäufe[[#This Row],[Verkauft am]]="","",anleihenkäufe[[#This Row],[Gewinn aus Kursänderung]]+anleihenkäufe[[#This Row],[Gewinn aus Zinsen]]+anleihenkäufe[[#This Row],[Gewinn aus Währungseffekten]])</f>
        <v/>
      </c>
      <c r="Z495" s="156" t="str">
        <f>IF(anleihenkäufe[[#This Row],[Verkauft am]]="","",anleihenkäufe[[#This Row],[Gewinn gesamt]]/anleihenkäufe[[#This Row],[Dirty Kaufpreis]])</f>
        <v/>
      </c>
    </row>
    <row r="496" spans="1:26" ht="14.25" x14ac:dyDescent="0.2">
      <c r="A496" s="9">
        <v>45412</v>
      </c>
      <c r="B496" s="1" t="s">
        <v>1069</v>
      </c>
      <c r="C496" s="1" t="s">
        <v>11</v>
      </c>
      <c r="D496" s="5">
        <f t="shared" si="21"/>
        <v>2225.3752336227722</v>
      </c>
      <c r="E496" s="5">
        <f t="shared" si="22"/>
        <v>2176.0701296279026</v>
      </c>
      <c r="F496" s="1">
        <v>2</v>
      </c>
      <c r="G496" s="1">
        <v>1000</v>
      </c>
      <c r="H496" s="6">
        <v>1.1667000000000001</v>
      </c>
      <c r="I496" s="4">
        <f t="shared" si="23"/>
        <v>49.305103994869555</v>
      </c>
      <c r="J496" s="6">
        <v>0.10375</v>
      </c>
      <c r="K496" s="99">
        <v>1.0723</v>
      </c>
      <c r="L496" s="1" t="s">
        <v>887</v>
      </c>
      <c r="M496" s="1">
        <v>2</v>
      </c>
      <c r="N496" s="9">
        <v>45319</v>
      </c>
      <c r="O496" s="1" t="s">
        <v>1070</v>
      </c>
      <c r="P496" s="1" t="s">
        <v>39</v>
      </c>
      <c r="Q496" s="1" t="s">
        <v>1071</v>
      </c>
      <c r="R496" s="1" t="s">
        <v>1072</v>
      </c>
      <c r="S496" s="1" t="b">
        <v>1</v>
      </c>
      <c r="T496" s="96"/>
      <c r="U496" s="97"/>
      <c r="V496" s="97"/>
      <c r="W496" s="97"/>
      <c r="X496" s="97"/>
      <c r="Y496" s="97" t="str">
        <f>IF(anleihenkäufe[[#This Row],[Verkauft am]]="","",anleihenkäufe[[#This Row],[Gewinn aus Kursänderung]]+anleihenkäufe[[#This Row],[Gewinn aus Zinsen]]+anleihenkäufe[[#This Row],[Gewinn aus Währungseffekten]])</f>
        <v/>
      </c>
      <c r="Z496" s="156" t="str">
        <f>IF(anleihenkäufe[[#This Row],[Verkauft am]]="","",anleihenkäufe[[#This Row],[Gewinn gesamt]]/anleihenkäufe[[#This Row],[Dirty Kaufpreis]])</f>
        <v/>
      </c>
    </row>
    <row r="497" spans="1:26" ht="14.25" x14ac:dyDescent="0.2">
      <c r="A497" s="9">
        <v>45412</v>
      </c>
      <c r="B497" s="1" t="s">
        <v>1504</v>
      </c>
      <c r="C497" s="1" t="s">
        <v>1</v>
      </c>
      <c r="D497" s="5">
        <f t="shared" si="21"/>
        <v>2124.3096710565819</v>
      </c>
      <c r="E497" s="5">
        <f t="shared" si="22"/>
        <v>2028.3502751095775</v>
      </c>
      <c r="F497" s="1">
        <v>2</v>
      </c>
      <c r="G497" s="1">
        <v>1000</v>
      </c>
      <c r="H497" s="6">
        <v>1.0874999999999999</v>
      </c>
      <c r="I497" s="4">
        <f t="shared" si="23"/>
        <v>95.959395947004197</v>
      </c>
      <c r="J497" s="6">
        <v>0.10375</v>
      </c>
      <c r="K497" s="99">
        <v>1.0723</v>
      </c>
      <c r="L497" s="1" t="s">
        <v>887</v>
      </c>
      <c r="M497" s="1">
        <v>2</v>
      </c>
      <c r="N497" s="9">
        <v>45231</v>
      </c>
      <c r="O497" s="1" t="s">
        <v>981</v>
      </c>
      <c r="P497" s="1" t="s">
        <v>1011</v>
      </c>
      <c r="Q497" s="1" t="s">
        <v>1505</v>
      </c>
      <c r="R497" s="1" t="s">
        <v>1506</v>
      </c>
      <c r="S497" s="1" t="b">
        <v>1</v>
      </c>
      <c r="T497" s="96"/>
      <c r="U497" s="97"/>
      <c r="V497" s="97"/>
      <c r="W497" s="97"/>
      <c r="X497" s="97"/>
      <c r="Y497" s="97" t="str">
        <f>IF(anleihenkäufe[[#This Row],[Verkauft am]]="","",anleihenkäufe[[#This Row],[Gewinn aus Kursänderung]]+anleihenkäufe[[#This Row],[Gewinn aus Zinsen]]+anleihenkäufe[[#This Row],[Gewinn aus Währungseffekten]])</f>
        <v/>
      </c>
      <c r="Z497" s="156" t="str">
        <f>IF(anleihenkäufe[[#This Row],[Verkauft am]]="","",anleihenkäufe[[#This Row],[Gewinn gesamt]]/anleihenkäufe[[#This Row],[Dirty Kaufpreis]])</f>
        <v/>
      </c>
    </row>
    <row r="498" spans="1:26" ht="14.25" x14ac:dyDescent="0.2">
      <c r="A498" s="9">
        <v>45412</v>
      </c>
      <c r="B498" s="1" t="s">
        <v>1066</v>
      </c>
      <c r="C498" s="1" t="s">
        <v>1</v>
      </c>
      <c r="D498" s="5">
        <f t="shared" si="21"/>
        <v>1973.0830796431687</v>
      </c>
      <c r="E498" s="5">
        <f t="shared" si="22"/>
        <v>1875.9675463955982</v>
      </c>
      <c r="F498" s="1">
        <v>2</v>
      </c>
      <c r="G498" s="1">
        <v>1000</v>
      </c>
      <c r="H498" s="6">
        <v>1.0058</v>
      </c>
      <c r="I498" s="4">
        <f t="shared" si="23"/>
        <v>97.115533247570511</v>
      </c>
      <c r="J498" s="6">
        <v>0.105</v>
      </c>
      <c r="K498" s="99">
        <v>1.0723</v>
      </c>
      <c r="L498" s="1" t="s">
        <v>887</v>
      </c>
      <c r="M498" s="1">
        <v>2</v>
      </c>
      <c r="N498" s="9">
        <v>45231</v>
      </c>
      <c r="O498" s="1" t="s">
        <v>276</v>
      </c>
      <c r="P498" s="1" t="s">
        <v>57</v>
      </c>
      <c r="Q498" s="1" t="s">
        <v>1067</v>
      </c>
      <c r="R498" s="1" t="s">
        <v>1068</v>
      </c>
      <c r="S498" s="1" t="b">
        <v>1</v>
      </c>
      <c r="T498" s="96"/>
      <c r="U498" s="97"/>
      <c r="V498" s="97"/>
      <c r="W498" s="97"/>
      <c r="X498" s="97"/>
      <c r="Y498" s="97" t="str">
        <f>IF(anleihenkäufe[[#This Row],[Verkauft am]]="","",anleihenkäufe[[#This Row],[Gewinn aus Kursänderung]]+anleihenkäufe[[#This Row],[Gewinn aus Zinsen]]+anleihenkäufe[[#This Row],[Gewinn aus Währungseffekten]])</f>
        <v/>
      </c>
      <c r="Z498" s="156" t="str">
        <f>IF(anleihenkäufe[[#This Row],[Verkauft am]]="","",anleihenkäufe[[#This Row],[Gewinn gesamt]]/anleihenkäufe[[#This Row],[Dirty Kaufpreis]])</f>
        <v/>
      </c>
    </row>
    <row r="499" spans="1:26" ht="14.25" x14ac:dyDescent="0.2">
      <c r="A499" s="9">
        <v>45412</v>
      </c>
      <c r="B499" s="1" t="s">
        <v>1062</v>
      </c>
      <c r="C499" s="1" t="s">
        <v>11</v>
      </c>
      <c r="D499" s="5">
        <f t="shared" si="21"/>
        <v>1966.2395133236837</v>
      </c>
      <c r="E499" s="5">
        <f t="shared" si="22"/>
        <v>1941.8073300382352</v>
      </c>
      <c r="F499" s="1">
        <v>2</v>
      </c>
      <c r="G499" s="1">
        <v>1000</v>
      </c>
      <c r="H499" s="6">
        <v>1.0410999999999999</v>
      </c>
      <c r="I499" s="4">
        <f t="shared" si="23"/>
        <v>24.432183285448385</v>
      </c>
      <c r="J499" s="6">
        <v>0.10625</v>
      </c>
      <c r="K499" s="99">
        <v>1.0723</v>
      </c>
      <c r="L499" s="1" t="s">
        <v>887</v>
      </c>
      <c r="M499" s="1">
        <v>2</v>
      </c>
      <c r="N499" s="9">
        <v>45367</v>
      </c>
      <c r="O499" s="1" t="s">
        <v>1063</v>
      </c>
      <c r="P499" s="1" t="s">
        <v>61</v>
      </c>
      <c r="Q499" s="1" t="s">
        <v>1064</v>
      </c>
      <c r="R499" s="1" t="s">
        <v>1065</v>
      </c>
      <c r="S499" s="1" t="b">
        <v>1</v>
      </c>
      <c r="T499" s="96"/>
      <c r="U499" s="97"/>
      <c r="V499" s="97"/>
      <c r="W499" s="97"/>
      <c r="X499" s="97"/>
      <c r="Y499" s="97" t="str">
        <f>IF(anleihenkäufe[[#This Row],[Verkauft am]]="","",anleihenkäufe[[#This Row],[Gewinn aus Kursänderung]]+anleihenkäufe[[#This Row],[Gewinn aus Zinsen]]+anleihenkäufe[[#This Row],[Gewinn aus Währungseffekten]])</f>
        <v/>
      </c>
      <c r="Z499" s="156" t="str">
        <f>IF(anleihenkäufe[[#This Row],[Verkauft am]]="","",anleihenkäufe[[#This Row],[Gewinn gesamt]]/anleihenkäufe[[#This Row],[Dirty Kaufpreis]])</f>
        <v/>
      </c>
    </row>
    <row r="500" spans="1:26" ht="14.25" x14ac:dyDescent="0.2">
      <c r="A500" s="9">
        <v>45412</v>
      </c>
      <c r="B500" s="1" t="s">
        <v>1047</v>
      </c>
      <c r="C500" s="1" t="s">
        <v>10</v>
      </c>
      <c r="D500" s="5">
        <f t="shared" si="21"/>
        <v>1704.4069909897939</v>
      </c>
      <c r="E500" s="5">
        <f t="shared" si="22"/>
        <v>1696.1671174111721</v>
      </c>
      <c r="F500" s="1">
        <v>2</v>
      </c>
      <c r="G500" s="1">
        <v>1000</v>
      </c>
      <c r="H500" s="6">
        <v>0.90939999999999999</v>
      </c>
      <c r="I500" s="4">
        <f t="shared" si="23"/>
        <v>8.2398735786218076</v>
      </c>
      <c r="J500" s="6">
        <v>0.1075</v>
      </c>
      <c r="K500" s="99">
        <v>1.0723</v>
      </c>
      <c r="L500" s="1" t="s">
        <v>887</v>
      </c>
      <c r="M500" s="1">
        <v>2</v>
      </c>
      <c r="N500" s="9">
        <v>45397</v>
      </c>
      <c r="O500" s="1" t="s">
        <v>276</v>
      </c>
      <c r="P500" s="1" t="s">
        <v>81</v>
      </c>
      <c r="Q500" s="1" t="s">
        <v>1048</v>
      </c>
      <c r="R500" s="1" t="s">
        <v>1049</v>
      </c>
      <c r="S500" s="1" t="b">
        <v>1</v>
      </c>
      <c r="T500" s="96" t="s">
        <v>164</v>
      </c>
      <c r="U500" s="97"/>
      <c r="V500" s="97"/>
      <c r="W500" s="97"/>
      <c r="X500" s="97"/>
      <c r="Y500" s="97" t="str">
        <f>IF(anleihenkäufe[[#This Row],[Verkauft am]]="","",anleihenkäufe[[#This Row],[Gewinn aus Kursänderung]]+anleihenkäufe[[#This Row],[Gewinn aus Zinsen]]+anleihenkäufe[[#This Row],[Gewinn aus Währungseffekten]])</f>
        <v/>
      </c>
      <c r="Z500" s="156" t="str">
        <f>IF(anleihenkäufe[[#This Row],[Verkauft am]]="","",anleihenkäufe[[#This Row],[Gewinn gesamt]]/anleihenkäufe[[#This Row],[Dirty Kaufpreis]])</f>
        <v/>
      </c>
    </row>
    <row r="501" spans="1:26" ht="14.25" x14ac:dyDescent="0.2">
      <c r="A501" s="9">
        <v>45412</v>
      </c>
      <c r="B501" s="1" t="s">
        <v>1056</v>
      </c>
      <c r="C501" s="1" t="s">
        <v>11</v>
      </c>
      <c r="D501" s="5">
        <f t="shared" si="21"/>
        <v>2003.7328543560825</v>
      </c>
      <c r="E501" s="5">
        <f t="shared" si="22"/>
        <v>1993.8450060617363</v>
      </c>
      <c r="F501" s="1">
        <v>2</v>
      </c>
      <c r="G501" s="1">
        <v>1000</v>
      </c>
      <c r="H501" s="6">
        <v>1.069</v>
      </c>
      <c r="I501" s="4">
        <f t="shared" si="23"/>
        <v>9.8878482943461687</v>
      </c>
      <c r="J501" s="6">
        <v>0.1075</v>
      </c>
      <c r="K501" s="99">
        <v>1.0723</v>
      </c>
      <c r="L501" s="1" t="s">
        <v>887</v>
      </c>
      <c r="M501" s="1">
        <v>2</v>
      </c>
      <c r="N501" s="9">
        <v>45394</v>
      </c>
      <c r="O501" s="1" t="s">
        <v>1004</v>
      </c>
      <c r="P501" s="1" t="s">
        <v>39</v>
      </c>
      <c r="Q501" s="1" t="s">
        <v>1057</v>
      </c>
      <c r="R501" s="1" t="s">
        <v>1058</v>
      </c>
      <c r="S501" s="1" t="b">
        <v>1</v>
      </c>
      <c r="T501" s="96"/>
      <c r="U501" s="97"/>
      <c r="V501" s="97"/>
      <c r="W501" s="97"/>
      <c r="X501" s="97"/>
      <c r="Y501" s="97" t="str">
        <f>IF(anleihenkäufe[[#This Row],[Verkauft am]]="","",anleihenkäufe[[#This Row],[Gewinn aus Kursänderung]]+anleihenkäufe[[#This Row],[Gewinn aus Zinsen]]+anleihenkäufe[[#This Row],[Gewinn aus Währungseffekten]])</f>
        <v/>
      </c>
      <c r="Z501" s="156" t="str">
        <f>IF(anleihenkäufe[[#This Row],[Verkauft am]]="","",anleihenkäufe[[#This Row],[Gewinn gesamt]]/anleihenkäufe[[#This Row],[Dirty Kaufpreis]])</f>
        <v/>
      </c>
    </row>
    <row r="502" spans="1:26" ht="14.25" x14ac:dyDescent="0.2">
      <c r="A502" s="9">
        <v>45412</v>
      </c>
      <c r="B502" s="1" t="s">
        <v>1050</v>
      </c>
      <c r="C502" s="1" t="s">
        <v>1</v>
      </c>
      <c r="D502" s="5">
        <f t="shared" si="21"/>
        <v>1917.0238343133885</v>
      </c>
      <c r="E502" s="5">
        <f t="shared" si="22"/>
        <v>1868.1339177468992</v>
      </c>
      <c r="F502" s="1">
        <v>2</v>
      </c>
      <c r="G502" s="1">
        <v>1000</v>
      </c>
      <c r="H502" s="6">
        <v>1.0016</v>
      </c>
      <c r="I502" s="4">
        <f t="shared" si="23"/>
        <v>48.88991656648939</v>
      </c>
      <c r="J502" s="6">
        <v>0.1075</v>
      </c>
      <c r="K502" s="99">
        <v>1.0723</v>
      </c>
      <c r="L502" s="1" t="s">
        <v>887</v>
      </c>
      <c r="M502" s="1">
        <v>2</v>
      </c>
      <c r="N502" s="9">
        <v>45323</v>
      </c>
      <c r="O502" s="1" t="s">
        <v>1051</v>
      </c>
      <c r="P502" s="1" t="s">
        <v>52</v>
      </c>
      <c r="Q502" s="1" t="s">
        <v>1052</v>
      </c>
      <c r="R502" s="1" t="s">
        <v>1053</v>
      </c>
      <c r="S502" s="1" t="b">
        <v>1</v>
      </c>
      <c r="T502" s="96"/>
      <c r="U502" s="97"/>
      <c r="V502" s="97"/>
      <c r="W502" s="97"/>
      <c r="X502" s="97"/>
      <c r="Y502" s="97" t="str">
        <f>IF(anleihenkäufe[[#This Row],[Verkauft am]]="","",anleihenkäufe[[#This Row],[Gewinn aus Kursänderung]]+anleihenkäufe[[#This Row],[Gewinn aus Zinsen]]+anleihenkäufe[[#This Row],[Gewinn aus Währungseffekten]])</f>
        <v/>
      </c>
      <c r="Z502" s="156" t="str">
        <f>IF(anleihenkäufe[[#This Row],[Verkauft am]]="","",anleihenkäufe[[#This Row],[Gewinn gesamt]]/anleihenkäufe[[#This Row],[Dirty Kaufpreis]])</f>
        <v/>
      </c>
    </row>
    <row r="503" spans="1:26" ht="14.25" x14ac:dyDescent="0.2">
      <c r="A503" s="9">
        <v>45412</v>
      </c>
      <c r="B503" s="1" t="s">
        <v>1044</v>
      </c>
      <c r="C503" s="1" t="s">
        <v>0</v>
      </c>
      <c r="D503" s="5">
        <f t="shared" si="21"/>
        <v>2505.2920428371226</v>
      </c>
      <c r="E503" s="5">
        <f t="shared" si="22"/>
        <v>2456.4021262706333</v>
      </c>
      <c r="F503" s="1">
        <v>2</v>
      </c>
      <c r="G503" s="1">
        <v>1000</v>
      </c>
      <c r="H503" s="6">
        <v>1.3169999999999999</v>
      </c>
      <c r="I503" s="4">
        <f t="shared" si="23"/>
        <v>48.88991656648939</v>
      </c>
      <c r="J503" s="6">
        <v>0.1075</v>
      </c>
      <c r="K503" s="99">
        <v>1.0723</v>
      </c>
      <c r="L503" s="1" t="s">
        <v>887</v>
      </c>
      <c r="M503" s="1">
        <v>2</v>
      </c>
      <c r="N503" s="9">
        <v>45323</v>
      </c>
      <c r="O503" s="1" t="s">
        <v>276</v>
      </c>
      <c r="P503" s="1" t="s">
        <v>39</v>
      </c>
      <c r="Q503" s="1" t="s">
        <v>1045</v>
      </c>
      <c r="R503" s="1" t="s">
        <v>1046</v>
      </c>
      <c r="S503" s="1" t="b">
        <v>1</v>
      </c>
      <c r="T503" s="9"/>
      <c r="U503" s="4"/>
      <c r="V503" s="4"/>
      <c r="W503" s="4"/>
      <c r="X503" s="4"/>
      <c r="Y503" s="4" t="str">
        <f>IF(anleihenkäufe[[#This Row],[Verkauft am]]="","",anleihenkäufe[[#This Row],[Gewinn aus Kursänderung]]+anleihenkäufe[[#This Row],[Gewinn aus Zinsen]]+anleihenkäufe[[#This Row],[Gewinn aus Währungseffekten]])</f>
        <v/>
      </c>
      <c r="Z503" s="156" t="str">
        <f>IF(anleihenkäufe[[#This Row],[Verkauft am]]="","",anleihenkäufe[[#This Row],[Gewinn gesamt]]/anleihenkäufe[[#This Row],[Dirty Kaufpreis]])</f>
        <v/>
      </c>
    </row>
    <row r="504" spans="1:26" ht="14.25" x14ac:dyDescent="0.2">
      <c r="A504" s="9">
        <v>45412</v>
      </c>
      <c r="B504" s="1" t="s">
        <v>1059</v>
      </c>
      <c r="C504" s="1" t="s">
        <v>0</v>
      </c>
      <c r="D504" s="5">
        <f t="shared" si="21"/>
        <v>2112.6269355718537</v>
      </c>
      <c r="E504" s="5">
        <f t="shared" si="22"/>
        <v>2020.8896763965308</v>
      </c>
      <c r="F504" s="1">
        <v>2</v>
      </c>
      <c r="G504" s="1">
        <v>1000</v>
      </c>
      <c r="H504" s="6">
        <v>1.0834999999999999</v>
      </c>
      <c r="I504" s="4">
        <f t="shared" si="23"/>
        <v>91.737259175322791</v>
      </c>
      <c r="J504" s="6">
        <v>0.1075</v>
      </c>
      <c r="K504" s="99">
        <v>1.0723</v>
      </c>
      <c r="L504" s="1" t="s">
        <v>887</v>
      </c>
      <c r="M504" s="1">
        <v>2</v>
      </c>
      <c r="N504" s="9">
        <v>45245</v>
      </c>
      <c r="O504" s="1" t="s">
        <v>1004</v>
      </c>
      <c r="P504" s="1" t="s">
        <v>52</v>
      </c>
      <c r="Q504" s="1" t="s">
        <v>1060</v>
      </c>
      <c r="R504" s="1" t="s">
        <v>1061</v>
      </c>
      <c r="S504" s="1" t="b">
        <v>1</v>
      </c>
      <c r="T504" s="96"/>
      <c r="U504" s="97"/>
      <c r="V504" s="97"/>
      <c r="W504" s="97"/>
      <c r="X504" s="97"/>
      <c r="Y504" s="97" t="str">
        <f>IF(anleihenkäufe[[#This Row],[Verkauft am]]="","",anleihenkäufe[[#This Row],[Gewinn aus Kursänderung]]+anleihenkäufe[[#This Row],[Gewinn aus Zinsen]]+anleihenkäufe[[#This Row],[Gewinn aus Währungseffekten]])</f>
        <v/>
      </c>
      <c r="Z504" s="156" t="str">
        <f>IF(anleihenkäufe[[#This Row],[Verkauft am]]="","",anleihenkäufe[[#This Row],[Gewinn gesamt]]/anleihenkäufe[[#This Row],[Dirty Kaufpreis]])</f>
        <v/>
      </c>
    </row>
    <row r="505" spans="1:26" ht="14.25" x14ac:dyDescent="0.2">
      <c r="A505" s="9">
        <v>45412</v>
      </c>
      <c r="B505" s="1" t="s">
        <v>1041</v>
      </c>
      <c r="C505" s="1" t="s">
        <v>0</v>
      </c>
      <c r="D505" s="5">
        <f t="shared" si="21"/>
        <v>1868.2655002242011</v>
      </c>
      <c r="E505" s="5">
        <f t="shared" si="22"/>
        <v>1853.3992352886319</v>
      </c>
      <c r="F505" s="1">
        <v>2</v>
      </c>
      <c r="G505" s="1">
        <v>1000</v>
      </c>
      <c r="H505" s="6">
        <v>0.99370000000000003</v>
      </c>
      <c r="I505" s="4">
        <f t="shared" si="23"/>
        <v>14.866264935569298</v>
      </c>
      <c r="J505" s="6">
        <v>0.10775</v>
      </c>
      <c r="K505" s="99">
        <v>1.0723</v>
      </c>
      <c r="L505" s="1" t="s">
        <v>887</v>
      </c>
      <c r="M505" s="1">
        <v>2</v>
      </c>
      <c r="N505" s="9">
        <v>45385</v>
      </c>
      <c r="O505" s="1" t="s">
        <v>1031</v>
      </c>
      <c r="P505" s="1" t="s">
        <v>39</v>
      </c>
      <c r="Q505" s="1" t="s">
        <v>1042</v>
      </c>
      <c r="R505" s="1" t="s">
        <v>1043</v>
      </c>
      <c r="S505" s="1" t="b">
        <v>1</v>
      </c>
      <c r="T505" s="96"/>
      <c r="U505" s="97"/>
      <c r="V505" s="97"/>
      <c r="W505" s="97"/>
      <c r="X505" s="97"/>
      <c r="Y505" s="97" t="str">
        <f>IF(anleihenkäufe[[#This Row],[Verkauft am]]="","",anleihenkäufe[[#This Row],[Gewinn aus Kursänderung]]+anleihenkäufe[[#This Row],[Gewinn aus Zinsen]]+anleihenkäufe[[#This Row],[Gewinn aus Währungseffekten]])</f>
        <v/>
      </c>
      <c r="Z505" s="156" t="str">
        <f>IF(anleihenkäufe[[#This Row],[Verkauft am]]="","",anleihenkäufe[[#This Row],[Gewinn gesamt]]/anleihenkäufe[[#This Row],[Dirty Kaufpreis]])</f>
        <v/>
      </c>
    </row>
    <row r="506" spans="1:26" ht="14.25" x14ac:dyDescent="0.2">
      <c r="A506" s="9">
        <v>45412</v>
      </c>
      <c r="B506" s="1" t="s">
        <v>1037</v>
      </c>
      <c r="C506" s="1" t="s">
        <v>0</v>
      </c>
      <c r="D506" s="5">
        <f t="shared" si="21"/>
        <v>1477.5817951171402</v>
      </c>
      <c r="E506" s="5">
        <f t="shared" si="22"/>
        <v>1434.3001025832323</v>
      </c>
      <c r="F506" s="1">
        <v>2</v>
      </c>
      <c r="G506" s="1">
        <v>1000</v>
      </c>
      <c r="H506" s="6">
        <v>0.76900000000000002</v>
      </c>
      <c r="I506" s="4">
        <f t="shared" si="23"/>
        <v>43.281692533908036</v>
      </c>
      <c r="J506" s="6">
        <v>0.11</v>
      </c>
      <c r="K506" s="99">
        <v>1.0723</v>
      </c>
      <c r="L506" s="1" t="s">
        <v>887</v>
      </c>
      <c r="M506" s="1">
        <v>2</v>
      </c>
      <c r="N506" s="9">
        <v>45335</v>
      </c>
      <c r="O506" s="1" t="s">
        <v>1038</v>
      </c>
      <c r="P506" s="1" t="s">
        <v>39</v>
      </c>
      <c r="Q506" s="1" t="s">
        <v>1039</v>
      </c>
      <c r="R506" s="1" t="s">
        <v>1040</v>
      </c>
      <c r="S506" s="1" t="b">
        <v>1</v>
      </c>
      <c r="T506" s="96" t="s">
        <v>164</v>
      </c>
      <c r="U506" s="97"/>
      <c r="V506" s="97"/>
      <c r="W506" s="97"/>
      <c r="X506" s="97"/>
      <c r="Y506" s="97" t="str">
        <f>IF(anleihenkäufe[[#This Row],[Verkauft am]]="","",anleihenkäufe[[#This Row],[Gewinn aus Kursänderung]]+anleihenkäufe[[#This Row],[Gewinn aus Zinsen]]+anleihenkäufe[[#This Row],[Gewinn aus Währungseffekten]])</f>
        <v/>
      </c>
      <c r="Z506" s="156" t="str">
        <f>IF(anleihenkäufe[[#This Row],[Verkauft am]]="","",anleihenkäufe[[#This Row],[Gewinn gesamt]]/anleihenkäufe[[#This Row],[Dirty Kaufpreis]])</f>
        <v/>
      </c>
    </row>
    <row r="507" spans="1:26" ht="14.25" x14ac:dyDescent="0.2">
      <c r="A507" s="9">
        <v>45412</v>
      </c>
      <c r="B507" s="1" t="s">
        <v>1034</v>
      </c>
      <c r="C507" s="1" t="s">
        <v>3</v>
      </c>
      <c r="D507" s="5">
        <f t="shared" si="21"/>
        <v>1990.1300367025688</v>
      </c>
      <c r="E507" s="5">
        <f t="shared" si="22"/>
        <v>1904.6908514408283</v>
      </c>
      <c r="F507" s="1">
        <v>2000</v>
      </c>
      <c r="G507" s="1">
        <v>1</v>
      </c>
      <c r="H507" s="6">
        <v>1.0212000000000001</v>
      </c>
      <c r="I507" s="4">
        <f t="shared" si="23"/>
        <v>85.439185261740533</v>
      </c>
      <c r="J507" s="6">
        <v>0.11</v>
      </c>
      <c r="K507" s="99">
        <v>1.0723</v>
      </c>
      <c r="L507" s="1" t="s">
        <v>887</v>
      </c>
      <c r="M507" s="1">
        <v>2</v>
      </c>
      <c r="N507" s="9">
        <v>45260</v>
      </c>
      <c r="O507" s="1" t="s">
        <v>65</v>
      </c>
      <c r="P507" s="1" t="s">
        <v>39</v>
      </c>
      <c r="Q507" s="1" t="s">
        <v>1035</v>
      </c>
      <c r="R507" s="1" t="s">
        <v>1036</v>
      </c>
      <c r="S507" s="1" t="b">
        <v>1</v>
      </c>
      <c r="T507" s="96"/>
      <c r="U507" s="97"/>
      <c r="V507" s="97"/>
      <c r="W507" s="97"/>
      <c r="X507" s="97"/>
      <c r="Y507" s="97" t="str">
        <f>IF(anleihenkäufe[[#This Row],[Verkauft am]]="","",anleihenkäufe[[#This Row],[Gewinn aus Kursänderung]]+anleihenkäufe[[#This Row],[Gewinn aus Zinsen]]+anleihenkäufe[[#This Row],[Gewinn aus Währungseffekten]])</f>
        <v/>
      </c>
      <c r="Z507" s="156" t="str">
        <f>IF(anleihenkäufe[[#This Row],[Verkauft am]]="","",anleihenkäufe[[#This Row],[Gewinn gesamt]]/anleihenkäufe[[#This Row],[Dirty Kaufpreis]])</f>
        <v/>
      </c>
    </row>
    <row r="508" spans="1:26" ht="14.25" x14ac:dyDescent="0.2">
      <c r="A508" s="9">
        <v>45412</v>
      </c>
      <c r="B508" s="1" t="s">
        <v>1030</v>
      </c>
      <c r="C508" s="1" t="s">
        <v>0</v>
      </c>
      <c r="D508" s="5">
        <f t="shared" si="21"/>
        <v>1937.3207508121707</v>
      </c>
      <c r="E508" s="5">
        <f t="shared" si="22"/>
        <v>1866.8283129721162</v>
      </c>
      <c r="F508" s="1">
        <v>2</v>
      </c>
      <c r="G508" s="1">
        <v>1000</v>
      </c>
      <c r="H508" s="6">
        <v>1.0009000000000001</v>
      </c>
      <c r="I508" s="4">
        <f t="shared" si="23"/>
        <v>70.492437840054464</v>
      </c>
      <c r="J508" s="6">
        <v>0.11125</v>
      </c>
      <c r="K508" s="99">
        <v>1.0723</v>
      </c>
      <c r="L508" s="1" t="s">
        <v>887</v>
      </c>
      <c r="M508" s="1">
        <v>2</v>
      </c>
      <c r="N508" s="9">
        <v>45288</v>
      </c>
      <c r="O508" s="1" t="s">
        <v>1031</v>
      </c>
      <c r="P508" s="1" t="s">
        <v>39</v>
      </c>
      <c r="Q508" s="1" t="s">
        <v>1032</v>
      </c>
      <c r="R508" s="1" t="s">
        <v>1033</v>
      </c>
      <c r="S508" s="1" t="b">
        <v>1</v>
      </c>
      <c r="T508" s="9"/>
      <c r="U508" s="4"/>
      <c r="V508" s="4"/>
      <c r="W508" s="4"/>
      <c r="X508" s="4"/>
      <c r="Y508" s="4" t="str">
        <f>IF(anleihenkäufe[[#This Row],[Verkauft am]]="","",anleihenkäufe[[#This Row],[Gewinn aus Kursänderung]]+anleihenkäufe[[#This Row],[Gewinn aus Zinsen]]+anleihenkäufe[[#This Row],[Gewinn aus Währungseffekten]])</f>
        <v/>
      </c>
      <c r="Z508" s="156" t="str">
        <f>IF(anleihenkäufe[[#This Row],[Verkauft am]]="","",anleihenkäufe[[#This Row],[Gewinn gesamt]]/anleihenkäufe[[#This Row],[Dirty Kaufpreis]])</f>
        <v/>
      </c>
    </row>
    <row r="509" spans="1:26" ht="14.25" x14ac:dyDescent="0.2">
      <c r="A509" s="9">
        <v>45412</v>
      </c>
      <c r="B509" s="1" t="s">
        <v>1501</v>
      </c>
      <c r="C509" s="1" t="s">
        <v>2</v>
      </c>
      <c r="D509" s="5">
        <f t="shared" si="21"/>
        <v>2019.5355266301215</v>
      </c>
      <c r="E509" s="5">
        <f t="shared" si="22"/>
        <v>2014.3616525226148</v>
      </c>
      <c r="F509" s="1">
        <v>2</v>
      </c>
      <c r="G509" s="1">
        <v>1000</v>
      </c>
      <c r="H509" s="6">
        <v>1.08</v>
      </c>
      <c r="I509" s="4">
        <f t="shared" si="23"/>
        <v>5.1738741075067169</v>
      </c>
      <c r="J509" s="6">
        <v>0.1125</v>
      </c>
      <c r="K509" s="99">
        <v>1.0723</v>
      </c>
      <c r="L509" s="1" t="s">
        <v>887</v>
      </c>
      <c r="M509" s="1">
        <v>2</v>
      </c>
      <c r="N509" s="9">
        <v>45403</v>
      </c>
      <c r="O509" s="1" t="s">
        <v>629</v>
      </c>
      <c r="P509" s="1" t="s">
        <v>1011</v>
      </c>
      <c r="Q509" s="1" t="s">
        <v>1502</v>
      </c>
      <c r="R509" s="1" t="s">
        <v>1503</v>
      </c>
      <c r="S509" s="1" t="b">
        <v>1</v>
      </c>
      <c r="T509" s="96"/>
      <c r="U509" s="97"/>
      <c r="V509" s="97"/>
      <c r="W509" s="97"/>
      <c r="X509" s="97"/>
      <c r="Y509" s="97" t="str">
        <f>IF(anleihenkäufe[[#This Row],[Verkauft am]]="","",anleihenkäufe[[#This Row],[Gewinn aus Kursänderung]]+anleihenkäufe[[#This Row],[Gewinn aus Zinsen]]+anleihenkäufe[[#This Row],[Gewinn aus Währungseffekten]])</f>
        <v/>
      </c>
      <c r="Z509" s="156" t="str">
        <f>IF(anleihenkäufe[[#This Row],[Verkauft am]]="","",anleihenkäufe[[#This Row],[Gewinn gesamt]]/anleihenkäufe[[#This Row],[Dirty Kaufpreis]])</f>
        <v/>
      </c>
    </row>
    <row r="510" spans="1:26" ht="14.25" x14ac:dyDescent="0.2">
      <c r="A510" s="9">
        <v>45412</v>
      </c>
      <c r="B510" s="1" t="s">
        <v>1026</v>
      </c>
      <c r="C510" s="1" t="s">
        <v>8</v>
      </c>
      <c r="D510" s="5">
        <f t="shared" si="21"/>
        <v>1970.0017501746984</v>
      </c>
      <c r="E510" s="5">
        <f t="shared" si="22"/>
        <v>1926.8861326121423</v>
      </c>
      <c r="F510" s="1">
        <v>2</v>
      </c>
      <c r="G510" s="1">
        <v>1000</v>
      </c>
      <c r="H510" s="6">
        <v>1.0331000000000001</v>
      </c>
      <c r="I510" s="4">
        <f t="shared" si="23"/>
        <v>43.115617562555968</v>
      </c>
      <c r="J510" s="6">
        <v>0.1125</v>
      </c>
      <c r="K510" s="99">
        <v>1.0723</v>
      </c>
      <c r="L510" s="1" t="s">
        <v>887</v>
      </c>
      <c r="M510" s="1">
        <v>2</v>
      </c>
      <c r="N510" s="9">
        <v>45337</v>
      </c>
      <c r="O510" s="1" t="s">
        <v>1027</v>
      </c>
      <c r="P510" s="1" t="s">
        <v>109</v>
      </c>
      <c r="Q510" s="1" t="s">
        <v>1028</v>
      </c>
      <c r="R510" s="1" t="s">
        <v>1029</v>
      </c>
      <c r="S510" s="1" t="b">
        <v>1</v>
      </c>
      <c r="T510" s="9"/>
      <c r="U510" s="97"/>
      <c r="V510" s="4"/>
      <c r="W510" s="4"/>
      <c r="X510" s="4"/>
      <c r="Y510" s="4" t="str">
        <f>IF(anleihenkäufe[[#This Row],[Verkauft am]]="","",anleihenkäufe[[#This Row],[Gewinn aus Kursänderung]]+anleihenkäufe[[#This Row],[Gewinn aus Zinsen]]+anleihenkäufe[[#This Row],[Gewinn aus Währungseffekten]])</f>
        <v/>
      </c>
      <c r="Z510" s="156" t="str">
        <f>IF(anleihenkäufe[[#This Row],[Verkauft am]]="","",anleihenkäufe[[#This Row],[Gewinn gesamt]]/anleihenkäufe[[#This Row],[Dirty Kaufpreis]])</f>
        <v/>
      </c>
    </row>
    <row r="511" spans="1:26" ht="14.25" x14ac:dyDescent="0.2">
      <c r="A511" s="9">
        <v>45412</v>
      </c>
      <c r="B511" s="1" t="s">
        <v>1023</v>
      </c>
      <c r="C511" s="1" t="s">
        <v>0</v>
      </c>
      <c r="D511" s="5">
        <f t="shared" si="21"/>
        <v>2058.1798949639679</v>
      </c>
      <c r="E511" s="5">
        <f t="shared" si="22"/>
        <v>2031.14799962697</v>
      </c>
      <c r="F511" s="1">
        <v>2</v>
      </c>
      <c r="G511" s="1">
        <v>1000</v>
      </c>
      <c r="H511" s="6">
        <v>1.089</v>
      </c>
      <c r="I511" s="4">
        <f t="shared" si="23"/>
        <v>27.031895336998055</v>
      </c>
      <c r="J511" s="6">
        <v>0.115</v>
      </c>
      <c r="K511" s="99">
        <v>1.0723</v>
      </c>
      <c r="L511" s="1" t="s">
        <v>887</v>
      </c>
      <c r="M511" s="1">
        <v>2</v>
      </c>
      <c r="N511" s="9">
        <v>45366</v>
      </c>
      <c r="O511" s="1" t="s">
        <v>276</v>
      </c>
      <c r="P511" s="1" t="s">
        <v>39</v>
      </c>
      <c r="Q511" s="1" t="s">
        <v>1024</v>
      </c>
      <c r="R511" s="1" t="s">
        <v>1025</v>
      </c>
      <c r="S511" s="1" t="b">
        <v>1</v>
      </c>
      <c r="T511" s="96"/>
      <c r="U511" s="97"/>
      <c r="V511" s="97"/>
      <c r="W511" s="97"/>
      <c r="X511" s="97"/>
      <c r="Y511" s="97" t="str">
        <f>IF(anleihenkäufe[[#This Row],[Verkauft am]]="","",anleihenkäufe[[#This Row],[Gewinn aus Kursänderung]]+anleihenkäufe[[#This Row],[Gewinn aus Zinsen]]+anleihenkäufe[[#This Row],[Gewinn aus Währungseffekten]])</f>
        <v/>
      </c>
      <c r="Z511" s="156" t="str">
        <f>IF(anleihenkäufe[[#This Row],[Verkauft am]]="","",anleihenkäufe[[#This Row],[Gewinn gesamt]]/anleihenkäufe[[#This Row],[Dirty Kaufpreis]])</f>
        <v/>
      </c>
    </row>
    <row r="512" spans="1:26" ht="14.25" x14ac:dyDescent="0.2">
      <c r="A512" s="9">
        <v>45412</v>
      </c>
      <c r="B512" s="1" t="s">
        <v>1019</v>
      </c>
      <c r="C512" s="1" t="s">
        <v>11</v>
      </c>
      <c r="D512" s="5">
        <f t="shared" si="21"/>
        <v>2271.9694830852641</v>
      </c>
      <c r="E512" s="5">
        <f t="shared" si="22"/>
        <v>2173.8319500139887</v>
      </c>
      <c r="F512" s="1">
        <v>2</v>
      </c>
      <c r="G512" s="1">
        <v>1000</v>
      </c>
      <c r="H512" s="6">
        <v>1.1655</v>
      </c>
      <c r="I512" s="4">
        <f t="shared" si="23"/>
        <v>98.137533071275541</v>
      </c>
      <c r="J512" s="6">
        <v>0.115</v>
      </c>
      <c r="K512" s="99">
        <v>1.0723</v>
      </c>
      <c r="L512" s="1" t="s">
        <v>887</v>
      </c>
      <c r="M512" s="1">
        <v>2</v>
      </c>
      <c r="N512" s="9">
        <v>45245</v>
      </c>
      <c r="O512" s="1" t="s">
        <v>1020</v>
      </c>
      <c r="P512" s="1" t="s">
        <v>52</v>
      </c>
      <c r="Q512" s="1" t="s">
        <v>1021</v>
      </c>
      <c r="R512" s="1" t="s">
        <v>1022</v>
      </c>
      <c r="S512" s="1" t="b">
        <v>1</v>
      </c>
      <c r="T512" s="96"/>
      <c r="U512" s="97"/>
      <c r="V512" s="97"/>
      <c r="W512" s="97"/>
      <c r="X512" s="97"/>
      <c r="Y512" s="97" t="str">
        <f>IF(anleihenkäufe[[#This Row],[Verkauft am]]="","",anleihenkäufe[[#This Row],[Gewinn aus Kursänderung]]+anleihenkäufe[[#This Row],[Gewinn aus Zinsen]]+anleihenkäufe[[#This Row],[Gewinn aus Währungseffekten]])</f>
        <v/>
      </c>
      <c r="Z512" s="156" t="str">
        <f>IF(anleihenkäufe[[#This Row],[Verkauft am]]="","",anleihenkäufe[[#This Row],[Gewinn gesamt]]/anleihenkäufe[[#This Row],[Dirty Kaufpreis]])</f>
        <v/>
      </c>
    </row>
    <row r="513" spans="1:26" ht="14.25" x14ac:dyDescent="0.2">
      <c r="A513" s="9">
        <v>45412</v>
      </c>
      <c r="B513" s="1" t="s">
        <v>1495</v>
      </c>
      <c r="C513" s="1" t="s">
        <v>1</v>
      </c>
      <c r="D513" s="5">
        <f t="shared" si="21"/>
        <v>2035.497534246575</v>
      </c>
      <c r="E513" s="4">
        <f t="shared" si="22"/>
        <v>2021.9999999999998</v>
      </c>
      <c r="F513" s="1">
        <v>2</v>
      </c>
      <c r="G513" s="1">
        <v>1000</v>
      </c>
      <c r="H513" s="6">
        <v>1.0109999999999999</v>
      </c>
      <c r="I513" s="4">
        <f t="shared" si="23"/>
        <v>13.497534246575341</v>
      </c>
      <c r="J513" s="6">
        <v>0.1173</v>
      </c>
      <c r="K513" s="94">
        <v>1</v>
      </c>
      <c r="L513" t="s">
        <v>925</v>
      </c>
      <c r="M513" s="1">
        <v>4</v>
      </c>
      <c r="N513" s="9">
        <v>45391</v>
      </c>
      <c r="O513" s="1" t="s">
        <v>56</v>
      </c>
      <c r="P513" s="1" t="s">
        <v>39</v>
      </c>
      <c r="Q513" s="1" t="s">
        <v>1496</v>
      </c>
      <c r="R513" s="1" t="s">
        <v>1497</v>
      </c>
      <c r="S513" s="1" t="b">
        <v>1</v>
      </c>
      <c r="T513" s="9"/>
      <c r="U513" s="4"/>
      <c r="V513" s="4"/>
      <c r="W513" s="4"/>
      <c r="X513" s="4"/>
      <c r="Y513" s="4" t="str">
        <f>IF(anleihenkäufe[[#This Row],[Verkauft am]]="","",anleihenkäufe[[#This Row],[Gewinn aus Kursänderung]]+anleihenkäufe[[#This Row],[Gewinn aus Zinsen]]+anleihenkäufe[[#This Row],[Gewinn aus Währungseffekten]])</f>
        <v/>
      </c>
      <c r="Z513" s="156" t="str">
        <f>IF(anleihenkäufe[[#This Row],[Verkauft am]]="","",anleihenkäufe[[#This Row],[Gewinn gesamt]]/anleihenkäufe[[#This Row],[Dirty Kaufpreis]])</f>
        <v/>
      </c>
    </row>
    <row r="514" spans="1:26" ht="14.25" x14ac:dyDescent="0.2">
      <c r="A514" s="9">
        <v>45412</v>
      </c>
      <c r="B514" s="1" t="s">
        <v>1001</v>
      </c>
      <c r="C514" s="1" t="s">
        <v>11</v>
      </c>
      <c r="D514" s="5">
        <f t="shared" ref="D514:D535" si="24">E514+I514</f>
        <v>358.66317313060262</v>
      </c>
      <c r="E514" s="5">
        <f t="shared" ref="E514:E535" si="25">G514*H514*F514/K514</f>
        <v>353.25934906276228</v>
      </c>
      <c r="F514" s="1">
        <v>20</v>
      </c>
      <c r="G514" s="1">
        <v>100</v>
      </c>
      <c r="H514" s="6">
        <v>0.18940000000000001</v>
      </c>
      <c r="I514" s="4">
        <f t="shared" ref="I514:I535" si="26">G514*J514*(A514-N514)/365*F514/K514</f>
        <v>5.4038240678403486</v>
      </c>
      <c r="J514" s="6">
        <v>0.11749999999999999</v>
      </c>
      <c r="K514" s="99">
        <v>1.0723</v>
      </c>
      <c r="L514" s="1" t="s">
        <v>887</v>
      </c>
      <c r="M514" s="1">
        <v>2</v>
      </c>
      <c r="N514" s="9">
        <v>45403</v>
      </c>
      <c r="O514" s="1" t="s">
        <v>1002</v>
      </c>
      <c r="P514" s="1" t="s">
        <v>61</v>
      </c>
      <c r="Q514" s="1" t="s">
        <v>1015</v>
      </c>
      <c r="R514" s="1" t="s">
        <v>1016</v>
      </c>
      <c r="S514" s="1" t="b">
        <v>1</v>
      </c>
      <c r="T514" s="96" t="s">
        <v>164</v>
      </c>
      <c r="U514" s="97"/>
      <c r="V514" s="97"/>
      <c r="W514" s="97"/>
      <c r="X514" s="97"/>
      <c r="Y514" s="97" t="str">
        <f>IF(anleihenkäufe[[#This Row],[Verkauft am]]="","",anleihenkäufe[[#This Row],[Gewinn aus Kursänderung]]+anleihenkäufe[[#This Row],[Gewinn aus Zinsen]]+anleihenkäufe[[#This Row],[Gewinn aus Währungseffekten]])</f>
        <v/>
      </c>
      <c r="Z514" s="156" t="str">
        <f>IF(anleihenkäufe[[#This Row],[Verkauft am]]="","",anleihenkäufe[[#This Row],[Gewinn gesamt]]/anleihenkäufe[[#This Row],[Dirty Kaufpreis]])</f>
        <v/>
      </c>
    </row>
    <row r="515" spans="1:26" ht="14.25" x14ac:dyDescent="0.2">
      <c r="A515" s="9">
        <v>45412</v>
      </c>
      <c r="B515" s="1" t="s">
        <v>1010</v>
      </c>
      <c r="C515" s="1" t="s">
        <v>8</v>
      </c>
      <c r="D515" s="5">
        <f t="shared" si="24"/>
        <v>1728.0100769182618</v>
      </c>
      <c r="E515" s="5">
        <f t="shared" si="25"/>
        <v>1673.9718362398582</v>
      </c>
      <c r="F515" s="1">
        <v>2</v>
      </c>
      <c r="G515" s="1">
        <v>1000</v>
      </c>
      <c r="H515" s="6">
        <v>0.89749999999999996</v>
      </c>
      <c r="I515" s="4">
        <f t="shared" si="26"/>
        <v>54.038240678403483</v>
      </c>
      <c r="J515" s="6">
        <v>0.11749999999999999</v>
      </c>
      <c r="K515" s="99">
        <v>1.0723</v>
      </c>
      <c r="L515" s="1" t="s">
        <v>887</v>
      </c>
      <c r="M515" s="1">
        <v>2</v>
      </c>
      <c r="N515" s="9">
        <v>45322</v>
      </c>
      <c r="O515" s="1" t="s">
        <v>276</v>
      </c>
      <c r="P515" s="1" t="s">
        <v>1011</v>
      </c>
      <c r="Q515" s="1" t="s">
        <v>1012</v>
      </c>
      <c r="R515" s="1" t="s">
        <v>1013</v>
      </c>
      <c r="S515" s="1" t="b">
        <v>1</v>
      </c>
      <c r="T515" s="96" t="s">
        <v>164</v>
      </c>
      <c r="U515" s="97"/>
      <c r="V515" s="97"/>
      <c r="W515" s="97"/>
      <c r="X515" s="97"/>
      <c r="Y515" s="97" t="str">
        <f>IF(anleihenkäufe[[#This Row],[Verkauft am]]="","",anleihenkäufe[[#This Row],[Gewinn aus Kursänderung]]+anleihenkäufe[[#This Row],[Gewinn aus Zinsen]]+anleihenkäufe[[#This Row],[Gewinn aus Währungseffekten]])</f>
        <v/>
      </c>
      <c r="Z515" s="156" t="str">
        <f>IF(anleihenkäufe[[#This Row],[Verkauft am]]="","",anleihenkäufe[[#This Row],[Gewinn gesamt]]/anleihenkäufe[[#This Row],[Dirty Kaufpreis]])</f>
        <v/>
      </c>
    </row>
    <row r="516" spans="1:26" ht="14.25" x14ac:dyDescent="0.2">
      <c r="A516" s="9">
        <v>45412</v>
      </c>
      <c r="B516" s="1" t="s">
        <v>1014</v>
      </c>
      <c r="C516" s="1" t="s">
        <v>10</v>
      </c>
      <c r="D516" s="5">
        <f t="shared" si="24"/>
        <v>1971.0160849997251</v>
      </c>
      <c r="E516" s="5">
        <f t="shared" si="25"/>
        <v>1870.7451272964652</v>
      </c>
      <c r="F516" s="1">
        <v>2</v>
      </c>
      <c r="G516" s="1">
        <v>1000</v>
      </c>
      <c r="H516" s="6">
        <v>1.0029999999999999</v>
      </c>
      <c r="I516" s="4">
        <f t="shared" si="26"/>
        <v>100.2709577032598</v>
      </c>
      <c r="J516" s="6">
        <v>0.11749999999999999</v>
      </c>
      <c r="K516" s="99">
        <v>1.0723</v>
      </c>
      <c r="L516" s="1" t="s">
        <v>887</v>
      </c>
      <c r="M516" s="1">
        <v>2</v>
      </c>
      <c r="N516" s="9">
        <v>45245</v>
      </c>
      <c r="O516" s="1" t="s">
        <v>276</v>
      </c>
      <c r="P516" s="1" t="s">
        <v>109</v>
      </c>
      <c r="Q516" s="1" t="s">
        <v>1017</v>
      </c>
      <c r="R516" s="1" t="s">
        <v>1018</v>
      </c>
      <c r="S516" s="1" t="b">
        <v>1</v>
      </c>
      <c r="T516" s="96" t="s">
        <v>164</v>
      </c>
      <c r="U516" s="97"/>
      <c r="V516" s="97"/>
      <c r="W516" s="97"/>
      <c r="X516" s="97"/>
      <c r="Y516" s="97" t="str">
        <f>IF(anleihenkäufe[[#This Row],[Verkauft am]]="","",anleihenkäufe[[#This Row],[Gewinn aus Kursänderung]]+anleihenkäufe[[#This Row],[Gewinn aus Zinsen]]+anleihenkäufe[[#This Row],[Gewinn aus Währungseffekten]])</f>
        <v/>
      </c>
      <c r="Z516" s="156" t="str">
        <f>IF(anleihenkäufe[[#This Row],[Verkauft am]]="","",anleihenkäufe[[#This Row],[Gewinn gesamt]]/anleihenkäufe[[#This Row],[Dirty Kaufpreis]])</f>
        <v/>
      </c>
    </row>
    <row r="517" spans="1:26" ht="14.25" x14ac:dyDescent="0.2">
      <c r="A517" s="9">
        <v>45412</v>
      </c>
      <c r="B517" s="1" t="s">
        <v>1007</v>
      </c>
      <c r="C517" s="1" t="s">
        <v>10</v>
      </c>
      <c r="D517" s="5">
        <f t="shared" si="24"/>
        <v>1893.4999533712578</v>
      </c>
      <c r="E517" s="5">
        <f t="shared" si="25"/>
        <v>1893.4999533712578</v>
      </c>
      <c r="F517" s="1">
        <v>2</v>
      </c>
      <c r="G517" s="1">
        <v>1000</v>
      </c>
      <c r="H517" s="6">
        <v>1.0151999999999999</v>
      </c>
      <c r="I517" s="4">
        <f t="shared" si="26"/>
        <v>0</v>
      </c>
      <c r="J517" s="6">
        <v>0.11874999999999999</v>
      </c>
      <c r="K517" s="99">
        <v>1.0723</v>
      </c>
      <c r="L517" s="1" t="s">
        <v>887</v>
      </c>
      <c r="M517" s="1">
        <v>2</v>
      </c>
      <c r="N517" s="9">
        <v>45412</v>
      </c>
      <c r="O517" s="1" t="s">
        <v>276</v>
      </c>
      <c r="P517" s="1" t="s">
        <v>39</v>
      </c>
      <c r="Q517" s="1" t="s">
        <v>1008</v>
      </c>
      <c r="R517" s="1" t="s">
        <v>1009</v>
      </c>
      <c r="S517" s="1" t="b">
        <v>1</v>
      </c>
      <c r="T517" s="96" t="s">
        <v>164</v>
      </c>
      <c r="U517" s="97"/>
      <c r="V517" s="97"/>
      <c r="W517" s="97"/>
      <c r="X517" s="97"/>
      <c r="Y517" s="97" t="str">
        <f>IF(anleihenkäufe[[#This Row],[Verkauft am]]="","",anleihenkäufe[[#This Row],[Gewinn aus Kursänderung]]+anleihenkäufe[[#This Row],[Gewinn aus Zinsen]]+anleihenkäufe[[#This Row],[Gewinn aus Währungseffekten]])</f>
        <v/>
      </c>
      <c r="Z517" s="156" t="str">
        <f>IF(anleihenkäufe[[#This Row],[Verkauft am]]="","",anleihenkäufe[[#This Row],[Gewinn gesamt]]/anleihenkäufe[[#This Row],[Dirty Kaufpreis]])</f>
        <v/>
      </c>
    </row>
    <row r="518" spans="1:26" ht="14.25" x14ac:dyDescent="0.2">
      <c r="A518" s="9">
        <v>45412</v>
      </c>
      <c r="B518" s="1" t="s">
        <v>1003</v>
      </c>
      <c r="C518" s="1" t="s">
        <v>11</v>
      </c>
      <c r="D518" s="5">
        <f t="shared" si="24"/>
        <v>2360.134852876738</v>
      </c>
      <c r="E518" s="5">
        <f t="shared" si="25"/>
        <v>2295.8127389723027</v>
      </c>
      <c r="F518" s="1">
        <v>2</v>
      </c>
      <c r="G518" s="1">
        <v>1000</v>
      </c>
      <c r="H518" s="6">
        <v>1.2309000000000001</v>
      </c>
      <c r="I518" s="4">
        <f t="shared" si="26"/>
        <v>64.322113904435355</v>
      </c>
      <c r="J518" s="6">
        <v>0.11874999999999999</v>
      </c>
      <c r="K518" s="99">
        <v>1.0723</v>
      </c>
      <c r="L518" s="1" t="s">
        <v>887</v>
      </c>
      <c r="M518" s="1">
        <v>2</v>
      </c>
      <c r="N518" s="9">
        <v>45306</v>
      </c>
      <c r="O518" s="1" t="s">
        <v>1004</v>
      </c>
      <c r="P518" s="1" t="s">
        <v>39</v>
      </c>
      <c r="Q518" s="1" t="s">
        <v>1005</v>
      </c>
      <c r="R518" s="1" t="s">
        <v>1006</v>
      </c>
      <c r="S518" s="1" t="b">
        <v>1</v>
      </c>
      <c r="T518" s="96"/>
      <c r="U518" s="97"/>
      <c r="V518" s="97"/>
      <c r="W518" s="97"/>
      <c r="X518" s="97"/>
      <c r="Y518" s="97" t="str">
        <f>IF(anleihenkäufe[[#This Row],[Verkauft am]]="","",anleihenkäufe[[#This Row],[Gewinn aus Kursänderung]]+anleihenkäufe[[#This Row],[Gewinn aus Zinsen]]+anleihenkäufe[[#This Row],[Gewinn aus Währungseffekten]])</f>
        <v/>
      </c>
      <c r="Z518" s="156" t="str">
        <f>IF(anleihenkäufe[[#This Row],[Verkauft am]]="","",anleihenkäufe[[#This Row],[Gewinn gesamt]]/anleihenkäufe[[#This Row],[Dirty Kaufpreis]])</f>
        <v/>
      </c>
    </row>
    <row r="519" spans="1:26" ht="14.25" x14ac:dyDescent="0.2">
      <c r="A519" s="9">
        <v>45412</v>
      </c>
      <c r="B519" s="1" t="s">
        <v>998</v>
      </c>
      <c r="C519" s="1" t="s">
        <v>0</v>
      </c>
      <c r="D519" s="5">
        <f t="shared" si="24"/>
        <v>1956.3299475330837</v>
      </c>
      <c r="E519" s="5">
        <f t="shared" si="25"/>
        <v>1864.963163293854</v>
      </c>
      <c r="F519" s="1">
        <v>2000</v>
      </c>
      <c r="G519" s="1">
        <v>1</v>
      </c>
      <c r="H519" s="6">
        <v>0.9998999999999999</v>
      </c>
      <c r="I519" s="4">
        <f t="shared" si="26"/>
        <v>91.366784239229716</v>
      </c>
      <c r="J519" s="6">
        <v>0.12</v>
      </c>
      <c r="K519" s="99">
        <v>1.0723</v>
      </c>
      <c r="L519" s="1" t="s">
        <v>887</v>
      </c>
      <c r="M519" s="1">
        <v>2</v>
      </c>
      <c r="N519" s="9">
        <v>45263</v>
      </c>
      <c r="O519" s="1" t="s">
        <v>284</v>
      </c>
      <c r="P519" s="1" t="s">
        <v>39</v>
      </c>
      <c r="Q519" s="1" t="s">
        <v>999</v>
      </c>
      <c r="R519" s="1" t="s">
        <v>1000</v>
      </c>
      <c r="S519" s="1" t="b">
        <v>1</v>
      </c>
      <c r="T519" s="96" t="s">
        <v>164</v>
      </c>
      <c r="U519" s="97"/>
      <c r="V519" s="97"/>
      <c r="W519" s="97"/>
      <c r="X519" s="97"/>
      <c r="Y519" s="97" t="str">
        <f>IF(anleihenkäufe[[#This Row],[Verkauft am]]="","",anleihenkäufe[[#This Row],[Gewinn aus Kursänderung]]+anleihenkäufe[[#This Row],[Gewinn aus Zinsen]]+anleihenkäufe[[#This Row],[Gewinn aus Währungseffekten]])</f>
        <v/>
      </c>
      <c r="Z519" s="156" t="str">
        <f>IF(anleihenkäufe[[#This Row],[Verkauft am]]="","",anleihenkäufe[[#This Row],[Gewinn gesamt]]/anleihenkäufe[[#This Row],[Dirty Kaufpreis]])</f>
        <v/>
      </c>
    </row>
    <row r="520" spans="1:26" ht="14.25" x14ac:dyDescent="0.2">
      <c r="A520" s="9">
        <v>45412</v>
      </c>
      <c r="B520" s="1" t="s">
        <v>994</v>
      </c>
      <c r="C520" s="1" t="s">
        <v>11</v>
      </c>
      <c r="D520" s="5">
        <f t="shared" si="24"/>
        <v>2435.2492849194982</v>
      </c>
      <c r="E520" s="5">
        <f t="shared" si="25"/>
        <v>2400.8206658584349</v>
      </c>
      <c r="F520" s="1">
        <v>2</v>
      </c>
      <c r="G520" s="1">
        <v>1000</v>
      </c>
      <c r="H520" s="6">
        <v>1.2871999999999999</v>
      </c>
      <c r="I520" s="4">
        <f t="shared" si="26"/>
        <v>34.428619061063216</v>
      </c>
      <c r="J520" s="6">
        <v>0.1225</v>
      </c>
      <c r="K520" s="99">
        <v>1.0723</v>
      </c>
      <c r="L520" s="1" t="s">
        <v>887</v>
      </c>
      <c r="M520" s="1">
        <v>2</v>
      </c>
      <c r="N520" s="9">
        <v>45357</v>
      </c>
      <c r="O520" s="1" t="s">
        <v>995</v>
      </c>
      <c r="P520" s="1" t="s">
        <v>39</v>
      </c>
      <c r="Q520" s="1" t="s">
        <v>996</v>
      </c>
      <c r="R520" s="1" t="s">
        <v>997</v>
      </c>
      <c r="S520" s="1" t="b">
        <v>1</v>
      </c>
      <c r="T520" s="96"/>
      <c r="U520" s="97"/>
      <c r="V520" s="97"/>
      <c r="W520" s="97"/>
      <c r="X520" s="97"/>
      <c r="Y520" s="97" t="str">
        <f>IF(anleihenkäufe[[#This Row],[Verkauft am]]="","",anleihenkäufe[[#This Row],[Gewinn aus Kursänderung]]+anleihenkäufe[[#This Row],[Gewinn aus Zinsen]]+anleihenkäufe[[#This Row],[Gewinn aus Währungseffekten]])</f>
        <v/>
      </c>
      <c r="Z520" s="156" t="str">
        <f>IF(anleihenkäufe[[#This Row],[Verkauft am]]="","",anleihenkäufe[[#This Row],[Gewinn gesamt]]/anleihenkäufe[[#This Row],[Dirty Kaufpreis]])</f>
        <v/>
      </c>
    </row>
    <row r="521" spans="1:26" ht="14.25" x14ac:dyDescent="0.2">
      <c r="A521" s="9">
        <v>45412</v>
      </c>
      <c r="B521" s="1" t="s">
        <v>1492</v>
      </c>
      <c r="C521" s="1" t="s">
        <v>1</v>
      </c>
      <c r="D521" s="5">
        <f t="shared" si="24"/>
        <v>2042.2419726027395</v>
      </c>
      <c r="E521" s="4">
        <f t="shared" si="25"/>
        <v>2029.9999999999998</v>
      </c>
      <c r="F521" s="1">
        <v>2</v>
      </c>
      <c r="G521" s="1">
        <v>1000</v>
      </c>
      <c r="H521" s="6">
        <v>1.0149999999999999</v>
      </c>
      <c r="I521" s="4">
        <f t="shared" si="26"/>
        <v>12.241972602739725</v>
      </c>
      <c r="J521" s="6">
        <v>0.12412000000000001</v>
      </c>
      <c r="K521" s="94">
        <v>1</v>
      </c>
      <c r="L521" t="s">
        <v>925</v>
      </c>
      <c r="M521" s="1">
        <v>4</v>
      </c>
      <c r="N521" s="9">
        <v>45394</v>
      </c>
      <c r="O521" s="1" t="s">
        <v>75</v>
      </c>
      <c r="P521" s="1" t="s">
        <v>39</v>
      </c>
      <c r="Q521" s="1" t="s">
        <v>1493</v>
      </c>
      <c r="R521" s="1" t="s">
        <v>1494</v>
      </c>
      <c r="S521" s="1" t="b">
        <v>1</v>
      </c>
      <c r="T521" s="9"/>
      <c r="U521" s="97"/>
      <c r="V521" s="4"/>
      <c r="W521" s="4"/>
      <c r="X521" s="4"/>
      <c r="Y521" s="4" t="str">
        <f>IF(anleihenkäufe[[#This Row],[Verkauft am]]="","",anleihenkäufe[[#This Row],[Gewinn aus Kursänderung]]+anleihenkäufe[[#This Row],[Gewinn aus Zinsen]]+anleihenkäufe[[#This Row],[Gewinn aus Währungseffekten]])</f>
        <v/>
      </c>
      <c r="Z521" s="156" t="str">
        <f>IF(anleihenkäufe[[#This Row],[Verkauft am]]="","",anleihenkäufe[[#This Row],[Gewinn gesamt]]/anleihenkäufe[[#This Row],[Dirty Kaufpreis]])</f>
        <v/>
      </c>
    </row>
    <row r="522" spans="1:26" ht="14.25" x14ac:dyDescent="0.2">
      <c r="A522" s="9">
        <v>45412</v>
      </c>
      <c r="B522" s="1" t="s">
        <v>990</v>
      </c>
      <c r="C522" s="1" t="s">
        <v>1</v>
      </c>
      <c r="D522" s="5">
        <f t="shared" si="24"/>
        <v>2072.5479349854809</v>
      </c>
      <c r="E522" s="5">
        <f t="shared" si="25"/>
        <v>2062.29599925394</v>
      </c>
      <c r="F522" s="1">
        <v>2</v>
      </c>
      <c r="G522" s="1">
        <v>1000</v>
      </c>
      <c r="H522" s="6">
        <v>1.1056999999999999</v>
      </c>
      <c r="I522" s="4">
        <f t="shared" si="26"/>
        <v>10.251935731541087</v>
      </c>
      <c r="J522" s="6">
        <v>0.13375000000000001</v>
      </c>
      <c r="K522" s="99">
        <v>1.0723</v>
      </c>
      <c r="L522" s="1" t="s">
        <v>887</v>
      </c>
      <c r="M522" s="1">
        <v>2</v>
      </c>
      <c r="N522" s="9">
        <v>45397</v>
      </c>
      <c r="O522" s="1" t="s">
        <v>991</v>
      </c>
      <c r="P522" s="1" t="s">
        <v>109</v>
      </c>
      <c r="Q522" s="1" t="s">
        <v>992</v>
      </c>
      <c r="R522" s="1" t="s">
        <v>993</v>
      </c>
      <c r="S522" s="1" t="b">
        <v>1</v>
      </c>
      <c r="T522" s="96" t="s">
        <v>164</v>
      </c>
      <c r="U522" s="97"/>
      <c r="V522" s="97"/>
      <c r="W522" s="97"/>
      <c r="X522" s="97"/>
      <c r="Y522" s="97" t="str">
        <f>IF(anleihenkäufe[[#This Row],[Verkauft am]]="","",anleihenkäufe[[#This Row],[Gewinn aus Kursänderung]]+anleihenkäufe[[#This Row],[Gewinn aus Zinsen]]+anleihenkäufe[[#This Row],[Gewinn aus Währungseffekten]])</f>
        <v/>
      </c>
      <c r="Z522" s="156" t="str">
        <f>IF(anleihenkäufe[[#This Row],[Verkauft am]]="","",anleihenkäufe[[#This Row],[Gewinn gesamt]]/anleihenkäufe[[#This Row],[Dirty Kaufpreis]])</f>
        <v/>
      </c>
    </row>
    <row r="523" spans="1:26" ht="14.25" x14ac:dyDescent="0.2">
      <c r="A523" s="9">
        <v>45412</v>
      </c>
      <c r="B523" s="1" t="s">
        <v>987</v>
      </c>
      <c r="C523" s="1" t="s">
        <v>2</v>
      </c>
      <c r="D523" s="5">
        <f t="shared" si="24"/>
        <v>1704.3571684983885</v>
      </c>
      <c r="E523" s="5">
        <f t="shared" si="25"/>
        <v>1646.9271659050639</v>
      </c>
      <c r="F523" s="1">
        <v>2</v>
      </c>
      <c r="G523" s="1">
        <v>1000</v>
      </c>
      <c r="H523" s="6">
        <v>0.88300000000000001</v>
      </c>
      <c r="I523" s="4">
        <f t="shared" si="26"/>
        <v>57.430002593324552</v>
      </c>
      <c r="J523" s="6">
        <v>0.13875000000000001</v>
      </c>
      <c r="K523" s="99">
        <v>1.0723</v>
      </c>
      <c r="L523" s="1" t="s">
        <v>887</v>
      </c>
      <c r="M523" s="1">
        <v>2</v>
      </c>
      <c r="N523" s="9">
        <v>45331</v>
      </c>
      <c r="O523" s="1" t="s">
        <v>65</v>
      </c>
      <c r="P523" s="1" t="s">
        <v>57</v>
      </c>
      <c r="Q523" s="1" t="s">
        <v>988</v>
      </c>
      <c r="R523" s="1" t="s">
        <v>989</v>
      </c>
      <c r="S523" s="1" t="b">
        <v>1</v>
      </c>
      <c r="T523" s="96" t="s">
        <v>164</v>
      </c>
      <c r="U523" s="97"/>
      <c r="V523" s="97"/>
      <c r="W523" s="97"/>
      <c r="X523" s="97"/>
      <c r="Y523" s="97" t="str">
        <f>IF(anleihenkäufe[[#This Row],[Verkauft am]]="","",anleihenkäufe[[#This Row],[Gewinn aus Kursänderung]]+anleihenkäufe[[#This Row],[Gewinn aus Zinsen]]+anleihenkäufe[[#This Row],[Gewinn aus Währungseffekten]])</f>
        <v/>
      </c>
      <c r="Z523" s="156" t="str">
        <f>IF(anleihenkäufe[[#This Row],[Verkauft am]]="","",anleihenkäufe[[#This Row],[Gewinn gesamt]]/anleihenkäufe[[#This Row],[Dirty Kaufpreis]])</f>
        <v/>
      </c>
    </row>
    <row r="524" spans="1:26" ht="14.25" x14ac:dyDescent="0.2">
      <c r="A524" s="9">
        <v>45427</v>
      </c>
      <c r="B524" s="1" t="s">
        <v>1800</v>
      </c>
      <c r="C524" s="1" t="s">
        <v>10</v>
      </c>
      <c r="D524" s="4">
        <f t="shared" si="24"/>
        <v>2050.7232876712328</v>
      </c>
      <c r="E524" s="4">
        <f t="shared" si="25"/>
        <v>2048.6</v>
      </c>
      <c r="F524" s="1">
        <v>2</v>
      </c>
      <c r="G524" s="1">
        <v>1000</v>
      </c>
      <c r="H524" s="7">
        <v>1.0243</v>
      </c>
      <c r="I524" s="4">
        <f t="shared" si="26"/>
        <v>2.1232876712328768</v>
      </c>
      <c r="J524" s="7">
        <v>7.7499999999999999E-2</v>
      </c>
      <c r="K524" s="99">
        <v>1</v>
      </c>
      <c r="L524" s="1" t="s">
        <v>925</v>
      </c>
      <c r="M524" s="1">
        <v>2</v>
      </c>
      <c r="N524" s="9">
        <v>45422</v>
      </c>
      <c r="O524" s="1" t="s">
        <v>56</v>
      </c>
      <c r="P524" s="1" t="s">
        <v>57</v>
      </c>
      <c r="Q524" s="1" t="s">
        <v>1801</v>
      </c>
      <c r="R524" s="1" t="s">
        <v>1802</v>
      </c>
      <c r="S524" s="1" t="b">
        <v>1</v>
      </c>
      <c r="T524" s="9"/>
      <c r="U524" s="4"/>
      <c r="V524" s="4"/>
      <c r="W524" s="4"/>
      <c r="X524" s="4"/>
      <c r="Y524" s="4" t="str">
        <f>IF(anleihenkäufe[[#This Row],[Verkauft am]]="","",anleihenkäufe[[#This Row],[Gewinn aus Kursänderung]]+anleihenkäufe[[#This Row],[Gewinn aus Zinsen]]+anleihenkäufe[[#This Row],[Gewinn aus Währungseffekten]])</f>
        <v/>
      </c>
      <c r="Z524" s="156" t="str">
        <f>IF(anleihenkäufe[[#This Row],[Verkauft am]]="","",anleihenkäufe[[#This Row],[Gewinn gesamt]]/anleihenkäufe[[#This Row],[Dirty Kaufpreis]])</f>
        <v/>
      </c>
    </row>
    <row r="525" spans="1:26" ht="14.25" x14ac:dyDescent="0.2">
      <c r="A525" s="9">
        <v>45427</v>
      </c>
      <c r="B525" s="1" t="s">
        <v>1797</v>
      </c>
      <c r="C525" s="1" t="s">
        <v>7</v>
      </c>
      <c r="D525" s="4">
        <f t="shared" si="24"/>
        <v>1880.0753424657532</v>
      </c>
      <c r="E525" s="4">
        <f t="shared" si="25"/>
        <v>1877.3999999999999</v>
      </c>
      <c r="F525" s="1">
        <v>2</v>
      </c>
      <c r="G525" s="1">
        <v>900</v>
      </c>
      <c r="H525" s="7">
        <v>1.0429999999999999</v>
      </c>
      <c r="I525" s="4">
        <f t="shared" si="26"/>
        <v>2.6753424657534248</v>
      </c>
      <c r="J525" s="7">
        <v>7.7499999999999999E-2</v>
      </c>
      <c r="K525" s="99">
        <v>1</v>
      </c>
      <c r="L525" s="1" t="s">
        <v>925</v>
      </c>
      <c r="M525" s="1">
        <v>2</v>
      </c>
      <c r="N525" s="9">
        <v>45420</v>
      </c>
      <c r="O525" s="1" t="s">
        <v>56</v>
      </c>
      <c r="P525" s="1" t="s">
        <v>57</v>
      </c>
      <c r="Q525" s="1" t="s">
        <v>1798</v>
      </c>
      <c r="R525" s="1" t="s">
        <v>1799</v>
      </c>
      <c r="S525" s="1" t="b">
        <v>1</v>
      </c>
      <c r="T525" s="9"/>
      <c r="U525" s="4"/>
      <c r="V525" s="4"/>
      <c r="W525" s="4"/>
      <c r="X525" s="4"/>
      <c r="Y525" s="4" t="str">
        <f>IF(anleihenkäufe[[#This Row],[Verkauft am]]="","",anleihenkäufe[[#This Row],[Gewinn aus Kursänderung]]+anleihenkäufe[[#This Row],[Gewinn aus Zinsen]]+anleihenkäufe[[#This Row],[Gewinn aus Währungseffekten]])</f>
        <v/>
      </c>
      <c r="Z525" s="156" t="str">
        <f>IF(anleihenkäufe[[#This Row],[Verkauft am]]="","",anleihenkäufe[[#This Row],[Gewinn gesamt]]/anleihenkäufe[[#This Row],[Dirty Kaufpreis]])</f>
        <v/>
      </c>
    </row>
    <row r="526" spans="1:26" ht="14.25" x14ac:dyDescent="0.2">
      <c r="A526" s="9">
        <v>45427</v>
      </c>
      <c r="B526" s="1" t="s">
        <v>1794</v>
      </c>
      <c r="C526" s="1" t="s">
        <v>6</v>
      </c>
      <c r="D526" s="4">
        <f t="shared" si="24"/>
        <v>1996.641095890411</v>
      </c>
      <c r="E526" s="4">
        <f t="shared" si="25"/>
        <v>1990.6</v>
      </c>
      <c r="F526" s="1">
        <v>2</v>
      </c>
      <c r="G526" s="1">
        <v>1000</v>
      </c>
      <c r="H526" s="7">
        <v>0.99529999999999996</v>
      </c>
      <c r="I526" s="4">
        <f t="shared" si="26"/>
        <v>6.0410958904109586</v>
      </c>
      <c r="J526" s="7">
        <v>7.8750000000000001E-2</v>
      </c>
      <c r="K526" s="99">
        <v>1</v>
      </c>
      <c r="L526" s="1" t="s">
        <v>925</v>
      </c>
      <c r="M526" s="1">
        <v>2</v>
      </c>
      <c r="N526" s="9">
        <v>45413</v>
      </c>
      <c r="O526" s="1" t="s">
        <v>276</v>
      </c>
      <c r="P526" s="1" t="s">
        <v>39</v>
      </c>
      <c r="Q526" s="1" t="s">
        <v>1795</v>
      </c>
      <c r="R526" s="1" t="s">
        <v>1796</v>
      </c>
      <c r="S526" s="1" t="b">
        <v>1</v>
      </c>
      <c r="T526" s="9"/>
      <c r="U526" s="4"/>
      <c r="V526" s="4"/>
      <c r="W526" s="4"/>
      <c r="X526" s="4"/>
      <c r="Y526" s="4" t="str">
        <f>IF(anleihenkäufe[[#This Row],[Verkauft am]]="","",anleihenkäufe[[#This Row],[Gewinn aus Kursänderung]]+anleihenkäufe[[#This Row],[Gewinn aus Zinsen]]+anleihenkäufe[[#This Row],[Gewinn aus Währungseffekten]])</f>
        <v/>
      </c>
      <c r="Z526" s="156" t="str">
        <f>IF(anleihenkäufe[[#This Row],[Verkauft am]]="","",anleihenkäufe[[#This Row],[Gewinn gesamt]]/anleihenkäufe[[#This Row],[Dirty Kaufpreis]])</f>
        <v/>
      </c>
    </row>
    <row r="527" spans="1:26" ht="14.25" x14ac:dyDescent="0.2">
      <c r="A527" s="9">
        <v>45427</v>
      </c>
      <c r="B527" s="1" t="s">
        <v>1791</v>
      </c>
      <c r="C527" s="1" t="s">
        <v>1</v>
      </c>
      <c r="D527" s="4">
        <f t="shared" si="24"/>
        <v>2021.4804383561645</v>
      </c>
      <c r="E527" s="4">
        <f t="shared" si="25"/>
        <v>2018.0000000000002</v>
      </c>
      <c r="F527" s="1">
        <v>2</v>
      </c>
      <c r="G527" s="1">
        <v>1000</v>
      </c>
      <c r="H527" s="7">
        <v>1.0090000000000001</v>
      </c>
      <c r="I527" s="4">
        <f t="shared" si="26"/>
        <v>3.4804383561643832</v>
      </c>
      <c r="J527" s="7">
        <v>9.0740000000000001E-2</v>
      </c>
      <c r="K527" s="99">
        <v>1</v>
      </c>
      <c r="L527" s="1" t="s">
        <v>925</v>
      </c>
      <c r="M527" s="1">
        <v>4</v>
      </c>
      <c r="N527" s="9">
        <v>45420</v>
      </c>
      <c r="O527" s="1" t="s">
        <v>122</v>
      </c>
      <c r="P527" s="1" t="s">
        <v>57</v>
      </c>
      <c r="Q527" s="1" t="s">
        <v>1792</v>
      </c>
      <c r="R527" s="1" t="s">
        <v>1793</v>
      </c>
      <c r="S527" s="1" t="b">
        <v>1</v>
      </c>
      <c r="T527" s="9"/>
      <c r="U527" s="4"/>
      <c r="V527" s="4"/>
      <c r="W527" s="4"/>
      <c r="X527" s="4"/>
      <c r="Y527" s="4" t="str">
        <f>IF(anleihenkäufe[[#This Row],[Verkauft am]]="","",anleihenkäufe[[#This Row],[Gewinn aus Kursänderung]]+anleihenkäufe[[#This Row],[Gewinn aus Zinsen]]+anleihenkäufe[[#This Row],[Gewinn aus Währungseffekten]])</f>
        <v/>
      </c>
      <c r="Z527" s="156" t="str">
        <f>IF(anleihenkäufe[[#This Row],[Verkauft am]]="","",anleihenkäufe[[#This Row],[Gewinn gesamt]]/anleihenkäufe[[#This Row],[Dirty Kaufpreis]])</f>
        <v/>
      </c>
    </row>
    <row r="528" spans="1:26" ht="14.25" x14ac:dyDescent="0.2">
      <c r="A528" s="9">
        <v>45427</v>
      </c>
      <c r="B528" s="1" t="s">
        <v>1788</v>
      </c>
      <c r="C528" s="1" t="s">
        <v>0</v>
      </c>
      <c r="D528" s="4">
        <f t="shared" si="24"/>
        <v>1997.3671232876711</v>
      </c>
      <c r="E528" s="4">
        <f t="shared" si="25"/>
        <v>1996.6</v>
      </c>
      <c r="F528" s="1">
        <v>2</v>
      </c>
      <c r="G528" s="1">
        <v>1000</v>
      </c>
      <c r="H528" s="7">
        <v>0.99829999999999997</v>
      </c>
      <c r="I528" s="4">
        <f t="shared" si="26"/>
        <v>0.76712328767123283</v>
      </c>
      <c r="J528" s="7">
        <v>0.14000000000000001</v>
      </c>
      <c r="K528" s="99">
        <v>1</v>
      </c>
      <c r="L528" s="1" t="s">
        <v>925</v>
      </c>
      <c r="M528" s="1">
        <v>1</v>
      </c>
      <c r="N528" s="9">
        <v>45426</v>
      </c>
      <c r="O528" s="1" t="s">
        <v>284</v>
      </c>
      <c r="P528" s="1" t="s">
        <v>52</v>
      </c>
      <c r="Q528" s="1" t="s">
        <v>1789</v>
      </c>
      <c r="R528" s="1" t="s">
        <v>1790</v>
      </c>
      <c r="S528" s="1" t="b">
        <v>1</v>
      </c>
      <c r="T528" s="9"/>
      <c r="U528" s="4"/>
      <c r="V528" s="4"/>
      <c r="W528" s="4"/>
      <c r="X528" s="4"/>
      <c r="Y528" s="4" t="str">
        <f>IF(anleihenkäufe[[#This Row],[Verkauft am]]="","",anleihenkäufe[[#This Row],[Gewinn aus Kursänderung]]+anleihenkäufe[[#This Row],[Gewinn aus Zinsen]]+anleihenkäufe[[#This Row],[Gewinn aus Währungseffekten]])</f>
        <v/>
      </c>
      <c r="Z528" s="156" t="str">
        <f>IF(anleihenkäufe[[#This Row],[Verkauft am]]="","",anleihenkäufe[[#This Row],[Gewinn gesamt]]/anleihenkäufe[[#This Row],[Dirty Kaufpreis]])</f>
        <v/>
      </c>
    </row>
    <row r="529" spans="1:26" ht="14.25" x14ac:dyDescent="0.2">
      <c r="A529" s="9">
        <v>45427</v>
      </c>
      <c r="B529" s="1" t="s">
        <v>1784</v>
      </c>
      <c r="C529" s="1" t="s">
        <v>1</v>
      </c>
      <c r="D529" s="4">
        <f t="shared" si="24"/>
        <v>2107.7945205479446</v>
      </c>
      <c r="E529" s="4">
        <f t="shared" si="25"/>
        <v>2106.9999999999995</v>
      </c>
      <c r="F529" s="1">
        <v>2</v>
      </c>
      <c r="G529" s="1">
        <v>1000</v>
      </c>
      <c r="H529" s="7">
        <v>1.0534999999999999</v>
      </c>
      <c r="I529" s="4">
        <f t="shared" si="26"/>
        <v>0.79452054794520544</v>
      </c>
      <c r="J529" s="7">
        <v>0.14499999999999999</v>
      </c>
      <c r="K529" s="99">
        <v>1</v>
      </c>
      <c r="L529" s="1" t="s">
        <v>925</v>
      </c>
      <c r="M529" s="1">
        <v>4</v>
      </c>
      <c r="N529" s="9">
        <v>45426</v>
      </c>
      <c r="O529" s="1" t="s">
        <v>1785</v>
      </c>
      <c r="P529" s="1" t="s">
        <v>61</v>
      </c>
      <c r="Q529" s="1" t="s">
        <v>1786</v>
      </c>
      <c r="R529" s="1" t="s">
        <v>1787</v>
      </c>
      <c r="S529" s="1" t="b">
        <v>1</v>
      </c>
      <c r="T529" s="9"/>
      <c r="U529" s="4"/>
      <c r="V529" s="4"/>
      <c r="W529" s="4"/>
      <c r="X529" s="4"/>
      <c r="Y529" s="4" t="str">
        <f>IF(anleihenkäufe[[#This Row],[Verkauft am]]="","",anleihenkäufe[[#This Row],[Gewinn aus Kursänderung]]+anleihenkäufe[[#This Row],[Gewinn aus Zinsen]]+anleihenkäufe[[#This Row],[Gewinn aus Währungseffekten]])</f>
        <v/>
      </c>
      <c r="Z529" s="156" t="str">
        <f>IF(anleihenkäufe[[#This Row],[Verkauft am]]="","",anleihenkäufe[[#This Row],[Gewinn gesamt]]/anleihenkäufe[[#This Row],[Dirty Kaufpreis]])</f>
        <v/>
      </c>
    </row>
    <row r="530" spans="1:26" ht="14.25" x14ac:dyDescent="0.2">
      <c r="A530" s="9">
        <v>45434</v>
      </c>
      <c r="B530" s="1" t="s">
        <v>1803</v>
      </c>
      <c r="C530" s="1" t="s">
        <v>3</v>
      </c>
      <c r="D530" s="4">
        <f t="shared" si="24"/>
        <v>974.97671232876701</v>
      </c>
      <c r="E530" s="4">
        <f t="shared" si="25"/>
        <v>972.09999999999991</v>
      </c>
      <c r="F530" s="1">
        <v>1</v>
      </c>
      <c r="G530" s="1">
        <v>1000</v>
      </c>
      <c r="H530" s="7">
        <v>0.97209999999999996</v>
      </c>
      <c r="I530" s="4">
        <f t="shared" si="26"/>
        <v>2.8767123287671232</v>
      </c>
      <c r="J530" s="7">
        <v>7.0000000000000007E-2</v>
      </c>
      <c r="K530" s="99">
        <v>1</v>
      </c>
      <c r="L530" s="1" t="s">
        <v>925</v>
      </c>
      <c r="M530" s="1">
        <v>1</v>
      </c>
      <c r="N530" s="9">
        <v>45419</v>
      </c>
      <c r="O530" s="1" t="s">
        <v>35</v>
      </c>
      <c r="P530" s="1" t="s">
        <v>109</v>
      </c>
      <c r="Q530" s="1" t="s">
        <v>1804</v>
      </c>
      <c r="R530" s="1" t="s">
        <v>1805</v>
      </c>
      <c r="S530" s="1" t="b">
        <v>1</v>
      </c>
      <c r="T530" s="9"/>
      <c r="U530" s="4"/>
      <c r="V530" s="4"/>
      <c r="W530" s="4"/>
      <c r="X530" s="4"/>
      <c r="Y530" s="4" t="str">
        <f>IF(anleihenkäufe[[#This Row],[Verkauft am]]="","",anleihenkäufe[[#This Row],[Gewinn aus Kursänderung]]+anleihenkäufe[[#This Row],[Gewinn aus Zinsen]]+anleihenkäufe[[#This Row],[Gewinn aus Währungseffekten]])</f>
        <v/>
      </c>
      <c r="Z530" s="156" t="str">
        <f>IF(anleihenkäufe[[#This Row],[Verkauft am]]="","",anleihenkäufe[[#This Row],[Gewinn gesamt]]/anleihenkäufe[[#This Row],[Dirty Kaufpreis]])</f>
        <v/>
      </c>
    </row>
    <row r="531" spans="1:26" ht="14.25" x14ac:dyDescent="0.2">
      <c r="A531" s="9">
        <v>45434</v>
      </c>
      <c r="B531" s="1" t="s">
        <v>1809</v>
      </c>
      <c r="C531" s="1" t="s">
        <v>3</v>
      </c>
      <c r="D531" s="4">
        <f t="shared" si="24"/>
        <v>1982.7397260273972</v>
      </c>
      <c r="E531" s="4">
        <f t="shared" si="25"/>
        <v>1980</v>
      </c>
      <c r="F531" s="1">
        <v>2</v>
      </c>
      <c r="G531" s="1">
        <v>1000</v>
      </c>
      <c r="H531" s="7">
        <v>0.99</v>
      </c>
      <c r="I531" s="4">
        <f t="shared" si="26"/>
        <v>2.7397260273972601</v>
      </c>
      <c r="J531" s="7">
        <v>0.1</v>
      </c>
      <c r="K531" s="99">
        <v>1</v>
      </c>
      <c r="L531" s="1" t="s">
        <v>925</v>
      </c>
      <c r="M531" s="1">
        <v>2</v>
      </c>
      <c r="N531" s="9">
        <v>45429</v>
      </c>
      <c r="O531" s="1" t="s">
        <v>56</v>
      </c>
      <c r="P531" s="1" t="s">
        <v>57</v>
      </c>
      <c r="Q531" s="1" t="s">
        <v>1810</v>
      </c>
      <c r="R531" s="1" t="s">
        <v>1811</v>
      </c>
      <c r="S531" s="1" t="b">
        <v>1</v>
      </c>
      <c r="T531" s="9"/>
      <c r="U531" s="4"/>
      <c r="V531" s="4"/>
      <c r="W531" s="4"/>
      <c r="X531" s="4"/>
      <c r="Y531" s="4" t="str">
        <f>IF(anleihenkäufe[[#This Row],[Verkauft am]]="","",anleihenkäufe[[#This Row],[Gewinn aus Kursänderung]]+anleihenkäufe[[#This Row],[Gewinn aus Zinsen]]+anleihenkäufe[[#This Row],[Gewinn aus Währungseffekten]])</f>
        <v/>
      </c>
      <c r="Z531" s="156" t="str">
        <f>IF(anleihenkäufe[[#This Row],[Verkauft am]]="","",anleihenkäufe[[#This Row],[Gewinn gesamt]]/anleihenkäufe[[#This Row],[Dirty Kaufpreis]])</f>
        <v/>
      </c>
    </row>
    <row r="532" spans="1:26" ht="14.25" x14ac:dyDescent="0.2">
      <c r="A532" s="9">
        <v>45434</v>
      </c>
      <c r="B532" s="1" t="s">
        <v>1812</v>
      </c>
      <c r="C532" s="1" t="s">
        <v>0</v>
      </c>
      <c r="D532" s="4">
        <f t="shared" si="24"/>
        <v>2200</v>
      </c>
      <c r="E532" s="4">
        <f t="shared" si="25"/>
        <v>2000</v>
      </c>
      <c r="F532" s="1">
        <v>2</v>
      </c>
      <c r="G532" s="1">
        <v>1000</v>
      </c>
      <c r="H532" s="7">
        <v>1</v>
      </c>
      <c r="I532" s="4">
        <f t="shared" si="26"/>
        <v>200</v>
      </c>
      <c r="J532" s="7">
        <v>0.1</v>
      </c>
      <c r="K532" s="99">
        <v>1</v>
      </c>
      <c r="L532" s="1" t="s">
        <v>925</v>
      </c>
      <c r="M532" s="1">
        <v>1</v>
      </c>
      <c r="N532" s="9">
        <v>45069</v>
      </c>
      <c r="O532" s="1" t="s">
        <v>56</v>
      </c>
      <c r="P532" s="1" t="s">
        <v>39</v>
      </c>
      <c r="Q532" s="1" t="s">
        <v>1813</v>
      </c>
      <c r="R532" s="1" t="s">
        <v>1814</v>
      </c>
      <c r="S532" s="1" t="b">
        <v>1</v>
      </c>
      <c r="T532" s="9"/>
      <c r="U532" s="4"/>
      <c r="V532" s="4"/>
      <c r="W532" s="4"/>
      <c r="X532" s="4"/>
      <c r="Y532" s="4" t="str">
        <f>IF(anleihenkäufe[[#This Row],[Verkauft am]]="","",anleihenkäufe[[#This Row],[Gewinn aus Kursänderung]]+anleihenkäufe[[#This Row],[Gewinn aus Zinsen]]+anleihenkäufe[[#This Row],[Gewinn aus Währungseffekten]])</f>
        <v/>
      </c>
      <c r="Z532" s="156" t="str">
        <f>IF(anleihenkäufe[[#This Row],[Verkauft am]]="","",anleihenkäufe[[#This Row],[Gewinn gesamt]]/anleihenkäufe[[#This Row],[Dirty Kaufpreis]])</f>
        <v/>
      </c>
    </row>
    <row r="533" spans="1:26" ht="14.25" x14ac:dyDescent="0.2">
      <c r="A533" s="9">
        <v>45441</v>
      </c>
      <c r="B533" s="1" t="s">
        <v>532</v>
      </c>
      <c r="C533" s="1" t="s">
        <v>10</v>
      </c>
      <c r="D533" s="4">
        <f t="shared" si="24"/>
        <v>1041.4188047125306</v>
      </c>
      <c r="E533" s="4">
        <f t="shared" si="25"/>
        <v>993.73848987108647</v>
      </c>
      <c r="F533" s="1">
        <v>1</v>
      </c>
      <c r="G533" s="1">
        <v>1000</v>
      </c>
      <c r="H533" s="7">
        <v>1.0791999999999999</v>
      </c>
      <c r="I533" s="4">
        <f t="shared" si="26"/>
        <v>47.68031484144403</v>
      </c>
      <c r="J533" s="7">
        <v>0.105</v>
      </c>
      <c r="K533" s="99">
        <v>1.0860000000000001</v>
      </c>
      <c r="L533" s="1" t="s">
        <v>887</v>
      </c>
      <c r="M533" s="1">
        <v>2</v>
      </c>
      <c r="N533" s="9">
        <v>45261</v>
      </c>
      <c r="O533" s="1" t="s">
        <v>533</v>
      </c>
      <c r="P533" s="1" t="s">
        <v>39</v>
      </c>
      <c r="Q533" s="1" t="s">
        <v>1856</v>
      </c>
      <c r="R533" s="1" t="s">
        <v>1857</v>
      </c>
      <c r="S533" s="1" t="b">
        <v>1</v>
      </c>
      <c r="T533" s="9"/>
      <c r="U533" s="4"/>
      <c r="V533" s="4"/>
      <c r="W533" s="4"/>
      <c r="X533" s="4"/>
      <c r="Y533" s="4" t="str">
        <f>IF(anleihenkäufe[[#This Row],[Verkauft am]]="","",anleihenkäufe[[#This Row],[Gewinn aus Kursänderung]]+anleihenkäufe[[#This Row],[Gewinn aus Zinsen]]+anleihenkäufe[[#This Row],[Gewinn aus Währungseffekten]])</f>
        <v/>
      </c>
      <c r="Z533" s="156" t="str">
        <f>IF(anleihenkäufe[[#This Row],[Verkauft am]]="","",anleihenkäufe[[#This Row],[Gewinn gesamt]]/anleihenkäufe[[#This Row],[Dirty Kaufpreis]])</f>
        <v/>
      </c>
    </row>
    <row r="534" spans="1:26" ht="14.25" x14ac:dyDescent="0.2">
      <c r="A534" s="9">
        <v>45448</v>
      </c>
      <c r="B534" s="1" t="s">
        <v>1871</v>
      </c>
      <c r="C534" s="1" t="s">
        <v>4</v>
      </c>
      <c r="D534" s="4">
        <f t="shared" si="24"/>
        <v>1834.4732070910552</v>
      </c>
      <c r="E534" s="4">
        <f t="shared" si="25"/>
        <v>1834.0073529411761</v>
      </c>
      <c r="F534" s="1">
        <v>2</v>
      </c>
      <c r="G534" s="1">
        <v>1000</v>
      </c>
      <c r="H534" s="7">
        <v>0.99769999999999992</v>
      </c>
      <c r="I534" s="4">
        <f t="shared" si="26"/>
        <v>0.46585414987912971</v>
      </c>
      <c r="J534" s="7">
        <v>9.2499999999999999E-2</v>
      </c>
      <c r="K534" s="58">
        <v>1.0880000000000001</v>
      </c>
      <c r="L534" s="1" t="s">
        <v>887</v>
      </c>
      <c r="M534" s="1">
        <v>4</v>
      </c>
      <c r="N534" s="9">
        <v>45447</v>
      </c>
      <c r="O534" s="1" t="s">
        <v>78</v>
      </c>
      <c r="P534" s="1" t="s">
        <v>39</v>
      </c>
      <c r="Q534" s="1" t="s">
        <v>1872</v>
      </c>
      <c r="R534" s="1" t="s">
        <v>1873</v>
      </c>
      <c r="S534" s="1" t="b">
        <v>1</v>
      </c>
      <c r="T534" s="9"/>
      <c r="U534" s="4"/>
      <c r="V534" s="4"/>
      <c r="W534" s="4"/>
      <c r="X534" s="4"/>
      <c r="Y534" s="4" t="str">
        <f>IF(anleihenkäufe[[#This Row],[Verkauft am]]="","",anleihenkäufe[[#This Row],[Gewinn aus Kursänderung]]+anleihenkäufe[[#This Row],[Gewinn aus Zinsen]]+anleihenkäufe[[#This Row],[Gewinn aus Währungseffekten]])</f>
        <v/>
      </c>
      <c r="Z534" s="156" t="str">
        <f>IF(anleihenkäufe[[#This Row],[Verkauft am]]="","",anleihenkäufe[[#This Row],[Gewinn gesamt]]/anleihenkäufe[[#This Row],[Dirty Kaufpreis]])</f>
        <v/>
      </c>
    </row>
    <row r="535" spans="1:26" ht="14.25" x14ac:dyDescent="0.2">
      <c r="A535" s="9">
        <v>45448</v>
      </c>
      <c r="B535" s="1" t="s">
        <v>1863</v>
      </c>
      <c r="C535" s="1" t="s">
        <v>4</v>
      </c>
      <c r="D535" s="4">
        <f t="shared" si="24"/>
        <v>1995.7418412570503</v>
      </c>
      <c r="E535" s="4">
        <f t="shared" si="25"/>
        <v>1877.3897058823525</v>
      </c>
      <c r="F535" s="1">
        <v>2</v>
      </c>
      <c r="G535" s="1">
        <v>1000</v>
      </c>
      <c r="H535" s="7">
        <v>1.0212999999999999</v>
      </c>
      <c r="I535" s="4">
        <f t="shared" si="26"/>
        <v>118.35213537469782</v>
      </c>
      <c r="J535" s="7">
        <v>0.125</v>
      </c>
      <c r="K535" s="58">
        <v>1.0880000000000001</v>
      </c>
      <c r="L535" s="1" t="s">
        <v>887</v>
      </c>
      <c r="M535" s="1">
        <v>1</v>
      </c>
      <c r="N535" s="9">
        <v>45260</v>
      </c>
      <c r="O535" s="1" t="s">
        <v>65</v>
      </c>
      <c r="P535" s="1" t="s">
        <v>52</v>
      </c>
      <c r="Q535" s="1" t="s">
        <v>1864</v>
      </c>
      <c r="R535" s="1" t="s">
        <v>1865</v>
      </c>
      <c r="S535" s="1" t="b">
        <v>1</v>
      </c>
      <c r="T535" s="9"/>
      <c r="U535" s="4"/>
      <c r="V535" s="4"/>
      <c r="W535" s="4"/>
      <c r="X535" s="4"/>
      <c r="Y535" s="4" t="str">
        <f>IF(anleihenkäufe[[#This Row],[Verkauft am]]="","",anleihenkäufe[[#This Row],[Gewinn aus Kursänderung]]+anleihenkäufe[[#This Row],[Gewinn aus Zinsen]]+anleihenkäufe[[#This Row],[Gewinn aus Währungseffekten]])</f>
        <v/>
      </c>
      <c r="Z535" s="156" t="str">
        <f>IF(anleihenkäufe[[#This Row],[Verkauft am]]="","",anleihenkäufe[[#This Row],[Gewinn gesamt]]/anleihenkäufe[[#This Row],[Dirty Kaufpreis]])</f>
        <v/>
      </c>
    </row>
  </sheetData>
  <phoneticPr fontId="15" type="noConversion"/>
  <conditionalFormatting sqref="A1:S1">
    <cfRule type="expression" dxfId="8" priority="118">
      <formula>#REF!&lt;&gt;""</formula>
    </cfRule>
  </conditionalFormatting>
  <hyperlinks>
    <hyperlink ref="R22" r:id="rId1" xr:uid="{E14A34A1-39B3-4B62-922F-4E3DDFFA17A0}"/>
    <hyperlink ref="R12" r:id="rId2" xr:uid="{BDCEF237-0DA0-474D-BEDA-1327F6D4A986}"/>
    <hyperlink ref="R5" r:id="rId3" xr:uid="{3779BFA4-A40F-4352-89B1-AEFE6B48638A}"/>
    <hyperlink ref="R15" r:id="rId4" xr:uid="{ACABE901-DC16-4F9C-96E1-E56C667F95F1}"/>
    <hyperlink ref="R6" r:id="rId5" xr:uid="{6D161C9A-7D0A-46AB-9A65-3CD97EEE9238}"/>
    <hyperlink ref="R24" r:id="rId6" xr:uid="{9F6BF576-7D05-43F5-A6A7-98CEE4D10A9B}"/>
    <hyperlink ref="R31" r:id="rId7" xr:uid="{6EC5FB67-49AF-48C8-AFD0-F74CE94A4BC7}"/>
    <hyperlink ref="R32" r:id="rId8" xr:uid="{FE317FF8-4977-4CA6-ADF1-8A8A2B417A10}"/>
    <hyperlink ref="R34" r:id="rId9" xr:uid="{1B4AB857-681E-4EF6-99DC-69EA26C047BD}"/>
    <hyperlink ref="R16" r:id="rId10" xr:uid="{FC32DC60-1A01-4843-B788-A56D9C00D254}"/>
    <hyperlink ref="R19" r:id="rId11" xr:uid="{F873436C-35D8-496D-B084-CED39A04205E}"/>
    <hyperlink ref="R11" r:id="rId12" xr:uid="{A4C20F29-BC7C-448A-82FA-4D8B8EABD30A}"/>
    <hyperlink ref="R13" r:id="rId13" xr:uid="{E236C66D-A5BF-44FF-803F-113A4F0F4945}"/>
    <hyperlink ref="R9" r:id="rId14" xr:uid="{762DE8F2-6BED-42D7-BCA9-0CD6F13C5C9E}"/>
    <hyperlink ref="R18" r:id="rId15" xr:uid="{B7CD045A-7581-470B-948B-2937B5D8FA28}"/>
    <hyperlink ref="R7" r:id="rId16" xr:uid="{C15E2387-3513-4077-87A4-C9DB65FDF8F2}"/>
    <hyperlink ref="R14" r:id="rId17" xr:uid="{4D6AADD4-5034-4A8C-9332-93A64960BE66}"/>
    <hyperlink ref="R17" r:id="rId18" xr:uid="{2EA04B89-986F-433B-A8EB-DA729DED6A6B}"/>
    <hyperlink ref="R35" r:id="rId19" xr:uid="{5FD2E079-31DD-4917-84BC-C0D680EE9F6F}"/>
    <hyperlink ref="R23" r:id="rId20" xr:uid="{B99CFCBC-A455-4F46-9C1E-6210F2C1C2E8}"/>
    <hyperlink ref="R33" r:id="rId21" xr:uid="{7F806485-B180-488C-B47B-4D50FEEF1105}"/>
    <hyperlink ref="R30" r:id="rId22" xr:uid="{EBE5C4F2-F2D4-472D-9F4F-9D1DAEF82B61}"/>
    <hyperlink ref="R3" r:id="rId23" xr:uid="{E10FF1E1-AB1F-4AE3-95AC-4842FEECA4D3}"/>
    <hyperlink ref="R26" r:id="rId24" xr:uid="{AD33B4F3-4E37-45BB-8246-B9B2A7BEEBD4}"/>
    <hyperlink ref="R28" r:id="rId25" xr:uid="{8FFBE784-655A-44C2-BC72-55EE857D05BE}"/>
    <hyperlink ref="R4" r:id="rId26" xr:uid="{62C3D13B-AD81-4F02-BD60-61AB03E96988}"/>
    <hyperlink ref="R21" r:id="rId27" xr:uid="{AE8B0208-6975-496A-8AAE-81A3A0472526}"/>
    <hyperlink ref="R27" r:id="rId28" xr:uid="{630DBC6E-DEEF-404A-88F5-8BEBF01CEF49}"/>
    <hyperlink ref="R10" r:id="rId29" xr:uid="{8F507817-96A2-4D5D-A752-92A8AC341F4A}"/>
    <hyperlink ref="R25" r:id="rId30" xr:uid="{3E35DBB3-0D62-46E1-A110-9FF1F6EBD17C}"/>
    <hyperlink ref="R29" r:id="rId31" xr:uid="{58FB792E-1027-45DF-BBB8-D2BE420ACA52}"/>
    <hyperlink ref="R8" r:id="rId32" xr:uid="{BCD5489C-8934-49E9-9333-64D55ED2E8A1}"/>
    <hyperlink ref="R2" r:id="rId33" xr:uid="{4EA8DDEF-7D0C-4D67-9920-915F5D120EE8}"/>
    <hyperlink ref="R36" r:id="rId34" xr:uid="{42D9B1C6-86CE-48BA-9F30-3C9BBB775B89}"/>
    <hyperlink ref="R20" r:id="rId35" xr:uid="{E9A188DC-8219-4EE7-A621-28620DF52ABC}"/>
    <hyperlink ref="R37" r:id="rId36" xr:uid="{C57AD025-5FC1-4DF4-8815-8DBDEDE193A9}"/>
    <hyperlink ref="R217" r:id="rId37" xr:uid="{622D6FDA-ED48-4691-A887-6FE4A76B053E}"/>
    <hyperlink ref="R269" r:id="rId38" xr:uid="{6DF8AB0A-2103-48FD-8DE3-31760E2B2032}"/>
    <hyperlink ref="R99" r:id="rId39" xr:uid="{A0BE6752-9877-43EC-AAE1-B35CBEA02E9C}"/>
    <hyperlink ref="R98" r:id="rId40" xr:uid="{8C99B246-3856-4007-BF14-F3E081E47BB5}"/>
    <hyperlink ref="R133" r:id="rId41" xr:uid="{EACFE754-EB03-494E-A1EA-EAFCCD51A3EC}"/>
    <hyperlink ref="R245" r:id="rId42" display="https://www.finanzen.net/anleihen/a286nv-global-agrajes-sl-anleihe" xr:uid="{732C70D8-6FAC-4D88-86CC-063BAB3A4925}"/>
    <hyperlink ref="R209" r:id="rId43" xr:uid="{859D8202-7FA1-42D4-9839-DC88E32BB323}"/>
    <hyperlink ref="R239" r:id="rId44" xr:uid="{1C2073D6-877E-4FAE-8AF2-CEA263F99C58}"/>
    <hyperlink ref="R188" r:id="rId45" xr:uid="{F19967E8-EF32-41FC-A3D6-45DBAA7F8CC3}"/>
    <hyperlink ref="R216" r:id="rId46" xr:uid="{8249386D-9B84-4E71-95AD-A83999A5FF46}"/>
    <hyperlink ref="R156" r:id="rId47" xr:uid="{B67EC90F-5486-40DB-9116-D64212C9E848}"/>
  </hyperlinks>
  <pageMargins left="0.7" right="0.7" top="0.75" bottom="0.75" header="0.3" footer="0.3"/>
  <pageSetup paperSize="9" orientation="portrait" r:id="rId48"/>
  <tableParts count="1">
    <tablePart r:id="rId49"/>
  </tableParts>
  <extLst>
    <ext xmlns:x14="http://schemas.microsoft.com/office/spreadsheetml/2009/9/main" uri="{CCE6A557-97BC-4b89-ADB6-D9C93CAAB3DF}">
      <x14:dataValidations xmlns:xm="http://schemas.microsoft.com/office/excel/2006/main" count="1">
        <x14:dataValidation type="list" allowBlank="1" showErrorMessage="1" xr:uid="{64344A3D-842C-4388-8834-46D6EECDB9E4}">
          <x14:formula1>
            <xm:f>Dashboard!$A$16:$A$27</xm:f>
          </x14:formula1>
          <xm:sqref>C2:C36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D4F84-4583-4DEB-873F-FC586E06A1A0}">
  <dimension ref="A1:K166"/>
  <sheetViews>
    <sheetView topLeftCell="A150" workbookViewId="0">
      <selection activeCell="J174" sqref="J174"/>
    </sheetView>
  </sheetViews>
  <sheetFormatPr defaultRowHeight="14.25" x14ac:dyDescent="0.2"/>
  <cols>
    <col min="1" max="1" width="11.28515625" style="1" bestFit="1" customWidth="1"/>
    <col min="2" max="2" width="7.140625" style="1" bestFit="1" customWidth="1"/>
    <col min="3" max="3" width="51.85546875" style="1" bestFit="1" customWidth="1"/>
    <col min="4" max="4" width="20.85546875" style="4" bestFit="1" customWidth="1"/>
    <col min="5" max="5" width="16.42578125" style="1" bestFit="1" customWidth="1"/>
    <col min="6" max="6" width="12.28515625" style="1" bestFit="1" customWidth="1"/>
    <col min="7" max="7" width="10.28515625" style="1" bestFit="1" customWidth="1"/>
    <col min="8" max="8" width="14.7109375" style="1" bestFit="1" customWidth="1"/>
    <col min="9" max="9" width="11.28515625" style="7" bestFit="1" customWidth="1"/>
    <col min="10" max="10" width="27.42578125" style="1" bestFit="1" customWidth="1"/>
    <col min="11" max="11" width="17.5703125" style="1" bestFit="1" customWidth="1"/>
    <col min="12" max="16384" width="9.140625" style="1"/>
  </cols>
  <sheetData>
    <row r="1" spans="1:11" x14ac:dyDescent="0.2">
      <c r="A1" s="1" t="s">
        <v>12</v>
      </c>
      <c r="B1" s="1" t="s">
        <v>927</v>
      </c>
      <c r="C1" s="1" t="s">
        <v>22</v>
      </c>
      <c r="D1" s="4" t="s">
        <v>921</v>
      </c>
      <c r="E1" s="1" t="s">
        <v>920</v>
      </c>
      <c r="F1" s="1" t="s">
        <v>886</v>
      </c>
      <c r="G1" s="1" t="s">
        <v>25</v>
      </c>
      <c r="H1" s="1" t="s">
        <v>26</v>
      </c>
      <c r="I1" s="7" t="s">
        <v>23</v>
      </c>
      <c r="J1" s="1" t="s">
        <v>28</v>
      </c>
      <c r="K1" s="1" t="s">
        <v>32</v>
      </c>
    </row>
    <row r="2" spans="1:11" x14ac:dyDescent="0.2">
      <c r="A2" s="9">
        <v>45380</v>
      </c>
      <c r="B2" s="1" t="s">
        <v>19</v>
      </c>
      <c r="C2" s="1" t="s">
        <v>64</v>
      </c>
      <c r="D2" s="4">
        <f>zinszahlungen[[#This Row],[Coupon]]/zinszahlungen[[#This Row],[Zinszahlungen pro Jahr]]*zinszahlungen[[#This Row],[Anteile]]*zinszahlungen[[#This Row],[Stückelung]]/zinszahlungen[[#This Row],[Wechselkurs]]</f>
        <v>62.125</v>
      </c>
      <c r="E2" s="1">
        <v>1</v>
      </c>
      <c r="F2" s="1" t="s">
        <v>925</v>
      </c>
      <c r="G2" s="1">
        <v>2000</v>
      </c>
      <c r="H2" s="1">
        <v>1</v>
      </c>
      <c r="I2" s="7">
        <v>0.12425</v>
      </c>
      <c r="J2" s="1">
        <v>4</v>
      </c>
      <c r="K2" s="1" t="s">
        <v>66</v>
      </c>
    </row>
    <row r="3" spans="1:11" x14ac:dyDescent="0.2">
      <c r="A3" s="9">
        <v>45380</v>
      </c>
      <c r="B3" s="1" t="s">
        <v>19</v>
      </c>
      <c r="C3" s="1" t="s">
        <v>147</v>
      </c>
      <c r="D3" s="4">
        <f>zinszahlungen[[#This Row],[Coupon]]/zinszahlungen[[#This Row],[Zinszahlungen pro Jahr]]*zinszahlungen[[#This Row],[Anteile]]*zinszahlungen[[#This Row],[Stückelung]]/zinszahlungen[[#This Row],[Wechselkurs]]</f>
        <v>61.625</v>
      </c>
      <c r="E3" s="1">
        <v>1</v>
      </c>
      <c r="F3" s="1" t="s">
        <v>925</v>
      </c>
      <c r="G3" s="1">
        <v>2</v>
      </c>
      <c r="H3" s="1">
        <v>1000</v>
      </c>
      <c r="I3" s="7">
        <v>0.12325</v>
      </c>
      <c r="J3" s="1">
        <v>4</v>
      </c>
      <c r="K3" s="1" t="s">
        <v>148</v>
      </c>
    </row>
    <row r="4" spans="1:11" x14ac:dyDescent="0.2">
      <c r="A4" s="9">
        <v>45381</v>
      </c>
      <c r="B4" s="1" t="s">
        <v>19</v>
      </c>
      <c r="C4" s="1" t="s">
        <v>38</v>
      </c>
      <c r="D4" s="4">
        <f>zinszahlungen[[#This Row],[Coupon]]/zinszahlungen[[#This Row],[Zinszahlungen pro Jahr]]*zinszahlungen[[#This Row],[Anteile]]*zinszahlungen[[#This Row],[Stückelung]]/zinszahlungen[[#This Row],[Wechselkurs]]</f>
        <v>57.154999999999994</v>
      </c>
      <c r="E4" s="1">
        <v>1</v>
      </c>
      <c r="F4" s="1" t="s">
        <v>925</v>
      </c>
      <c r="G4" s="1">
        <v>2</v>
      </c>
      <c r="H4" s="1">
        <v>1000</v>
      </c>
      <c r="I4" s="7">
        <v>0.11430999999999999</v>
      </c>
      <c r="J4" s="1">
        <v>4</v>
      </c>
      <c r="K4" s="1" t="s">
        <v>40</v>
      </c>
    </row>
    <row r="5" spans="1:11" x14ac:dyDescent="0.2">
      <c r="A5" s="9">
        <v>45381</v>
      </c>
      <c r="B5" s="1" t="s">
        <v>19</v>
      </c>
      <c r="C5" s="1" t="s">
        <v>119</v>
      </c>
      <c r="D5" s="4">
        <f>zinszahlungen[[#This Row],[Coupon]]/zinszahlungen[[#This Row],[Zinszahlungen pro Jahr]]*zinszahlungen[[#This Row],[Anteile]]*zinszahlungen[[#This Row],[Stückelung]]/zinszahlungen[[#This Row],[Wechselkurs]]</f>
        <v>61.93</v>
      </c>
      <c r="E5" s="1">
        <v>1</v>
      </c>
      <c r="F5" s="1" t="s">
        <v>925</v>
      </c>
      <c r="G5" s="1">
        <v>2</v>
      </c>
      <c r="H5" s="1">
        <v>1000</v>
      </c>
      <c r="I5" s="7">
        <v>0.12386</v>
      </c>
      <c r="J5" s="1">
        <v>4</v>
      </c>
      <c r="K5" s="1" t="s">
        <v>120</v>
      </c>
    </row>
    <row r="6" spans="1:11" x14ac:dyDescent="0.2">
      <c r="A6" s="9">
        <v>45381</v>
      </c>
      <c r="B6" s="1" t="s">
        <v>19</v>
      </c>
      <c r="C6" s="1" t="s">
        <v>126</v>
      </c>
      <c r="D6" s="4">
        <f>zinszahlungen[[#This Row],[Coupon]]/zinszahlungen[[#This Row],[Zinszahlungen pro Jahr]]*zinszahlungen[[#This Row],[Anteile]]*zinszahlungen[[#This Row],[Stückelung]]/zinszahlungen[[#This Row],[Wechselkurs]]</f>
        <v>60</v>
      </c>
      <c r="E6" s="1">
        <v>1</v>
      </c>
      <c r="F6" s="1" t="s">
        <v>925</v>
      </c>
      <c r="G6" s="1">
        <v>2000</v>
      </c>
      <c r="H6" s="1">
        <v>1</v>
      </c>
      <c r="I6" s="7">
        <v>0.12</v>
      </c>
      <c r="J6" s="1">
        <v>4</v>
      </c>
      <c r="K6" s="1" t="s">
        <v>127</v>
      </c>
    </row>
    <row r="7" spans="1:11" x14ac:dyDescent="0.2">
      <c r="A7" s="9">
        <v>45381</v>
      </c>
      <c r="B7" s="1" t="s">
        <v>19</v>
      </c>
      <c r="C7" s="1" t="s">
        <v>42</v>
      </c>
      <c r="D7" s="4">
        <f>zinszahlungen[[#This Row],[Coupon]]/zinszahlungen[[#This Row],[Zinszahlungen pro Jahr]]*zinszahlungen[[#This Row],[Anteile]]*zinszahlungen[[#This Row],[Stückelung]]/zinszahlungen[[#This Row],[Wechselkurs]]</f>
        <v>105</v>
      </c>
      <c r="E7" s="1">
        <v>1</v>
      </c>
      <c r="F7" s="1" t="s">
        <v>925</v>
      </c>
      <c r="G7" s="1">
        <v>2</v>
      </c>
      <c r="H7" s="1">
        <v>1000</v>
      </c>
      <c r="I7" s="7">
        <v>0.105</v>
      </c>
      <c r="J7" s="1">
        <v>2</v>
      </c>
      <c r="K7" s="1" t="s">
        <v>45</v>
      </c>
    </row>
    <row r="8" spans="1:11" x14ac:dyDescent="0.2">
      <c r="A8" s="9">
        <v>45383</v>
      </c>
      <c r="B8" s="1" t="s">
        <v>19</v>
      </c>
      <c r="C8" s="1" t="s">
        <v>129</v>
      </c>
      <c r="D8" s="4">
        <f>zinszahlungen[[#This Row],[Coupon]]/zinszahlungen[[#This Row],[Zinszahlungen pro Jahr]]*zinszahlungen[[#This Row],[Anteile]]*zinszahlungen[[#This Row],[Stückelung]]/zinszahlungen[[#This Row],[Wechselkurs]]</f>
        <v>120</v>
      </c>
      <c r="E8" s="1">
        <v>1</v>
      </c>
      <c r="F8" s="1" t="s">
        <v>925</v>
      </c>
      <c r="G8" s="1">
        <v>2</v>
      </c>
      <c r="H8" s="1">
        <v>1000</v>
      </c>
      <c r="I8" s="7">
        <v>0.12</v>
      </c>
      <c r="J8" s="1">
        <v>2</v>
      </c>
      <c r="K8" s="1" t="s">
        <v>130</v>
      </c>
    </row>
    <row r="9" spans="1:11" x14ac:dyDescent="0.2">
      <c r="A9" s="9">
        <v>45384</v>
      </c>
      <c r="B9" s="1" t="s">
        <v>19</v>
      </c>
      <c r="C9" s="1" t="s">
        <v>50</v>
      </c>
      <c r="D9" s="4">
        <f>zinszahlungen[[#This Row],[Coupon]]/zinszahlungen[[#This Row],[Zinszahlungen pro Jahr]]*zinszahlungen[[#This Row],[Anteile]]*zinszahlungen[[#This Row],[Stückelung]]/zinszahlungen[[#This Row],[Wechselkurs]]</f>
        <v>53.214999999999996</v>
      </c>
      <c r="E9" s="1">
        <v>1</v>
      </c>
      <c r="F9" s="1" t="s">
        <v>925</v>
      </c>
      <c r="G9" s="1">
        <v>2</v>
      </c>
      <c r="H9" s="1">
        <v>1000</v>
      </c>
      <c r="I9" s="7">
        <v>0.10643</v>
      </c>
      <c r="J9" s="1">
        <v>4</v>
      </c>
      <c r="K9" s="1" t="s">
        <v>53</v>
      </c>
    </row>
    <row r="10" spans="1:11" x14ac:dyDescent="0.2">
      <c r="A10" s="9">
        <v>45387</v>
      </c>
      <c r="B10" s="1" t="s">
        <v>19</v>
      </c>
      <c r="C10" s="1" t="s">
        <v>179</v>
      </c>
      <c r="D10" s="4">
        <f>zinszahlungen[[#This Row],[Coupon]]/zinszahlungen[[#This Row],[Zinszahlungen pro Jahr]]*zinszahlungen[[#This Row],[Anteile]]*zinszahlungen[[#This Row],[Stückelung]]/zinszahlungen[[#This Row],[Wechselkurs]]</f>
        <v>120</v>
      </c>
      <c r="E10" s="1">
        <v>1</v>
      </c>
      <c r="F10" s="1" t="s">
        <v>925</v>
      </c>
      <c r="G10" s="1">
        <v>2</v>
      </c>
      <c r="H10" s="1">
        <v>1000</v>
      </c>
      <c r="I10" s="7">
        <v>0.12</v>
      </c>
      <c r="J10" s="1">
        <v>2</v>
      </c>
      <c r="K10" s="1" t="s">
        <v>180</v>
      </c>
    </row>
    <row r="11" spans="1:11" x14ac:dyDescent="0.2">
      <c r="A11" s="9">
        <v>45387</v>
      </c>
      <c r="B11" s="1" t="s">
        <v>19</v>
      </c>
      <c r="C11" s="1" t="s">
        <v>331</v>
      </c>
      <c r="D11" s="4">
        <f>zinszahlungen[[#This Row],[Coupon]]/zinszahlungen[[#This Row],[Zinszahlungen pro Jahr]]*zinszahlungen[[#This Row],[Anteile]]*zinszahlungen[[#This Row],[Stückelung]]/zinszahlungen[[#This Row],[Wechselkurs]]</f>
        <v>44.645000000000003</v>
      </c>
      <c r="E11" s="1">
        <v>1</v>
      </c>
      <c r="F11" s="1" t="s">
        <v>925</v>
      </c>
      <c r="G11" s="1">
        <v>2</v>
      </c>
      <c r="H11" s="1">
        <v>1000</v>
      </c>
      <c r="I11" s="7">
        <v>8.9290000000000008E-2</v>
      </c>
      <c r="J11" s="1">
        <v>4</v>
      </c>
      <c r="K11" s="1" t="s">
        <v>332</v>
      </c>
    </row>
    <row r="12" spans="1:11" x14ac:dyDescent="0.2">
      <c r="A12" s="9">
        <v>45387</v>
      </c>
      <c r="B12" s="1" t="s">
        <v>19</v>
      </c>
      <c r="C12" s="1" t="s">
        <v>773</v>
      </c>
      <c r="D12" s="4">
        <f>zinszahlungen[[#This Row],[Coupon]]/zinszahlungen[[#This Row],[Zinszahlungen pro Jahr]]*zinszahlungen[[#This Row],[Anteile]]*zinszahlungen[[#This Row],[Stückelung]]/zinszahlungen[[#This Row],[Wechselkurs]]</f>
        <v>65</v>
      </c>
      <c r="E12" s="1">
        <v>1</v>
      </c>
      <c r="F12" s="1" t="s">
        <v>925</v>
      </c>
      <c r="G12" s="1">
        <v>2</v>
      </c>
      <c r="H12" s="1">
        <v>1000</v>
      </c>
      <c r="I12" s="7">
        <v>6.5000000000000002E-2</v>
      </c>
      <c r="J12" s="1">
        <v>2</v>
      </c>
      <c r="K12" s="1" t="s">
        <v>774</v>
      </c>
    </row>
    <row r="13" spans="1:11" x14ac:dyDescent="0.2">
      <c r="A13" s="9">
        <v>45388</v>
      </c>
      <c r="B13" s="1" t="s">
        <v>19</v>
      </c>
      <c r="C13" s="1" t="s">
        <v>105</v>
      </c>
      <c r="D13" s="4">
        <f>zinszahlungen[[#This Row],[Coupon]]/zinszahlungen[[#This Row],[Zinszahlungen pro Jahr]]*zinszahlungen[[#This Row],[Anteile]]*zinszahlungen[[#This Row],[Stückelung]]/zinszahlungen[[#This Row],[Wechselkurs]]</f>
        <v>110.00000000000001</v>
      </c>
      <c r="E13" s="1">
        <v>1</v>
      </c>
      <c r="F13" s="1" t="s">
        <v>925</v>
      </c>
      <c r="G13" s="1">
        <v>20</v>
      </c>
      <c r="H13" s="1">
        <v>100</v>
      </c>
      <c r="I13" s="7">
        <v>0.11</v>
      </c>
      <c r="J13" s="1">
        <v>2</v>
      </c>
      <c r="K13" s="1" t="s">
        <v>106</v>
      </c>
    </row>
    <row r="14" spans="1:11" x14ac:dyDescent="0.2">
      <c r="A14" s="9">
        <v>45388</v>
      </c>
      <c r="B14" s="1" t="s">
        <v>19</v>
      </c>
      <c r="C14" s="1" t="s">
        <v>492</v>
      </c>
      <c r="D14" s="4">
        <f>zinszahlungen[[#This Row],[Coupon]]/zinszahlungen[[#This Row],[Zinszahlungen pro Jahr]]*zinszahlungen[[#This Row],[Anteile]]*zinszahlungen[[#This Row],[Stückelung]]/zinszahlungen[[#This Row],[Wechselkurs]]</f>
        <v>157.5</v>
      </c>
      <c r="E14" s="1">
        <v>1</v>
      </c>
      <c r="F14" s="1" t="s">
        <v>925</v>
      </c>
      <c r="G14" s="1">
        <v>2</v>
      </c>
      <c r="H14" s="1">
        <v>1000</v>
      </c>
      <c r="I14" s="7">
        <v>7.8750000000000001E-2</v>
      </c>
      <c r="J14" s="1">
        <v>1</v>
      </c>
      <c r="K14" s="1" t="s">
        <v>493</v>
      </c>
    </row>
    <row r="15" spans="1:11" x14ac:dyDescent="0.2">
      <c r="A15" s="9">
        <v>45389</v>
      </c>
      <c r="B15" s="1" t="s">
        <v>19</v>
      </c>
      <c r="C15" s="1" t="s">
        <v>450</v>
      </c>
      <c r="D15" s="4">
        <f>zinszahlungen[[#This Row],[Coupon]]/zinszahlungen[[#This Row],[Zinszahlungen pro Jahr]]*zinszahlungen[[#This Row],[Anteile]]*zinszahlungen[[#This Row],[Stückelung]]/zinszahlungen[[#This Row],[Wechselkurs]]</f>
        <v>40</v>
      </c>
      <c r="E15" s="1">
        <v>1</v>
      </c>
      <c r="F15" s="1" t="s">
        <v>925</v>
      </c>
      <c r="G15" s="1">
        <v>2</v>
      </c>
      <c r="H15" s="1">
        <v>1000</v>
      </c>
      <c r="I15" s="7">
        <v>0.08</v>
      </c>
      <c r="J15" s="1">
        <v>4</v>
      </c>
      <c r="K15" s="1" t="s">
        <v>451</v>
      </c>
    </row>
    <row r="16" spans="1:11" x14ac:dyDescent="0.2">
      <c r="A16" s="9">
        <v>45390</v>
      </c>
      <c r="B16" s="1" t="s">
        <v>19</v>
      </c>
      <c r="C16" s="1" t="s">
        <v>108</v>
      </c>
      <c r="D16" s="4">
        <f>zinszahlungen[[#This Row],[Coupon]]/zinszahlungen[[#This Row],[Zinszahlungen pro Jahr]]*zinszahlungen[[#This Row],[Anteile]]*zinszahlungen[[#This Row],[Stückelung]]/zinszahlungen[[#This Row],[Wechselkurs]]</f>
        <v>67.11</v>
      </c>
      <c r="E16" s="1">
        <v>1</v>
      </c>
      <c r="F16" s="1" t="s">
        <v>925</v>
      </c>
      <c r="G16" s="1">
        <v>2</v>
      </c>
      <c r="H16" s="1">
        <v>1000</v>
      </c>
      <c r="I16" s="7">
        <v>0.13422000000000001</v>
      </c>
      <c r="J16" s="1">
        <v>4</v>
      </c>
      <c r="K16" s="1" t="s">
        <v>110</v>
      </c>
    </row>
    <row r="17" spans="1:11" x14ac:dyDescent="0.2">
      <c r="A17" s="9">
        <v>45390</v>
      </c>
      <c r="B17" s="1" t="s">
        <v>19</v>
      </c>
      <c r="C17" s="1" t="s">
        <v>557</v>
      </c>
      <c r="D17" s="4">
        <f>zinszahlungen[[#This Row],[Coupon]]/zinszahlungen[[#This Row],[Zinszahlungen pro Jahr]]*zinszahlungen[[#This Row],[Anteile]]*zinszahlungen[[#This Row],[Stückelung]]/zinszahlungen[[#This Row],[Wechselkurs]]</f>
        <v>75</v>
      </c>
      <c r="E17" s="1">
        <v>1</v>
      </c>
      <c r="F17" s="1" t="s">
        <v>925</v>
      </c>
      <c r="G17" s="1">
        <v>2</v>
      </c>
      <c r="H17" s="1">
        <v>1000</v>
      </c>
      <c r="I17" s="7">
        <v>7.4999999999999997E-2</v>
      </c>
      <c r="J17" s="1">
        <v>2</v>
      </c>
      <c r="K17" s="1" t="s">
        <v>558</v>
      </c>
    </row>
    <row r="18" spans="1:11" x14ac:dyDescent="0.2">
      <c r="A18" s="9">
        <v>45393</v>
      </c>
      <c r="B18" s="1" t="s">
        <v>19</v>
      </c>
      <c r="C18" s="1" t="s">
        <v>779</v>
      </c>
      <c r="D18" s="4">
        <f>zinszahlungen[[#This Row],[Coupon]]/zinszahlungen[[#This Row],[Zinszahlungen pro Jahr]]*zinszahlungen[[#This Row],[Anteile]]*zinszahlungen[[#This Row],[Stückelung]]/zinszahlungen[[#This Row],[Wechselkurs]]</f>
        <v>127.5</v>
      </c>
      <c r="E18" s="1">
        <v>1</v>
      </c>
      <c r="F18" s="1" t="s">
        <v>925</v>
      </c>
      <c r="G18" s="1">
        <v>2</v>
      </c>
      <c r="H18" s="1">
        <v>1000</v>
      </c>
      <c r="I18" s="7">
        <v>6.3750000000000001E-2</v>
      </c>
      <c r="J18" s="1">
        <v>1</v>
      </c>
      <c r="K18" s="1" t="s">
        <v>781</v>
      </c>
    </row>
    <row r="19" spans="1:11" x14ac:dyDescent="0.2">
      <c r="A19" s="9">
        <v>45394</v>
      </c>
      <c r="B19" s="1" t="s">
        <v>19</v>
      </c>
      <c r="C19" s="1" t="s">
        <v>224</v>
      </c>
      <c r="D19" s="4">
        <f>zinszahlungen[[#This Row],[Coupon]]/zinszahlungen[[#This Row],[Zinszahlungen pro Jahr]]*zinszahlungen[[#This Row],[Anteile]]*zinszahlungen[[#This Row],[Stückelung]]/zinszahlungen[[#This Row],[Wechselkurs]]</f>
        <v>50.875</v>
      </c>
      <c r="E19" s="1">
        <v>1</v>
      </c>
      <c r="F19" s="1" t="s">
        <v>925</v>
      </c>
      <c r="G19" s="1">
        <v>2</v>
      </c>
      <c r="H19" s="1">
        <v>1000</v>
      </c>
      <c r="I19" s="7">
        <v>0.10175000000000001</v>
      </c>
      <c r="J19" s="1">
        <v>4</v>
      </c>
      <c r="K19" s="1" t="s">
        <v>225</v>
      </c>
    </row>
    <row r="20" spans="1:11" x14ac:dyDescent="0.2">
      <c r="A20" s="9">
        <v>45395</v>
      </c>
      <c r="B20" s="1" t="s">
        <v>19</v>
      </c>
      <c r="C20" s="1" t="s">
        <v>269</v>
      </c>
      <c r="D20" s="4">
        <f>zinszahlungen[[#This Row],[Coupon]]/zinszahlungen[[#This Row],[Zinszahlungen pro Jahr]]*zinszahlungen[[#This Row],[Anteile]]*zinszahlungen[[#This Row],[Stückelung]]/zinszahlungen[[#This Row],[Wechselkurs]]</f>
        <v>97.5</v>
      </c>
      <c r="E20" s="1">
        <v>1</v>
      </c>
      <c r="F20" s="1" t="s">
        <v>925</v>
      </c>
      <c r="G20" s="1">
        <v>2</v>
      </c>
      <c r="H20" s="1">
        <v>1000</v>
      </c>
      <c r="I20" s="7">
        <v>9.7500000000000003E-2</v>
      </c>
      <c r="J20" s="1">
        <v>2</v>
      </c>
      <c r="K20" s="1" t="s">
        <v>270</v>
      </c>
    </row>
    <row r="21" spans="1:11" x14ac:dyDescent="0.2">
      <c r="A21" s="9">
        <v>45397</v>
      </c>
      <c r="B21" s="1" t="s">
        <v>19</v>
      </c>
      <c r="C21" s="1" t="s">
        <v>132</v>
      </c>
      <c r="D21" s="4">
        <f>zinszahlungen[[#This Row],[Coupon]]/zinszahlungen[[#This Row],[Zinszahlungen pro Jahr]]*zinszahlungen[[#This Row],[Anteile]]*zinszahlungen[[#This Row],[Stückelung]]/zinszahlungen[[#This Row],[Wechselkurs]]</f>
        <v>43.46</v>
      </c>
      <c r="E21" s="1">
        <v>1</v>
      </c>
      <c r="F21" s="1" t="s">
        <v>925</v>
      </c>
      <c r="G21" s="1">
        <v>2</v>
      </c>
      <c r="H21" s="1">
        <v>1000</v>
      </c>
      <c r="I21" s="7">
        <v>8.6919999999999997E-2</v>
      </c>
      <c r="J21" s="1">
        <v>4</v>
      </c>
      <c r="K21" s="1" t="s">
        <v>133</v>
      </c>
    </row>
    <row r="22" spans="1:11" x14ac:dyDescent="0.2">
      <c r="A22" s="9">
        <v>45397</v>
      </c>
      <c r="B22" s="1" t="s">
        <v>19</v>
      </c>
      <c r="C22" s="1" t="s">
        <v>141</v>
      </c>
      <c r="D22" s="4">
        <f>zinszahlungen[[#This Row],[Coupon]]/zinszahlungen[[#This Row],[Zinszahlungen pro Jahr]]*zinszahlungen[[#This Row],[Anteile]]*zinszahlungen[[#This Row],[Stückelung]]/zinszahlungen[[#This Row],[Wechselkurs]]</f>
        <v>49.709999999999994</v>
      </c>
      <c r="E22" s="1">
        <v>1</v>
      </c>
      <c r="F22" s="1" t="s">
        <v>925</v>
      </c>
      <c r="G22" s="1">
        <v>2</v>
      </c>
      <c r="H22" s="1">
        <v>1000</v>
      </c>
      <c r="I22" s="7">
        <v>9.9419999999999994E-2</v>
      </c>
      <c r="J22" s="1">
        <v>4</v>
      </c>
      <c r="K22" s="1" t="s">
        <v>142</v>
      </c>
    </row>
    <row r="23" spans="1:11" x14ac:dyDescent="0.2">
      <c r="A23" s="9">
        <v>45397</v>
      </c>
      <c r="B23" s="1" t="s">
        <v>19</v>
      </c>
      <c r="C23" s="1" t="s">
        <v>329</v>
      </c>
      <c r="D23" s="4">
        <f>zinszahlungen[[#This Row],[Coupon]]/zinszahlungen[[#This Row],[Zinszahlungen pro Jahr]]*zinszahlungen[[#This Row],[Anteile]]*zinszahlungen[[#This Row],[Stückelung]]/zinszahlungen[[#This Row],[Wechselkurs]]</f>
        <v>44.71</v>
      </c>
      <c r="E23" s="1">
        <v>1</v>
      </c>
      <c r="F23" s="1" t="s">
        <v>925</v>
      </c>
      <c r="G23" s="1">
        <v>2</v>
      </c>
      <c r="H23" s="1">
        <v>1000</v>
      </c>
      <c r="I23" s="7">
        <v>8.9419999999999999E-2</v>
      </c>
      <c r="J23" s="1">
        <v>4</v>
      </c>
      <c r="K23" s="1" t="s">
        <v>330</v>
      </c>
    </row>
    <row r="24" spans="1:11" x14ac:dyDescent="0.2">
      <c r="A24" s="9">
        <v>45397</v>
      </c>
      <c r="B24" s="1" t="s">
        <v>19</v>
      </c>
      <c r="C24" s="1" t="s">
        <v>875</v>
      </c>
      <c r="D24" s="4">
        <f>zinszahlungen[[#This Row],[Coupon]]/zinszahlungen[[#This Row],[Zinszahlungen pro Jahr]]*zinszahlungen[[#This Row],[Anteile]]*zinszahlungen[[#This Row],[Stückelung]]/zinszahlungen[[#This Row],[Wechselkurs]]</f>
        <v>43.46</v>
      </c>
      <c r="E24" s="1">
        <v>1</v>
      </c>
      <c r="F24" s="1" t="s">
        <v>925</v>
      </c>
      <c r="G24" s="1">
        <v>2</v>
      </c>
      <c r="H24" s="1">
        <v>1000</v>
      </c>
      <c r="I24" s="7">
        <v>8.6919999999999997E-2</v>
      </c>
      <c r="J24" s="1">
        <v>4</v>
      </c>
      <c r="K24" s="1" t="s">
        <v>876</v>
      </c>
    </row>
    <row r="25" spans="1:11" x14ac:dyDescent="0.2">
      <c r="A25" s="9">
        <v>45397</v>
      </c>
      <c r="B25" s="1" t="s">
        <v>19</v>
      </c>
      <c r="C25" s="1" t="s">
        <v>372</v>
      </c>
      <c r="D25" s="4">
        <f>zinszahlungen[[#This Row],[Coupon]]/zinszahlungen[[#This Row],[Zinszahlungen pro Jahr]]*zinszahlungen[[#This Row],[Anteile]]*zinszahlungen[[#This Row],[Stückelung]]/zinszahlungen[[#This Row],[Wechselkurs]]</f>
        <v>42.805</v>
      </c>
      <c r="E25" s="1">
        <v>1</v>
      </c>
      <c r="F25" s="1" t="s">
        <v>925</v>
      </c>
      <c r="G25" s="1">
        <v>2</v>
      </c>
      <c r="H25" s="1">
        <v>1000</v>
      </c>
      <c r="I25" s="7">
        <v>8.5610000000000006E-2</v>
      </c>
      <c r="J25" s="1">
        <v>4</v>
      </c>
      <c r="K25" s="1" t="s">
        <v>373</v>
      </c>
    </row>
    <row r="26" spans="1:11" x14ac:dyDescent="0.2">
      <c r="A26" s="9">
        <v>45397</v>
      </c>
      <c r="B26" s="1" t="s">
        <v>19</v>
      </c>
      <c r="C26" s="1" t="s">
        <v>514</v>
      </c>
      <c r="D26" s="4">
        <f>zinszahlungen[[#This Row],[Coupon]]/zinszahlungen[[#This Row],[Zinszahlungen pro Jahr]]*zinszahlungen[[#This Row],[Anteile]]*zinszahlungen[[#This Row],[Stückelung]]/zinszahlungen[[#This Row],[Wechselkurs]]</f>
        <v>77.5</v>
      </c>
      <c r="E26" s="1">
        <v>1</v>
      </c>
      <c r="F26" s="1" t="s">
        <v>925</v>
      </c>
      <c r="G26" s="1">
        <v>2</v>
      </c>
      <c r="H26" s="1">
        <v>1000</v>
      </c>
      <c r="I26" s="7">
        <v>7.7499999999999999E-2</v>
      </c>
      <c r="J26" s="1">
        <v>2</v>
      </c>
      <c r="K26" s="1" t="s">
        <v>515</v>
      </c>
    </row>
    <row r="27" spans="1:11" x14ac:dyDescent="0.2">
      <c r="A27" s="9">
        <v>45397</v>
      </c>
      <c r="B27" s="1" t="s">
        <v>19</v>
      </c>
      <c r="C27" s="1" t="s">
        <v>302</v>
      </c>
      <c r="D27" s="4">
        <f>zinszahlungen[[#This Row],[Coupon]]/zinszahlungen[[#This Row],[Zinszahlungen pro Jahr]]*zinszahlungen[[#This Row],[Anteile]]*zinszahlungen[[#This Row],[Stückelung]]/zinszahlungen[[#This Row],[Wechselkurs]]</f>
        <v>92.5</v>
      </c>
      <c r="E27" s="1">
        <v>1</v>
      </c>
      <c r="F27" s="1" t="s">
        <v>925</v>
      </c>
      <c r="G27" s="1">
        <v>2</v>
      </c>
      <c r="H27" s="1">
        <v>1000</v>
      </c>
      <c r="I27" s="7">
        <v>9.2499999999999999E-2</v>
      </c>
      <c r="J27" s="1">
        <v>2</v>
      </c>
      <c r="K27" s="1" t="s">
        <v>303</v>
      </c>
    </row>
    <row r="28" spans="1:11" x14ac:dyDescent="0.2">
      <c r="A28" s="9">
        <v>45397</v>
      </c>
      <c r="B28" s="1" t="s">
        <v>19</v>
      </c>
      <c r="C28" s="1" t="s">
        <v>417</v>
      </c>
      <c r="D28" s="4">
        <f>zinszahlungen[[#This Row],[Coupon]]/zinszahlungen[[#This Row],[Zinszahlungen pro Jahr]]*zinszahlungen[[#This Row],[Anteile]]*zinszahlungen[[#This Row],[Stückelung]]/zinszahlungen[[#This Row],[Wechselkurs]]</f>
        <v>40.96</v>
      </c>
      <c r="E28" s="1">
        <v>1</v>
      </c>
      <c r="F28" s="1" t="s">
        <v>925</v>
      </c>
      <c r="G28" s="1">
        <v>2</v>
      </c>
      <c r="H28" s="1">
        <v>1000</v>
      </c>
      <c r="I28" s="7">
        <v>8.1920000000000007E-2</v>
      </c>
      <c r="J28" s="1">
        <v>4</v>
      </c>
      <c r="K28" s="1" t="s">
        <v>418</v>
      </c>
    </row>
    <row r="29" spans="1:11" x14ac:dyDescent="0.2">
      <c r="A29" s="9">
        <v>45397</v>
      </c>
      <c r="B29" s="1" t="s">
        <v>19</v>
      </c>
      <c r="C29" s="1" t="s">
        <v>381</v>
      </c>
      <c r="D29" s="4">
        <f>zinszahlungen[[#This Row],[Coupon]]/zinszahlungen[[#This Row],[Zinszahlungen pro Jahr]]*zinszahlungen[[#This Row],[Anteile]]*zinszahlungen[[#This Row],[Stückelung]]/zinszahlungen[[#This Row],[Wechselkurs]]</f>
        <v>85</v>
      </c>
      <c r="E29" s="1">
        <v>1</v>
      </c>
      <c r="F29" s="1" t="s">
        <v>925</v>
      </c>
      <c r="G29" s="1">
        <v>2000</v>
      </c>
      <c r="H29" s="1">
        <v>1</v>
      </c>
      <c r="I29" s="7">
        <v>8.5000000000000006E-2</v>
      </c>
      <c r="J29" s="1">
        <v>2</v>
      </c>
      <c r="K29" s="1" t="s">
        <v>382</v>
      </c>
    </row>
    <row r="30" spans="1:11" x14ac:dyDescent="0.2">
      <c r="A30" s="9">
        <v>45397</v>
      </c>
      <c r="B30" s="1" t="s">
        <v>19</v>
      </c>
      <c r="C30" s="1" t="s">
        <v>411</v>
      </c>
      <c r="D30" s="4">
        <f>zinszahlungen[[#This Row],[Coupon]]/zinszahlungen[[#This Row],[Zinszahlungen pro Jahr]]*zinszahlungen[[#This Row],[Anteile]]*zinszahlungen[[#This Row],[Stückelung]]/zinszahlungen[[#This Row],[Wechselkurs]]</f>
        <v>82.5</v>
      </c>
      <c r="E30" s="1">
        <v>1</v>
      </c>
      <c r="F30" s="1" t="s">
        <v>925</v>
      </c>
      <c r="G30" s="1">
        <v>2</v>
      </c>
      <c r="H30" s="1">
        <v>1000</v>
      </c>
      <c r="I30" s="7">
        <v>8.2500000000000004E-2</v>
      </c>
      <c r="J30" s="1">
        <v>2</v>
      </c>
      <c r="K30" s="1" t="s">
        <v>412</v>
      </c>
    </row>
    <row r="31" spans="1:11" x14ac:dyDescent="0.2">
      <c r="A31" s="9">
        <v>45397</v>
      </c>
      <c r="B31" s="1" t="s">
        <v>19</v>
      </c>
      <c r="C31" s="1" t="s">
        <v>866</v>
      </c>
      <c r="D31" s="4">
        <f>zinszahlungen[[#This Row],[Coupon]]/zinszahlungen[[#This Row],[Zinszahlungen pro Jahr]]*zinszahlungen[[#This Row],[Anteile]]*zinszahlungen[[#This Row],[Stückelung]]/zinszahlungen[[#This Row],[Wechselkurs]]</f>
        <v>60</v>
      </c>
      <c r="E31" s="1">
        <v>1</v>
      </c>
      <c r="F31" s="1" t="s">
        <v>925</v>
      </c>
      <c r="G31" s="1">
        <v>2</v>
      </c>
      <c r="H31" s="1">
        <v>1000</v>
      </c>
      <c r="I31" s="7">
        <v>0.06</v>
      </c>
      <c r="J31" s="1">
        <v>2</v>
      </c>
      <c r="K31" s="1" t="s">
        <v>867</v>
      </c>
    </row>
    <row r="32" spans="1:11" x14ac:dyDescent="0.2">
      <c r="A32" s="9">
        <v>45398</v>
      </c>
      <c r="B32" s="1" t="s">
        <v>19</v>
      </c>
      <c r="C32" s="1" t="s">
        <v>838</v>
      </c>
      <c r="D32" s="4">
        <f>zinszahlungen[[#This Row],[Coupon]]/zinszahlungen[[#This Row],[Zinszahlungen pro Jahr]]*zinszahlungen[[#This Row],[Anteile]]*zinszahlungen[[#This Row],[Stückelung]]/zinszahlungen[[#This Row],[Wechselkurs]]</f>
        <v>120</v>
      </c>
      <c r="E32" s="1">
        <v>1</v>
      </c>
      <c r="F32" s="1" t="s">
        <v>925</v>
      </c>
      <c r="G32" s="1">
        <v>2</v>
      </c>
      <c r="H32" s="1">
        <v>1000</v>
      </c>
      <c r="I32" s="7">
        <v>0.06</v>
      </c>
      <c r="J32" s="1">
        <v>1</v>
      </c>
      <c r="K32" s="1" t="s">
        <v>839</v>
      </c>
    </row>
    <row r="33" spans="1:11" x14ac:dyDescent="0.2">
      <c r="A33" s="9">
        <v>45399</v>
      </c>
      <c r="B33" s="1" t="s">
        <v>19</v>
      </c>
      <c r="C33" s="1" t="s">
        <v>279</v>
      </c>
      <c r="D33" s="4">
        <f>zinszahlungen[[#This Row],[Coupon]]/zinszahlungen[[#This Row],[Zinszahlungen pro Jahr]]*zinszahlungen[[#This Row],[Anteile]]*zinszahlungen[[#This Row],[Stückelung]]/zinszahlungen[[#This Row],[Wechselkurs]]</f>
        <v>47.160000000000004</v>
      </c>
      <c r="E33" s="1">
        <v>1</v>
      </c>
      <c r="F33" s="1" t="s">
        <v>925</v>
      </c>
      <c r="G33" s="1">
        <v>2</v>
      </c>
      <c r="H33" s="1">
        <v>1000</v>
      </c>
      <c r="I33" s="7">
        <v>9.4320000000000001E-2</v>
      </c>
      <c r="J33" s="1">
        <v>4</v>
      </c>
      <c r="K33" s="1" t="s">
        <v>281</v>
      </c>
    </row>
    <row r="34" spans="1:11" x14ac:dyDescent="0.2">
      <c r="A34" s="9">
        <v>45399</v>
      </c>
      <c r="B34" s="1" t="s">
        <v>19</v>
      </c>
      <c r="C34" s="1" t="s">
        <v>420</v>
      </c>
      <c r="D34" s="4">
        <f>zinszahlungen[[#This Row],[Coupon]]/zinszahlungen[[#This Row],[Zinszahlungen pro Jahr]]*zinszahlungen[[#This Row],[Anteile]]*zinszahlungen[[#This Row],[Stückelung]]/zinszahlungen[[#This Row],[Wechselkurs]]</f>
        <v>40.96</v>
      </c>
      <c r="E34" s="1">
        <v>1</v>
      </c>
      <c r="F34" s="1" t="s">
        <v>925</v>
      </c>
      <c r="G34" s="1">
        <v>2</v>
      </c>
      <c r="H34" s="1">
        <v>1000</v>
      </c>
      <c r="I34" s="7">
        <v>8.1920000000000007E-2</v>
      </c>
      <c r="J34" s="1">
        <v>4</v>
      </c>
      <c r="K34" s="1" t="s">
        <v>421</v>
      </c>
    </row>
    <row r="35" spans="1:11" x14ac:dyDescent="0.2">
      <c r="A35" s="9">
        <v>45399</v>
      </c>
      <c r="B35" s="1" t="s">
        <v>19</v>
      </c>
      <c r="C35" s="1" t="s">
        <v>359</v>
      </c>
      <c r="D35" s="4">
        <f>zinszahlungen[[#This Row],[Coupon]]/zinszahlungen[[#This Row],[Zinszahlungen pro Jahr]]*zinszahlungen[[#This Row],[Anteile]]*zinszahlungen[[#This Row],[Stückelung]]/zinszahlungen[[#This Row],[Wechselkurs]]</f>
        <v>43.410000000000004</v>
      </c>
      <c r="E35" s="1">
        <v>1</v>
      </c>
      <c r="F35" s="1" t="s">
        <v>925</v>
      </c>
      <c r="G35" s="1">
        <v>2</v>
      </c>
      <c r="H35" s="1">
        <v>1000</v>
      </c>
      <c r="I35" s="7">
        <v>8.6820000000000008E-2</v>
      </c>
      <c r="J35" s="1">
        <v>4</v>
      </c>
      <c r="K35" s="1" t="s">
        <v>360</v>
      </c>
    </row>
    <row r="36" spans="1:11" x14ac:dyDescent="0.2">
      <c r="A36" s="9">
        <v>45400</v>
      </c>
      <c r="B36" s="1" t="s">
        <v>19</v>
      </c>
      <c r="C36" s="1" t="s">
        <v>71</v>
      </c>
      <c r="D36" s="4">
        <f>zinszahlungen[[#This Row],[Coupon]]/zinszahlungen[[#This Row],[Zinszahlungen pro Jahr]]*zinszahlungen[[#This Row],[Anteile]]*zinszahlungen[[#This Row],[Stückelung]]/zinszahlungen[[#This Row],[Wechselkurs]]</f>
        <v>95</v>
      </c>
      <c r="E36" s="1">
        <v>1</v>
      </c>
      <c r="F36" s="1" t="s">
        <v>925</v>
      </c>
      <c r="G36" s="1">
        <v>2</v>
      </c>
      <c r="H36" s="1">
        <v>1000</v>
      </c>
      <c r="I36" s="7">
        <v>9.5000000000000001E-2</v>
      </c>
      <c r="J36" s="1">
        <v>2</v>
      </c>
      <c r="K36" s="1" t="s">
        <v>265</v>
      </c>
    </row>
    <row r="37" spans="1:11" x14ac:dyDescent="0.2">
      <c r="A37" s="9">
        <v>45400</v>
      </c>
      <c r="B37" s="1" t="s">
        <v>19</v>
      </c>
      <c r="C37" s="1" t="s">
        <v>799</v>
      </c>
      <c r="D37" s="4">
        <f>zinszahlungen[[#This Row],[Coupon]]/zinszahlungen[[#This Row],[Zinszahlungen pro Jahr]]*zinszahlungen[[#This Row],[Anteile]]*zinszahlungen[[#This Row],[Stückelung]]/zinszahlungen[[#This Row],[Wechselkurs]]</f>
        <v>62.5</v>
      </c>
      <c r="E37" s="1">
        <v>1</v>
      </c>
      <c r="F37" s="1" t="s">
        <v>925</v>
      </c>
      <c r="G37" s="1">
        <v>2</v>
      </c>
      <c r="H37" s="1">
        <v>1000</v>
      </c>
      <c r="I37" s="7">
        <v>6.25E-2</v>
      </c>
      <c r="J37" s="1">
        <v>2</v>
      </c>
      <c r="K37" s="1" t="s">
        <v>800</v>
      </c>
    </row>
    <row r="38" spans="1:11" x14ac:dyDescent="0.2">
      <c r="A38" s="9">
        <v>45400</v>
      </c>
      <c r="B38" s="1" t="s">
        <v>19</v>
      </c>
      <c r="C38" s="1" t="s">
        <v>699</v>
      </c>
      <c r="D38" s="4">
        <f>zinszahlungen[[#This Row],[Coupon]]/zinszahlungen[[#This Row],[Zinszahlungen pro Jahr]]*zinszahlungen[[#This Row],[Anteile]]*zinszahlungen[[#This Row],[Stückelung]]/zinszahlungen[[#This Row],[Wechselkurs]]</f>
        <v>67.5</v>
      </c>
      <c r="E38" s="1">
        <v>1</v>
      </c>
      <c r="F38" s="1" t="s">
        <v>925</v>
      </c>
      <c r="G38" s="1">
        <v>2</v>
      </c>
      <c r="H38" s="1">
        <v>1000</v>
      </c>
      <c r="I38" s="7">
        <v>6.7500000000000004E-2</v>
      </c>
      <c r="J38" s="1">
        <v>2</v>
      </c>
      <c r="K38" s="1" t="s">
        <v>700</v>
      </c>
    </row>
    <row r="39" spans="1:11" x14ac:dyDescent="0.2">
      <c r="A39" s="9">
        <v>45408</v>
      </c>
      <c r="B39" s="1" t="s">
        <v>19</v>
      </c>
      <c r="C39" s="1" t="s">
        <v>175</v>
      </c>
      <c r="D39" s="4">
        <f>zinszahlungen[[#This Row],[Coupon]]/zinszahlungen[[#This Row],[Zinszahlungen pro Jahr]]*zinszahlungen[[#This Row],[Anteile]]*zinszahlungen[[#This Row],[Stückelung]]/zinszahlungen[[#This Row],[Wechselkurs]]</f>
        <v>132.5</v>
      </c>
      <c r="E39" s="1">
        <v>1</v>
      </c>
      <c r="F39" s="1" t="s">
        <v>925</v>
      </c>
      <c r="G39" s="1">
        <v>2</v>
      </c>
      <c r="H39" s="1">
        <v>1000</v>
      </c>
      <c r="I39" s="7">
        <v>0.13250000000000001</v>
      </c>
      <c r="J39" s="1">
        <v>2</v>
      </c>
      <c r="K39" s="1" t="s">
        <v>177</v>
      </c>
    </row>
    <row r="40" spans="1:11" x14ac:dyDescent="0.2">
      <c r="A40" s="9">
        <v>45409</v>
      </c>
      <c r="B40" s="1" t="s">
        <v>19</v>
      </c>
      <c r="C40" s="1" t="s">
        <v>336</v>
      </c>
      <c r="D40" s="4">
        <f>zinszahlungen[[#This Row],[Coupon]]/zinszahlungen[[#This Row],[Zinszahlungen pro Jahr]]*zinszahlungen[[#This Row],[Anteile]]*zinszahlungen[[#This Row],[Stückelung]]/zinszahlungen[[#This Row],[Wechselkurs]]</f>
        <v>177.5</v>
      </c>
      <c r="E40" s="1">
        <v>1</v>
      </c>
      <c r="F40" s="1" t="s">
        <v>925</v>
      </c>
      <c r="G40" s="1">
        <v>2</v>
      </c>
      <c r="H40" s="1">
        <v>1000</v>
      </c>
      <c r="I40" s="7">
        <v>8.8749999999999996E-2</v>
      </c>
      <c r="J40" s="1">
        <v>1</v>
      </c>
      <c r="K40" s="1" t="s">
        <v>338</v>
      </c>
    </row>
    <row r="41" spans="1:11" x14ac:dyDescent="0.2">
      <c r="A41" s="9">
        <v>45410</v>
      </c>
      <c r="B41" s="1" t="s">
        <v>19</v>
      </c>
      <c r="C41" s="1" t="s">
        <v>283</v>
      </c>
      <c r="D41" s="4">
        <f>zinszahlungen[[#This Row],[Coupon]]/zinszahlungen[[#This Row],[Zinszahlungen pro Jahr]]*zinszahlungen[[#This Row],[Anteile]]*zinszahlungen[[#This Row],[Stückelung]]/zinszahlungen[[#This Row],[Wechselkurs]]</f>
        <v>47.125</v>
      </c>
      <c r="E41" s="1">
        <v>1</v>
      </c>
      <c r="F41" s="1" t="s">
        <v>925</v>
      </c>
      <c r="G41" s="1">
        <v>2</v>
      </c>
      <c r="H41" s="1">
        <v>1000</v>
      </c>
      <c r="I41" s="7">
        <v>9.425E-2</v>
      </c>
      <c r="J41" s="1">
        <v>4</v>
      </c>
      <c r="K41" s="1" t="s">
        <v>285</v>
      </c>
    </row>
    <row r="42" spans="1:11" x14ac:dyDescent="0.2">
      <c r="A42" s="9">
        <v>45412</v>
      </c>
      <c r="B42" s="1" t="s">
        <v>19</v>
      </c>
      <c r="C42" s="1" t="s">
        <v>47</v>
      </c>
      <c r="D42" s="4">
        <f>zinszahlungen[[#This Row],[Coupon]]/zinszahlungen[[#This Row],[Zinszahlungen pro Jahr]]*zinszahlungen[[#This Row],[Anteile]]*zinszahlungen[[#This Row],[Stückelung]]/zinszahlungen[[#This Row],[Wechselkurs]]</f>
        <v>44.484999999999999</v>
      </c>
      <c r="E42" s="1">
        <v>1</v>
      </c>
      <c r="F42" s="1" t="s">
        <v>925</v>
      </c>
      <c r="G42" s="1">
        <v>2</v>
      </c>
      <c r="H42" s="1">
        <v>1000</v>
      </c>
      <c r="I42" s="7">
        <v>8.8969999999999994E-2</v>
      </c>
      <c r="J42" s="1">
        <v>4</v>
      </c>
      <c r="K42" s="1" t="s">
        <v>48</v>
      </c>
    </row>
    <row r="43" spans="1:11" x14ac:dyDescent="0.2">
      <c r="A43" s="9">
        <v>45412</v>
      </c>
      <c r="B43" s="1" t="s">
        <v>19</v>
      </c>
      <c r="C43" s="1" t="s">
        <v>71</v>
      </c>
      <c r="D43" s="4">
        <f>zinszahlungen[[#This Row],[Coupon]]/zinszahlungen[[#This Row],[Zinszahlungen pro Jahr]]*zinszahlungen[[#This Row],[Anteile]]*zinszahlungen[[#This Row],[Stückelung]]/zinszahlungen[[#This Row],[Wechselkurs]]</f>
        <v>65</v>
      </c>
      <c r="E43" s="1">
        <v>1</v>
      </c>
      <c r="F43" s="1" t="s">
        <v>925</v>
      </c>
      <c r="G43" s="1">
        <v>20</v>
      </c>
      <c r="H43" s="1">
        <v>100</v>
      </c>
      <c r="I43" s="7">
        <v>0.13</v>
      </c>
      <c r="J43" s="1">
        <v>4</v>
      </c>
      <c r="K43" s="1" t="s">
        <v>72</v>
      </c>
    </row>
    <row r="44" spans="1:11" x14ac:dyDescent="0.2">
      <c r="A44" s="9">
        <v>45412</v>
      </c>
      <c r="B44" s="1" t="s">
        <v>19</v>
      </c>
      <c r="C44" s="1" t="s">
        <v>230</v>
      </c>
      <c r="D44" s="4">
        <f>zinszahlungen[[#This Row],[Coupon]]/zinszahlungen[[#This Row],[Zinszahlungen pro Jahr]]*zinszahlungen[[#This Row],[Anteile]]*zinszahlungen[[#This Row],[Stückelung]]/zinszahlungen[[#This Row],[Wechselkurs]]</f>
        <v>16.666666666666668</v>
      </c>
      <c r="E44" s="1">
        <v>1</v>
      </c>
      <c r="F44" s="1" t="s">
        <v>925</v>
      </c>
      <c r="G44" s="1">
        <v>2</v>
      </c>
      <c r="H44" s="1">
        <v>1000</v>
      </c>
      <c r="I44" s="7">
        <v>0.1</v>
      </c>
      <c r="J44" s="1">
        <v>12</v>
      </c>
      <c r="K44" s="1" t="s">
        <v>231</v>
      </c>
    </row>
    <row r="45" spans="1:11" x14ac:dyDescent="0.2">
      <c r="A45" s="9">
        <v>45412</v>
      </c>
      <c r="B45" s="1" t="s">
        <v>19</v>
      </c>
      <c r="C45" s="1" t="s">
        <v>576</v>
      </c>
      <c r="D45" s="4">
        <f>zinszahlungen[[#This Row],[Coupon]]/zinszahlungen[[#This Row],[Zinszahlungen pro Jahr]]*zinszahlungen[[#This Row],[Anteile]]*zinszahlungen[[#This Row],[Stückelung]]/zinszahlungen[[#This Row],[Wechselkurs]]</f>
        <v>75</v>
      </c>
      <c r="E45" s="1">
        <v>1</v>
      </c>
      <c r="F45" s="1" t="s">
        <v>925</v>
      </c>
      <c r="G45" s="1">
        <v>2</v>
      </c>
      <c r="H45" s="1">
        <v>1000</v>
      </c>
      <c r="I45" s="7">
        <v>7.4999999999999997E-2</v>
      </c>
      <c r="J45" s="1">
        <v>2</v>
      </c>
      <c r="K45" s="1" t="s">
        <v>577</v>
      </c>
    </row>
    <row r="46" spans="1:11" x14ac:dyDescent="0.2">
      <c r="A46" s="9">
        <v>45412</v>
      </c>
      <c r="B46" s="1" t="s">
        <v>19</v>
      </c>
      <c r="C46" s="1" t="s">
        <v>504</v>
      </c>
      <c r="D46" s="4">
        <f>zinszahlungen[[#This Row],[Coupon]]/zinszahlungen[[#This Row],[Zinszahlungen pro Jahr]]*zinszahlungen[[#This Row],[Anteile]]*zinszahlungen[[#This Row],[Stückelung]]/zinszahlungen[[#This Row],[Wechselkurs]]</f>
        <v>38.809999999999995</v>
      </c>
      <c r="E46" s="1">
        <v>1</v>
      </c>
      <c r="F46" s="1" t="s">
        <v>925</v>
      </c>
      <c r="G46" s="1">
        <v>2</v>
      </c>
      <c r="H46" s="1">
        <v>1000</v>
      </c>
      <c r="I46" s="7">
        <v>7.7619999999999995E-2</v>
      </c>
      <c r="J46" s="1">
        <v>4</v>
      </c>
      <c r="K46" s="1" t="s">
        <v>505</v>
      </c>
    </row>
    <row r="47" spans="1:11" x14ac:dyDescent="0.2">
      <c r="A47" s="9">
        <v>45412</v>
      </c>
      <c r="B47" s="1" t="s">
        <v>19</v>
      </c>
      <c r="C47" s="1" t="s">
        <v>299</v>
      </c>
      <c r="D47" s="4">
        <f>zinszahlungen[[#This Row],[Coupon]]/zinszahlungen[[#This Row],[Zinszahlungen pro Jahr]]*zinszahlungen[[#This Row],[Anteile]]*zinszahlungen[[#This Row],[Stückelung]]/zinszahlungen[[#This Row],[Wechselkurs]]</f>
        <v>92.5</v>
      </c>
      <c r="E47" s="1">
        <v>1</v>
      </c>
      <c r="F47" s="1" t="s">
        <v>925</v>
      </c>
      <c r="G47" s="1">
        <v>2</v>
      </c>
      <c r="H47" s="1">
        <v>1000</v>
      </c>
      <c r="I47" s="7">
        <v>9.2499999999999999E-2</v>
      </c>
      <c r="J47" s="1">
        <v>2</v>
      </c>
      <c r="K47" s="1" t="s">
        <v>300</v>
      </c>
    </row>
    <row r="48" spans="1:11" x14ac:dyDescent="0.2">
      <c r="A48" s="9">
        <v>45412</v>
      </c>
      <c r="B48" s="1" t="s">
        <v>19</v>
      </c>
      <c r="C48" s="1" t="s">
        <v>468</v>
      </c>
      <c r="D48" s="4">
        <f>zinszahlungen[[#This Row],[Coupon]]/zinszahlungen[[#This Row],[Zinszahlungen pro Jahr]]*zinszahlungen[[#This Row],[Anteile]]*zinszahlungen[[#This Row],[Stückelung]]/zinszahlungen[[#This Row],[Wechselkurs]]</f>
        <v>160</v>
      </c>
      <c r="E48" s="1">
        <v>1</v>
      </c>
      <c r="F48" s="1" t="s">
        <v>925</v>
      </c>
      <c r="G48" s="1">
        <v>2</v>
      </c>
      <c r="H48" s="1">
        <v>1000</v>
      </c>
      <c r="I48" s="7">
        <v>0.08</v>
      </c>
      <c r="J48" s="1">
        <v>1</v>
      </c>
      <c r="K48" s="1" t="s">
        <v>469</v>
      </c>
    </row>
    <row r="49" spans="1:11" x14ac:dyDescent="0.2">
      <c r="A49" s="9">
        <v>45412</v>
      </c>
      <c r="B49" s="1" t="s">
        <v>19</v>
      </c>
      <c r="C49" s="1" t="s">
        <v>570</v>
      </c>
      <c r="D49" s="4">
        <f>zinszahlungen[[#This Row],[Coupon]]/zinszahlungen[[#This Row],[Zinszahlungen pro Jahr]]*zinszahlungen[[#This Row],[Anteile]]*zinszahlungen[[#This Row],[Stückelung]]/zinszahlungen[[#This Row],[Wechselkurs]]</f>
        <v>75</v>
      </c>
      <c r="E49" s="1">
        <v>1</v>
      </c>
      <c r="F49" s="1" t="s">
        <v>925</v>
      </c>
      <c r="G49" s="1">
        <v>2</v>
      </c>
      <c r="H49" s="1">
        <v>1000</v>
      </c>
      <c r="I49" s="7">
        <v>7.4999999999999997E-2</v>
      </c>
      <c r="J49" s="1">
        <v>2</v>
      </c>
      <c r="K49" s="1" t="s">
        <v>571</v>
      </c>
    </row>
    <row r="50" spans="1:11" x14ac:dyDescent="0.2">
      <c r="A50" s="9">
        <v>45413</v>
      </c>
      <c r="B50" s="1" t="s">
        <v>19</v>
      </c>
      <c r="C50" s="1" t="s">
        <v>1066</v>
      </c>
      <c r="D50" s="4">
        <f>zinszahlungen[[#This Row],[Coupon]]/zinszahlungen[[#This Row],[Zinszahlungen pro Jahr]]*zinszahlungen[[#This Row],[Anteile]]*zinszahlungen[[#This Row],[Stückelung]]/zinszahlungen[[#This Row],[Wechselkurs]]</f>
        <v>98.011761411369378</v>
      </c>
      <c r="E50" s="1">
        <v>1.0712999999999999</v>
      </c>
      <c r="F50" s="1" t="s">
        <v>887</v>
      </c>
      <c r="G50" s="1">
        <v>2</v>
      </c>
      <c r="H50" s="1">
        <v>1000</v>
      </c>
      <c r="I50" s="7">
        <v>0.105</v>
      </c>
      <c r="J50" s="1">
        <v>2</v>
      </c>
      <c r="K50" s="1" t="s">
        <v>1067</v>
      </c>
    </row>
    <row r="51" spans="1:11" x14ac:dyDescent="0.2">
      <c r="A51" s="9">
        <v>45413</v>
      </c>
      <c r="B51" s="1" t="s">
        <v>19</v>
      </c>
      <c r="C51" s="1" t="s">
        <v>1504</v>
      </c>
      <c r="D51" s="4">
        <f>zinszahlungen[[#This Row],[Coupon]]/zinszahlungen[[#This Row],[Zinszahlungen pro Jahr]]*zinszahlungen[[#This Row],[Anteile]]*zinszahlungen[[#This Row],[Stückelung]]/zinszahlungen[[#This Row],[Wechselkurs]]</f>
        <v>96.844954727900685</v>
      </c>
      <c r="E51" s="1">
        <v>1.0712999999999999</v>
      </c>
      <c r="F51" s="1" t="s">
        <v>887</v>
      </c>
      <c r="G51" s="1">
        <v>2</v>
      </c>
      <c r="H51" s="1">
        <v>1000</v>
      </c>
      <c r="I51" s="7">
        <v>0.10375</v>
      </c>
      <c r="J51" s="1">
        <v>2</v>
      </c>
      <c r="K51" s="1" t="s">
        <v>1505</v>
      </c>
    </row>
    <row r="52" spans="1:11" x14ac:dyDescent="0.2">
      <c r="A52" s="9">
        <v>45413</v>
      </c>
      <c r="B52" s="1" t="s">
        <v>19</v>
      </c>
      <c r="C52" s="1" t="s">
        <v>84</v>
      </c>
      <c r="D52" s="4">
        <f>zinszahlungen[[#This Row],[Coupon]]/zinszahlungen[[#This Row],[Zinszahlungen pro Jahr]]*zinszahlungen[[#This Row],[Anteile]]*zinszahlungen[[#This Row],[Stückelung]]/zinszahlungen[[#This Row],[Wechselkurs]]</f>
        <v>50.734999999999999</v>
      </c>
      <c r="E52" s="1">
        <v>1</v>
      </c>
      <c r="F52" s="1" t="s">
        <v>925</v>
      </c>
      <c r="G52" s="1">
        <v>2</v>
      </c>
      <c r="H52" s="1">
        <v>1000</v>
      </c>
      <c r="I52" s="7">
        <v>0.10147</v>
      </c>
      <c r="J52" s="1">
        <v>4</v>
      </c>
      <c r="K52" s="1" t="s">
        <v>85</v>
      </c>
    </row>
    <row r="53" spans="1:11" x14ac:dyDescent="0.2">
      <c r="A53" s="9">
        <v>45413</v>
      </c>
      <c r="B53" s="1" t="s">
        <v>19</v>
      </c>
      <c r="C53" s="1" t="s">
        <v>1091</v>
      </c>
      <c r="D53" s="4">
        <f>zinszahlungen[[#This Row],[Coupon]]/zinszahlungen[[#This Row],[Zinszahlungen pro Jahr]]*zinszahlungen[[#This Row],[Anteile]]*zinszahlungen[[#This Row],[Stückelung]]/zinszahlungen[[#This Row],[Wechselkurs]]</f>
        <v>93.344534677494636</v>
      </c>
      <c r="E53" s="1">
        <v>1.0712999999999999</v>
      </c>
      <c r="F53" s="1" t="s">
        <v>887</v>
      </c>
      <c r="G53" s="1">
        <v>2</v>
      </c>
      <c r="H53" s="1">
        <v>1000</v>
      </c>
      <c r="I53" s="7">
        <v>0.1</v>
      </c>
      <c r="J53" s="1">
        <v>2</v>
      </c>
      <c r="K53" s="1" t="s">
        <v>1099</v>
      </c>
    </row>
    <row r="54" spans="1:11" x14ac:dyDescent="0.2">
      <c r="A54" s="9">
        <v>45413</v>
      </c>
      <c r="B54" s="1" t="s">
        <v>19</v>
      </c>
      <c r="C54" s="1" t="s">
        <v>1406</v>
      </c>
      <c r="D54" s="4">
        <f>zinszahlungen[[#This Row],[Coupon]]/zinszahlungen[[#This Row],[Zinszahlungen pro Jahr]]*zinszahlungen[[#This Row],[Anteile]]*zinszahlungen[[#This Row],[Stückelung]]/zinszahlungen[[#This Row],[Wechselkurs]]</f>
        <v>81.20974516942033</v>
      </c>
      <c r="E54" s="1">
        <v>1.0712999999999999</v>
      </c>
      <c r="F54" s="1" t="s">
        <v>887</v>
      </c>
      <c r="G54" s="1">
        <v>2</v>
      </c>
      <c r="H54" s="1">
        <v>1000</v>
      </c>
      <c r="I54" s="7">
        <v>8.6999999999999994E-2</v>
      </c>
      <c r="J54" s="1">
        <v>2</v>
      </c>
      <c r="K54" s="1" t="s">
        <v>1407</v>
      </c>
    </row>
    <row r="55" spans="1:11" x14ac:dyDescent="0.2">
      <c r="A55" s="9">
        <v>45413</v>
      </c>
      <c r="B55" s="1" t="s">
        <v>19</v>
      </c>
      <c r="C55" s="1" t="s">
        <v>365</v>
      </c>
      <c r="D55" s="4">
        <f>zinszahlungen[[#This Row],[Coupon]]/zinszahlungen[[#This Row],[Zinszahlungen pro Jahr]]*zinszahlungen[[#This Row],[Anteile]]*zinszahlungen[[#This Row],[Stückelung]]/zinszahlungen[[#This Row],[Wechselkurs]]</f>
        <v>43.234999999999999</v>
      </c>
      <c r="E55" s="1">
        <v>1</v>
      </c>
      <c r="F55" s="1" t="s">
        <v>925</v>
      </c>
      <c r="G55" s="1">
        <v>2</v>
      </c>
      <c r="H55" s="1">
        <v>1000</v>
      </c>
      <c r="I55" s="7">
        <v>8.6470000000000005E-2</v>
      </c>
      <c r="J55" s="1">
        <v>4</v>
      </c>
      <c r="K55" s="1" t="s">
        <v>366</v>
      </c>
    </row>
    <row r="56" spans="1:11" x14ac:dyDescent="0.2">
      <c r="A56" s="9">
        <v>45413</v>
      </c>
      <c r="B56" s="1" t="s">
        <v>19</v>
      </c>
      <c r="C56" s="1" t="s">
        <v>1457</v>
      </c>
      <c r="D56" s="4">
        <f>zinszahlungen[[#This Row],[Coupon]]/zinszahlungen[[#This Row],[Zinszahlungen pro Jahr]]*zinszahlungen[[#This Row],[Anteile]]*zinszahlungen[[#This Row],[Stückelung]]/zinszahlungen[[#This Row],[Wechselkurs]]</f>
        <v>79.342854475870439</v>
      </c>
      <c r="E56" s="1">
        <v>1.0712999999999999</v>
      </c>
      <c r="F56" s="1" t="s">
        <v>887</v>
      </c>
      <c r="G56" s="1">
        <v>2</v>
      </c>
      <c r="H56" s="1">
        <v>1000</v>
      </c>
      <c r="I56" s="7">
        <v>8.5000000000000006E-2</v>
      </c>
      <c r="J56" s="1">
        <v>2</v>
      </c>
      <c r="K56" s="1" t="s">
        <v>1458</v>
      </c>
    </row>
    <row r="57" spans="1:11" x14ac:dyDescent="0.2">
      <c r="A57" s="9">
        <v>45413</v>
      </c>
      <c r="B57" s="1" t="s">
        <v>19</v>
      </c>
      <c r="C57" s="1" t="s">
        <v>1623</v>
      </c>
      <c r="D57" s="4">
        <f>zinszahlungen[[#This Row],[Coupon]]/zinszahlungen[[#This Row],[Zinszahlungen pro Jahr]]*zinszahlungen[[#This Row],[Anteile]]*zinszahlungen[[#This Row],[Stückelung]]/zinszahlungen[[#This Row],[Wechselkurs]]</f>
        <v>77.009241108933082</v>
      </c>
      <c r="E57" s="1">
        <v>1.0712999999999999</v>
      </c>
      <c r="F57" s="1" t="s">
        <v>887</v>
      </c>
      <c r="G57" s="1">
        <v>2</v>
      </c>
      <c r="H57" s="1">
        <v>1000</v>
      </c>
      <c r="I57" s="7">
        <v>8.2500000000000004E-2</v>
      </c>
      <c r="J57" s="1">
        <v>2</v>
      </c>
      <c r="K57" s="1" t="s">
        <v>1624</v>
      </c>
    </row>
    <row r="58" spans="1:11" x14ac:dyDescent="0.2">
      <c r="A58" s="9">
        <v>45413</v>
      </c>
      <c r="B58" s="1" t="s">
        <v>19</v>
      </c>
      <c r="C58" s="1" t="s">
        <v>1732</v>
      </c>
      <c r="D58" s="4">
        <f>zinszahlungen[[#This Row],[Coupon]]/zinszahlungen[[#This Row],[Zinszahlungen pro Jahr]]*zinszahlungen[[#This Row],[Anteile]]*zinszahlungen[[#This Row],[Stückelung]]/zinszahlungen[[#This Row],[Wechselkurs]]</f>
        <v>74.675627741995712</v>
      </c>
      <c r="E58" s="1">
        <v>1.0712999999999999</v>
      </c>
      <c r="F58" s="1" t="s">
        <v>887</v>
      </c>
      <c r="G58" s="1">
        <v>2</v>
      </c>
      <c r="H58" s="1">
        <v>1000</v>
      </c>
      <c r="I58" s="7">
        <v>0.08</v>
      </c>
      <c r="J58" s="1">
        <v>2</v>
      </c>
      <c r="K58" s="1" t="s">
        <v>1733</v>
      </c>
    </row>
    <row r="59" spans="1:11" x14ac:dyDescent="0.2">
      <c r="A59" s="9">
        <v>45413</v>
      </c>
      <c r="B59" s="1" t="s">
        <v>19</v>
      </c>
      <c r="C59" s="1" t="s">
        <v>1708</v>
      </c>
      <c r="D59" s="4">
        <f>zinszahlungen[[#This Row],[Coupon]]/zinszahlungen[[#This Row],[Zinszahlungen pro Jahr]]*zinszahlungen[[#This Row],[Anteile]]*zinszahlungen[[#This Row],[Stückelung]]/zinszahlungen[[#This Row],[Wechselkurs]]</f>
        <v>74.675627741995712</v>
      </c>
      <c r="E59" s="1">
        <v>1.0712999999999999</v>
      </c>
      <c r="F59" s="1" t="s">
        <v>887</v>
      </c>
      <c r="G59" s="1">
        <v>2</v>
      </c>
      <c r="H59" s="1">
        <v>1000</v>
      </c>
      <c r="I59" s="7">
        <v>0.08</v>
      </c>
      <c r="J59" s="1">
        <v>2</v>
      </c>
      <c r="K59" s="1" t="s">
        <v>1709</v>
      </c>
    </row>
    <row r="60" spans="1:11" x14ac:dyDescent="0.2">
      <c r="A60" s="9">
        <v>45413</v>
      </c>
      <c r="B60" s="1" t="s">
        <v>19</v>
      </c>
      <c r="C60" s="1" t="s">
        <v>516</v>
      </c>
      <c r="D60" s="4">
        <f>zinszahlungen[[#This Row],[Coupon]]/zinszahlungen[[#This Row],[Zinszahlungen pro Jahr]]*zinszahlungen[[#This Row],[Anteile]]*zinszahlungen[[#This Row],[Stückelung]]/zinszahlungen[[#This Row],[Wechselkurs]]</f>
        <v>77.5</v>
      </c>
      <c r="E60" s="1">
        <v>1</v>
      </c>
      <c r="F60" s="1" t="s">
        <v>925</v>
      </c>
      <c r="G60" s="1">
        <v>2</v>
      </c>
      <c r="H60" s="1">
        <v>1000</v>
      </c>
      <c r="I60" s="7">
        <v>7.7499999999999999E-2</v>
      </c>
      <c r="J60" s="1">
        <v>2</v>
      </c>
      <c r="K60" s="1" t="s">
        <v>517</v>
      </c>
    </row>
    <row r="61" spans="1:11" x14ac:dyDescent="0.2">
      <c r="A61" s="9">
        <v>45413</v>
      </c>
      <c r="B61" s="1" t="s">
        <v>19</v>
      </c>
      <c r="C61" s="1" t="s">
        <v>672</v>
      </c>
      <c r="D61" s="4">
        <f>zinszahlungen[[#This Row],[Coupon]]/zinszahlungen[[#This Row],[Zinszahlungen pro Jahr]]*zinszahlungen[[#This Row],[Anteile]]*zinszahlungen[[#This Row],[Stückelung]]/zinszahlungen[[#This Row],[Wechselkurs]]</f>
        <v>70</v>
      </c>
      <c r="E61" s="1">
        <v>1</v>
      </c>
      <c r="F61" s="1" t="s">
        <v>925</v>
      </c>
      <c r="G61" s="1">
        <v>2</v>
      </c>
      <c r="H61" s="1">
        <v>1000</v>
      </c>
      <c r="I61" s="7">
        <v>7.0000000000000007E-2</v>
      </c>
      <c r="J61" s="1">
        <v>2</v>
      </c>
      <c r="K61" s="1" t="s">
        <v>673</v>
      </c>
    </row>
    <row r="62" spans="1:11" x14ac:dyDescent="0.2">
      <c r="A62" s="9">
        <v>45413</v>
      </c>
      <c r="B62" s="1" t="s">
        <v>19</v>
      </c>
      <c r="C62" s="1" t="s">
        <v>857</v>
      </c>
      <c r="D62" s="4">
        <f>zinszahlungen[[#This Row],[Coupon]]/zinszahlungen[[#This Row],[Zinszahlungen pro Jahr]]*zinszahlungen[[#This Row],[Anteile]]*zinszahlungen[[#This Row],[Stückelung]]/zinszahlungen[[#This Row],[Wechselkurs]]</f>
        <v>60</v>
      </c>
      <c r="E62" s="1">
        <v>1</v>
      </c>
      <c r="F62" s="1" t="s">
        <v>925</v>
      </c>
      <c r="G62" s="1">
        <v>2</v>
      </c>
      <c r="H62" s="1">
        <v>1000</v>
      </c>
      <c r="I62" s="7">
        <v>0.06</v>
      </c>
      <c r="J62" s="1">
        <v>2</v>
      </c>
      <c r="K62" s="1" t="s">
        <v>858</v>
      </c>
    </row>
    <row r="63" spans="1:11" x14ac:dyDescent="0.2">
      <c r="A63" s="9">
        <v>45413</v>
      </c>
      <c r="B63" s="1" t="s">
        <v>19</v>
      </c>
      <c r="C63" s="1" t="s">
        <v>1808</v>
      </c>
      <c r="D63" s="4">
        <f>zinszahlungen[[#This Row],[Coupon]]/zinszahlungen[[#This Row],[Zinszahlungen pro Jahr]]*zinszahlungen[[#This Row],[Anteile]]*zinszahlungen[[#This Row],[Stückelung]]/zinszahlungen[[#This Row],[Wechselkurs]]</f>
        <v>95.678148044432007</v>
      </c>
      <c r="E63" s="1">
        <v>1.0712999999999999</v>
      </c>
      <c r="F63" s="1" t="s">
        <v>887</v>
      </c>
      <c r="G63" s="1">
        <v>2</v>
      </c>
      <c r="H63" s="1">
        <v>1000</v>
      </c>
      <c r="I63" s="7">
        <v>0.10249999999999999</v>
      </c>
      <c r="J63" s="1">
        <v>2</v>
      </c>
      <c r="K63" s="1" t="s">
        <v>1080</v>
      </c>
    </row>
    <row r="64" spans="1:11" x14ac:dyDescent="0.2">
      <c r="A64" s="9">
        <v>45414</v>
      </c>
      <c r="B64" s="1" t="s">
        <v>19</v>
      </c>
      <c r="C64" s="1" t="s">
        <v>1554</v>
      </c>
      <c r="D64" s="4">
        <f>zinszahlungen[[#This Row],[Coupon]]/zinszahlungen[[#This Row],[Zinszahlungen pro Jahr]]*zinszahlungen[[#This Row],[Anteile]]*zinszahlungen[[#This Row],[Stückelung]]/zinszahlungen[[#This Row],[Wechselkurs]]</f>
        <v>80.427079447967174</v>
      </c>
      <c r="E64" s="1">
        <v>1.0724</v>
      </c>
      <c r="F64" s="1" t="s">
        <v>887</v>
      </c>
      <c r="G64" s="1">
        <v>2</v>
      </c>
      <c r="H64" s="1">
        <v>1000</v>
      </c>
      <c r="I64" s="7">
        <v>8.6249999999999993E-2</v>
      </c>
      <c r="J64" s="1">
        <v>2</v>
      </c>
      <c r="K64" s="1" t="s">
        <v>1555</v>
      </c>
    </row>
    <row r="65" spans="1:11" x14ac:dyDescent="0.2">
      <c r="A65" s="9">
        <v>45414</v>
      </c>
      <c r="B65" s="1" t="s">
        <v>19</v>
      </c>
      <c r="C65" s="1" t="s">
        <v>480</v>
      </c>
      <c r="D65" s="4">
        <f>zinszahlungen[[#This Row],[Coupon]]/zinszahlungen[[#This Row],[Zinszahlungen pro Jahr]]*zinszahlungen[[#This Row],[Anteile]]*zinszahlungen[[#This Row],[Stückelung]]/zinszahlungen[[#This Row],[Wechselkurs]]</f>
        <v>39.559999999999995</v>
      </c>
      <c r="E65" s="1">
        <v>1</v>
      </c>
      <c r="F65" s="1" t="s">
        <v>925</v>
      </c>
      <c r="G65" s="1">
        <v>2</v>
      </c>
      <c r="H65" s="1">
        <v>1000</v>
      </c>
      <c r="I65" s="7">
        <v>7.9119999999999996E-2</v>
      </c>
      <c r="J65" s="1">
        <v>4</v>
      </c>
      <c r="K65" s="1" t="s">
        <v>481</v>
      </c>
    </row>
    <row r="66" spans="1:11" x14ac:dyDescent="0.2">
      <c r="A66" s="9">
        <v>45414</v>
      </c>
      <c r="B66" s="1" t="s">
        <v>19</v>
      </c>
      <c r="C66" s="1" t="s">
        <v>1498</v>
      </c>
      <c r="D66" s="4">
        <f>zinszahlungen[[#This Row],[Coupon]]/zinszahlungen[[#This Row],[Zinszahlungen pro Jahr]]*zinszahlungen[[#This Row],[Anteile]]*zinszahlungen[[#This Row],[Stückelung]]/zinszahlungen[[#This Row],[Wechselkurs]]</f>
        <v>73.75</v>
      </c>
      <c r="E66" s="1">
        <v>1</v>
      </c>
      <c r="F66" s="1" t="s">
        <v>925</v>
      </c>
      <c r="G66" s="1">
        <v>2</v>
      </c>
      <c r="H66" s="1">
        <v>1000</v>
      </c>
      <c r="I66" s="7">
        <v>7.3749999999999996E-2</v>
      </c>
      <c r="J66" s="1">
        <v>2</v>
      </c>
      <c r="K66" s="1" t="s">
        <v>1499</v>
      </c>
    </row>
    <row r="67" spans="1:11" x14ac:dyDescent="0.2">
      <c r="A67" s="9">
        <v>45415</v>
      </c>
      <c r="B67" s="1" t="s">
        <v>19</v>
      </c>
      <c r="C67" s="1" t="s">
        <v>1396</v>
      </c>
      <c r="D67" s="4">
        <f>zinszahlungen[[#This Row],[Coupon]]/zinszahlungen[[#This Row],[Zinszahlungen pro Jahr]]*zinszahlungen[[#This Row],[Anteile]]*zinszahlungen[[#This Row],[Stückelung]]/zinszahlungen[[#This Row],[Wechselkurs]]</f>
        <v>81.312145711365105</v>
      </c>
      <c r="E67" s="1">
        <v>1.0761000000000001</v>
      </c>
      <c r="F67" s="1" t="s">
        <v>887</v>
      </c>
      <c r="G67" s="1">
        <v>2</v>
      </c>
      <c r="H67" s="1">
        <v>1000</v>
      </c>
      <c r="I67" s="7">
        <v>8.7499999999999994E-2</v>
      </c>
      <c r="J67" s="1">
        <v>2</v>
      </c>
      <c r="K67" s="1" t="s">
        <v>1397</v>
      </c>
    </row>
    <row r="68" spans="1:11" x14ac:dyDescent="0.2">
      <c r="A68" s="9">
        <v>45416</v>
      </c>
      <c r="B68" s="1" t="s">
        <v>19</v>
      </c>
      <c r="C68" s="1" t="s">
        <v>1082</v>
      </c>
      <c r="D68" s="4">
        <f>zinszahlungen[[#This Row],[Coupon]]/zinszahlungen[[#This Row],[Zinszahlungen pro Jahr]]*zinszahlungen[[#This Row],[Anteile]]*zinszahlungen[[#This Row],[Stückelung]]/zinszahlungen[[#This Row],[Wechselkurs]]</f>
        <v>190.50274138091254</v>
      </c>
      <c r="E68" s="1">
        <v>1.0761000000000001</v>
      </c>
      <c r="F68" s="1" t="s">
        <v>887</v>
      </c>
      <c r="G68" s="1">
        <v>2</v>
      </c>
      <c r="H68" s="1">
        <v>1000</v>
      </c>
      <c r="I68" s="7">
        <v>0.10249999999999999</v>
      </c>
      <c r="J68" s="1">
        <v>1</v>
      </c>
      <c r="K68" s="1" t="s">
        <v>1083</v>
      </c>
    </row>
    <row r="69" spans="1:11" x14ac:dyDescent="0.2">
      <c r="A69" s="9">
        <v>45418</v>
      </c>
      <c r="B69" s="1" t="s">
        <v>19</v>
      </c>
      <c r="C69" s="1" t="s">
        <v>1605</v>
      </c>
      <c r="D69" s="4">
        <f>zinszahlungen[[#This Row],[Coupon]]/zinszahlungen[[#This Row],[Zinszahlungen pro Jahr]]*zinszahlungen[[#This Row],[Anteile]]*zinszahlungen[[#This Row],[Stückelung]]/zinszahlungen[[#This Row],[Wechselkurs]]</f>
        <v>38.67793148268499</v>
      </c>
      <c r="E69" s="1">
        <v>1.0770999999999999</v>
      </c>
      <c r="F69" s="1" t="s">
        <v>887</v>
      </c>
      <c r="G69" s="1">
        <v>2</v>
      </c>
      <c r="H69" s="1">
        <v>1000</v>
      </c>
      <c r="I69" s="7">
        <v>8.3320000000000005E-2</v>
      </c>
      <c r="J69" s="1">
        <v>4</v>
      </c>
      <c r="K69" s="1" t="s">
        <v>1606</v>
      </c>
    </row>
    <row r="70" spans="1:11" x14ac:dyDescent="0.2">
      <c r="A70" s="9">
        <v>45419</v>
      </c>
      <c r="B70" s="1" t="s">
        <v>19</v>
      </c>
      <c r="C70" s="1" t="s">
        <v>1551</v>
      </c>
      <c r="D70" s="4">
        <f>zinszahlungen[[#This Row],[Coupon]]/zinszahlungen[[#This Row],[Zinszahlungen pro Jahr]]*zinszahlungen[[#This Row],[Anteile]]*zinszahlungen[[#This Row],[Stückelung]]/zinszahlungen[[#This Row],[Wechselkurs]]</f>
        <v>81.349944217181118</v>
      </c>
      <c r="E70" s="1">
        <v>1.0755999999999999</v>
      </c>
      <c r="F70" s="1" t="s">
        <v>887</v>
      </c>
      <c r="G70" s="1">
        <v>2</v>
      </c>
      <c r="H70" s="1">
        <v>1000</v>
      </c>
      <c r="I70" s="7">
        <v>8.7499999999999994E-2</v>
      </c>
      <c r="J70" s="1">
        <v>2</v>
      </c>
      <c r="K70" s="1" t="s">
        <v>1552</v>
      </c>
    </row>
    <row r="71" spans="1:11" x14ac:dyDescent="0.2">
      <c r="A71" s="9">
        <v>45419</v>
      </c>
      <c r="B71" s="1" t="s">
        <v>19</v>
      </c>
      <c r="C71" s="1" t="s">
        <v>1592</v>
      </c>
      <c r="D71" s="4">
        <f>zinszahlungen[[#This Row],[Coupon]]/zinszahlungen[[#This Row],[Zinszahlungen pro Jahr]]*zinszahlungen[[#This Row],[Anteile]]*zinszahlungen[[#This Row],[Stückelung]]/zinszahlungen[[#This Row],[Wechselkurs]]</f>
        <v>77.863518036444788</v>
      </c>
      <c r="E71" s="1">
        <v>1.0755999999999999</v>
      </c>
      <c r="F71" s="1" t="s">
        <v>887</v>
      </c>
      <c r="G71" s="1">
        <v>2</v>
      </c>
      <c r="H71" s="1">
        <v>1000</v>
      </c>
      <c r="I71" s="7">
        <v>8.3750000000000005E-2</v>
      </c>
      <c r="J71" s="1">
        <v>2</v>
      </c>
      <c r="K71" s="1" t="s">
        <v>1594</v>
      </c>
    </row>
    <row r="72" spans="1:11" x14ac:dyDescent="0.2">
      <c r="A72" s="9">
        <v>45420</v>
      </c>
      <c r="B72" s="1" t="s">
        <v>19</v>
      </c>
      <c r="C72" s="1" t="s">
        <v>87</v>
      </c>
      <c r="D72" s="4">
        <f>zinszahlungen[[#This Row],[Coupon]]/zinszahlungen[[#This Row],[Zinszahlungen pro Jahr]]*zinszahlungen[[#This Row],[Anteile]]*zinszahlungen[[#This Row],[Stückelung]]/zinszahlungen[[#This Row],[Wechselkurs]]</f>
        <v>52.5</v>
      </c>
      <c r="E72" s="1">
        <v>1</v>
      </c>
      <c r="F72" s="1" t="s">
        <v>925</v>
      </c>
      <c r="G72" s="1">
        <v>2</v>
      </c>
      <c r="H72" s="1">
        <v>1000</v>
      </c>
      <c r="I72" s="7">
        <v>0.105</v>
      </c>
      <c r="J72" s="1">
        <v>4</v>
      </c>
      <c r="K72" s="1" t="s">
        <v>88</v>
      </c>
    </row>
    <row r="73" spans="1:11" x14ac:dyDescent="0.2">
      <c r="A73" s="9">
        <v>45421</v>
      </c>
      <c r="B73" s="1" t="s">
        <v>19</v>
      </c>
      <c r="C73" s="1" t="s">
        <v>1101</v>
      </c>
      <c r="D73" s="4">
        <f>zinszahlungen[[#This Row],[Coupon]]/zinszahlungen[[#This Row],[Zinszahlungen pro Jahr]]*zinszahlungen[[#This Row],[Anteile]]*zinszahlungen[[#This Row],[Stückelung]]/zinszahlungen[[#This Row],[Wechselkurs]]</f>
        <v>46.37788702346721</v>
      </c>
      <c r="E73" s="1">
        <v>1.0781000000000001</v>
      </c>
      <c r="F73" s="1" t="s">
        <v>887</v>
      </c>
      <c r="G73" s="1">
        <v>2</v>
      </c>
      <c r="H73" s="1">
        <v>1000</v>
      </c>
      <c r="I73" s="7">
        <v>0.1</v>
      </c>
      <c r="J73" s="1">
        <v>4</v>
      </c>
      <c r="K73" s="1" t="s">
        <v>1102</v>
      </c>
    </row>
    <row r="74" spans="1:11" x14ac:dyDescent="0.2">
      <c r="A74" s="9">
        <v>45421</v>
      </c>
      <c r="B74" s="1" t="s">
        <v>19</v>
      </c>
      <c r="C74" s="1" t="s">
        <v>1140</v>
      </c>
      <c r="D74" s="4">
        <f>zinszahlungen[[#This Row],[Coupon]]/zinszahlungen[[#This Row],[Zinszahlungen pro Jahr]]*zinszahlungen[[#This Row],[Anteile]]*zinszahlungen[[#This Row],[Stückelung]]/zinszahlungen[[#This Row],[Wechselkurs]]</f>
        <v>90.43687969576105</v>
      </c>
      <c r="E74" s="1">
        <v>1.0781000000000001</v>
      </c>
      <c r="F74" s="1" t="s">
        <v>887</v>
      </c>
      <c r="G74" s="1">
        <v>2</v>
      </c>
      <c r="H74" s="1">
        <v>1000</v>
      </c>
      <c r="I74" s="7">
        <v>9.7500000000000003E-2</v>
      </c>
      <c r="J74" s="1">
        <v>2</v>
      </c>
      <c r="K74" s="1" t="s">
        <v>1142</v>
      </c>
    </row>
    <row r="75" spans="1:11" x14ac:dyDescent="0.2">
      <c r="A75" s="9">
        <v>45422</v>
      </c>
      <c r="B75" s="1" t="s">
        <v>19</v>
      </c>
      <c r="C75" s="1" t="s">
        <v>1109</v>
      </c>
      <c r="D75" s="4">
        <f>zinszahlungen[[#This Row],[Coupon]]/zinszahlungen[[#This Row],[Zinszahlungen pro Jahr]]*zinszahlungen[[#This Row],[Anteile]]*zinszahlungen[[#This Row],[Stückelung]]/zinszahlungen[[#This Row],[Wechselkurs]]</f>
        <v>92.369105087263264</v>
      </c>
      <c r="E75" s="1">
        <v>1.0771999999999999</v>
      </c>
      <c r="F75" s="1" t="s">
        <v>887</v>
      </c>
      <c r="G75" s="1">
        <v>2</v>
      </c>
      <c r="H75" s="1">
        <v>1000</v>
      </c>
      <c r="I75" s="7">
        <v>9.9499999999999991E-2</v>
      </c>
      <c r="J75" s="1">
        <v>2</v>
      </c>
      <c r="K75" s="1" t="s">
        <v>1110</v>
      </c>
    </row>
    <row r="76" spans="1:11" x14ac:dyDescent="0.2">
      <c r="A76" s="9">
        <v>45423</v>
      </c>
      <c r="B76" s="1" t="s">
        <v>19</v>
      </c>
      <c r="C76" s="1" t="s">
        <v>94</v>
      </c>
      <c r="D76" s="4">
        <f>zinszahlungen[[#This Row],[Coupon]]/zinszahlungen[[#This Row],[Zinszahlungen pro Jahr]]*zinszahlungen[[#This Row],[Anteile]]*zinszahlungen[[#This Row],[Stückelung]]/zinszahlungen[[#This Row],[Wechselkurs]]</f>
        <v>55.74</v>
      </c>
      <c r="E76" s="1">
        <v>1</v>
      </c>
      <c r="F76" s="1" t="s">
        <v>925</v>
      </c>
      <c r="G76" s="1">
        <v>200000</v>
      </c>
      <c r="H76" s="1">
        <v>0.01</v>
      </c>
      <c r="I76" s="7">
        <v>0.11148</v>
      </c>
      <c r="J76" s="1">
        <v>4</v>
      </c>
      <c r="K76" s="1" t="s">
        <v>95</v>
      </c>
    </row>
    <row r="77" spans="1:11" x14ac:dyDescent="0.2">
      <c r="A77" s="9">
        <v>45424</v>
      </c>
      <c r="B77" s="1" t="s">
        <v>19</v>
      </c>
      <c r="C77" s="1" t="s">
        <v>378</v>
      </c>
      <c r="D77" s="4">
        <f>zinszahlungen[[#This Row],[Coupon]]/zinszahlungen[[#This Row],[Zinszahlungen pro Jahr]]*zinszahlungen[[#This Row],[Anteile]]*zinszahlungen[[#This Row],[Stückelung]]/zinszahlungen[[#This Row],[Wechselkurs]]</f>
        <v>85</v>
      </c>
      <c r="E77" s="1">
        <v>1</v>
      </c>
      <c r="F77" s="1" t="s">
        <v>925</v>
      </c>
      <c r="G77" s="1">
        <v>2</v>
      </c>
      <c r="H77" s="1">
        <v>1000</v>
      </c>
      <c r="I77" s="7">
        <v>8.5000000000000006E-2</v>
      </c>
      <c r="J77" s="1">
        <v>2</v>
      </c>
      <c r="K77" s="1" t="s">
        <v>379</v>
      </c>
    </row>
    <row r="78" spans="1:11" x14ac:dyDescent="0.2">
      <c r="A78" s="9">
        <v>45425</v>
      </c>
      <c r="B78" s="1" t="s">
        <v>19</v>
      </c>
      <c r="C78" s="1" t="s">
        <v>1596</v>
      </c>
      <c r="D78" s="4">
        <f>zinszahlungen[[#This Row],[Coupon]]/zinszahlungen[[#This Row],[Zinszahlungen pro Jahr]]*zinszahlungen[[#This Row],[Anteile]]*zinszahlungen[[#This Row],[Stückelung]]/zinszahlungen[[#This Row],[Wechselkurs]]</f>
        <v>77.625359162109561</v>
      </c>
      <c r="E78" s="1">
        <v>1.0789</v>
      </c>
      <c r="F78" s="1" t="s">
        <v>887</v>
      </c>
      <c r="G78" s="1">
        <v>2</v>
      </c>
      <c r="H78" s="1">
        <v>1000</v>
      </c>
      <c r="I78" s="7">
        <v>8.3750000000000005E-2</v>
      </c>
      <c r="J78" s="1">
        <v>2</v>
      </c>
      <c r="K78" s="1" t="s">
        <v>1597</v>
      </c>
    </row>
    <row r="79" spans="1:11" x14ac:dyDescent="0.2">
      <c r="A79" s="9">
        <v>45425</v>
      </c>
      <c r="B79" s="1" t="s">
        <v>19</v>
      </c>
      <c r="C79" s="1" t="s">
        <v>1118</v>
      </c>
      <c r="D79" s="4">
        <f>zinszahlungen[[#This Row],[Coupon]]/zinszahlungen[[#This Row],[Zinszahlungen pro Jahr]]*zinszahlungen[[#This Row],[Anteile]]*zinszahlungen[[#This Row],[Stückelung]]/zinszahlungen[[#This Row],[Wechselkurs]]</f>
        <v>90.443970710909241</v>
      </c>
      <c r="E79" s="1">
        <v>1.0789</v>
      </c>
      <c r="F79" s="1" t="s">
        <v>887</v>
      </c>
      <c r="G79" s="1">
        <v>2</v>
      </c>
      <c r="H79" s="1">
        <v>1000</v>
      </c>
      <c r="I79" s="7">
        <v>9.7579999999999986E-2</v>
      </c>
      <c r="J79" s="1">
        <v>2</v>
      </c>
      <c r="K79" s="1" t="s">
        <v>1119</v>
      </c>
    </row>
    <row r="80" spans="1:11" x14ac:dyDescent="0.2">
      <c r="A80" s="9">
        <v>45426</v>
      </c>
      <c r="B80" s="1" t="s">
        <v>19</v>
      </c>
      <c r="C80" s="1" t="s">
        <v>1095</v>
      </c>
      <c r="D80" s="4">
        <f>zinszahlungen[[#This Row],[Coupon]]/zinszahlungen[[#This Row],[Zinszahlungen pro Jahr]]*zinszahlungen[[#This Row],[Anteile]]*zinszahlungen[[#This Row],[Stückelung]]/zinszahlungen[[#This Row],[Wechselkurs]]</f>
        <v>92.447074050106309</v>
      </c>
      <c r="E80" s="1">
        <v>1.0817000000000001</v>
      </c>
      <c r="F80" s="1" t="s">
        <v>887</v>
      </c>
      <c r="G80" s="1">
        <v>2</v>
      </c>
      <c r="H80" s="1">
        <v>1000</v>
      </c>
      <c r="I80" s="7">
        <v>0.1</v>
      </c>
      <c r="J80" s="1">
        <v>2</v>
      </c>
      <c r="K80" s="1" t="s">
        <v>1097</v>
      </c>
    </row>
    <row r="81" spans="1:11" x14ac:dyDescent="0.2">
      <c r="A81" s="9">
        <v>45426</v>
      </c>
      <c r="B81" s="1" t="s">
        <v>19</v>
      </c>
      <c r="C81" s="1" t="s">
        <v>1570</v>
      </c>
      <c r="D81" s="4">
        <f>zinszahlungen[[#This Row],[Coupon]]/zinszahlungen[[#This Row],[Zinszahlungen pro Jahr]]*zinszahlungen[[#This Row],[Anteile]]*zinszahlungen[[#This Row],[Stückelung]]/zinszahlungen[[#This Row],[Wechselkurs]]</f>
        <v>77.655542202089293</v>
      </c>
      <c r="E81" s="1">
        <v>1.0817000000000001</v>
      </c>
      <c r="F81" s="1" t="s">
        <v>887</v>
      </c>
      <c r="G81" s="1">
        <v>2</v>
      </c>
      <c r="H81" s="1">
        <v>1000</v>
      </c>
      <c r="I81" s="7">
        <v>8.4000000000000005E-2</v>
      </c>
      <c r="J81" s="1">
        <v>2</v>
      </c>
      <c r="K81" s="1" t="s">
        <v>1571</v>
      </c>
    </row>
    <row r="82" spans="1:11" x14ac:dyDescent="0.2">
      <c r="A82" s="9">
        <v>45427</v>
      </c>
      <c r="B82" s="1" t="s">
        <v>19</v>
      </c>
      <c r="C82" s="1" t="s">
        <v>1014</v>
      </c>
      <c r="D82" s="4">
        <f>zinszahlungen[[#This Row],[Coupon]]/zinszahlungen[[#This Row],[Zinszahlungen pro Jahr]]*zinszahlungen[[#This Row],[Anteile]]*zinszahlungen[[#This Row],[Stückelung]]/zinszahlungen[[#This Row],[Wechselkurs]]</f>
        <v>108.62531200887491</v>
      </c>
      <c r="E82" s="1">
        <v>1.0817000000000001</v>
      </c>
      <c r="F82" s="1" t="s">
        <v>887</v>
      </c>
      <c r="G82" s="1">
        <v>2</v>
      </c>
      <c r="H82" s="1">
        <v>1000</v>
      </c>
      <c r="I82" s="7">
        <v>0.11749999999999999</v>
      </c>
      <c r="J82" s="1">
        <v>2</v>
      </c>
      <c r="K82" s="1" t="s">
        <v>1017</v>
      </c>
    </row>
    <row r="83" spans="1:11" x14ac:dyDescent="0.2">
      <c r="A83" s="9">
        <v>45427</v>
      </c>
      <c r="B83" s="1" t="s">
        <v>19</v>
      </c>
      <c r="C83" s="1" t="s">
        <v>1019</v>
      </c>
      <c r="D83" s="4">
        <f>zinszahlungen[[#This Row],[Coupon]]/zinszahlungen[[#This Row],[Zinszahlungen pro Jahr]]*zinszahlungen[[#This Row],[Anteile]]*zinszahlungen[[#This Row],[Stückelung]]/zinszahlungen[[#This Row],[Wechselkurs]]</f>
        <v>106.31413515762225</v>
      </c>
      <c r="E83" s="1">
        <v>1.0817000000000001</v>
      </c>
      <c r="F83" s="1" t="s">
        <v>887</v>
      </c>
      <c r="G83" s="1">
        <v>2</v>
      </c>
      <c r="H83" s="1">
        <v>1000</v>
      </c>
      <c r="I83" s="7">
        <v>0.115</v>
      </c>
      <c r="J83" s="1">
        <v>2</v>
      </c>
      <c r="K83" s="1" t="s">
        <v>1021</v>
      </c>
    </row>
    <row r="84" spans="1:11" x14ac:dyDescent="0.2">
      <c r="A84" s="9">
        <v>45427</v>
      </c>
      <c r="B84" s="1" t="s">
        <v>19</v>
      </c>
      <c r="C84" s="1" t="s">
        <v>1059</v>
      </c>
      <c r="D84" s="4">
        <f>zinszahlungen[[#This Row],[Coupon]]/zinszahlungen[[#This Row],[Zinszahlungen pro Jahr]]*zinszahlungen[[#This Row],[Anteile]]*zinszahlungen[[#This Row],[Stückelung]]/zinszahlungen[[#This Row],[Wechselkurs]]</f>
        <v>99.380604603864285</v>
      </c>
      <c r="E84" s="1">
        <v>1.0817000000000001</v>
      </c>
      <c r="F84" s="1" t="s">
        <v>887</v>
      </c>
      <c r="G84" s="1">
        <v>2</v>
      </c>
      <c r="H84" s="1">
        <v>1000</v>
      </c>
      <c r="I84" s="7">
        <v>0.1075</v>
      </c>
      <c r="J84" s="1">
        <v>2</v>
      </c>
      <c r="K84" s="1" t="s">
        <v>1060</v>
      </c>
    </row>
    <row r="85" spans="1:11" x14ac:dyDescent="0.2">
      <c r="A85" s="9">
        <v>45427</v>
      </c>
      <c r="B85" s="1" t="s">
        <v>19</v>
      </c>
      <c r="C85" s="1" t="s">
        <v>101</v>
      </c>
      <c r="D85" s="4">
        <f>zinszahlungen[[#This Row],[Coupon]]/zinszahlungen[[#This Row],[Zinszahlungen pro Jahr]]*zinszahlungen[[#This Row],[Anteile]]*zinszahlungen[[#This Row],[Stückelung]]/zinszahlungen[[#This Row],[Wechselkurs]]</f>
        <v>52.51</v>
      </c>
      <c r="E85" s="1">
        <v>1</v>
      </c>
      <c r="F85" s="1" t="s">
        <v>925</v>
      </c>
      <c r="G85" s="1">
        <v>2</v>
      </c>
      <c r="H85" s="1">
        <v>1000</v>
      </c>
      <c r="I85" s="7">
        <v>0.10502</v>
      </c>
      <c r="J85" s="1">
        <v>4</v>
      </c>
      <c r="K85" s="1" t="s">
        <v>103</v>
      </c>
    </row>
    <row r="86" spans="1:11" x14ac:dyDescent="0.2">
      <c r="A86" s="9">
        <v>45427</v>
      </c>
      <c r="B86" s="1" t="s">
        <v>19</v>
      </c>
      <c r="C86" s="1" t="s">
        <v>1073</v>
      </c>
      <c r="D86" s="4">
        <f>zinszahlungen[[#This Row],[Coupon]]/zinszahlungen[[#This Row],[Zinszahlungen pro Jahr]]*zinszahlungen[[#This Row],[Anteile]]*zinszahlungen[[#This Row],[Stückelung]]/zinszahlungen[[#This Row],[Wechselkurs]]</f>
        <v>94.758250901358963</v>
      </c>
      <c r="E86" s="1">
        <v>1.0817000000000001</v>
      </c>
      <c r="F86" s="1" t="s">
        <v>887</v>
      </c>
      <c r="G86" s="1">
        <v>2</v>
      </c>
      <c r="H86" s="1">
        <v>1000</v>
      </c>
      <c r="I86" s="7">
        <v>0.10249999999999999</v>
      </c>
      <c r="J86" s="1">
        <v>2</v>
      </c>
      <c r="K86" s="1" t="s">
        <v>1074</v>
      </c>
    </row>
    <row r="87" spans="1:11" x14ac:dyDescent="0.2">
      <c r="A87" s="9">
        <v>45427</v>
      </c>
      <c r="B87" s="1" t="s">
        <v>19</v>
      </c>
      <c r="C87" s="1" t="s">
        <v>239</v>
      </c>
      <c r="D87" s="4">
        <f>zinszahlungen[[#This Row],[Coupon]]/zinszahlungen[[#This Row],[Zinszahlungen pro Jahr]]*zinszahlungen[[#This Row],[Anteile]]*zinszahlungen[[#This Row],[Stückelung]]/zinszahlungen[[#This Row],[Wechselkurs]]</f>
        <v>100</v>
      </c>
      <c r="E87" s="1">
        <v>1</v>
      </c>
      <c r="F87" s="1" t="s">
        <v>925</v>
      </c>
      <c r="G87" s="1">
        <v>2000</v>
      </c>
      <c r="H87" s="1">
        <v>1</v>
      </c>
      <c r="I87" s="7">
        <v>0.1</v>
      </c>
      <c r="J87" s="1">
        <v>2</v>
      </c>
      <c r="K87" s="1" t="s">
        <v>240</v>
      </c>
    </row>
    <row r="88" spans="1:11" x14ac:dyDescent="0.2">
      <c r="A88" s="9">
        <v>45427</v>
      </c>
      <c r="B88" s="1" t="s">
        <v>19</v>
      </c>
      <c r="C88" s="1" t="s">
        <v>90</v>
      </c>
      <c r="D88" s="4">
        <f>zinszahlungen[[#This Row],[Coupon]]/zinszahlungen[[#This Row],[Zinszahlungen pro Jahr]]*zinszahlungen[[#This Row],[Anteile]]*zinszahlungen[[#This Row],[Stückelung]]/zinszahlungen[[#This Row],[Wechselkurs]]</f>
        <v>48.255000000000003</v>
      </c>
      <c r="E88" s="1">
        <v>1</v>
      </c>
      <c r="F88" s="1" t="s">
        <v>925</v>
      </c>
      <c r="G88" s="1">
        <v>2</v>
      </c>
      <c r="H88" s="1">
        <v>1000</v>
      </c>
      <c r="I88" s="7">
        <v>9.6509999999999999E-2</v>
      </c>
      <c r="J88" s="1">
        <v>4</v>
      </c>
      <c r="K88" s="1" t="s">
        <v>92</v>
      </c>
    </row>
    <row r="89" spans="1:11" x14ac:dyDescent="0.2">
      <c r="A89" s="9">
        <v>45427</v>
      </c>
      <c r="B89" s="1" t="s">
        <v>19</v>
      </c>
      <c r="C89" s="1" t="s">
        <v>287</v>
      </c>
      <c r="D89" s="4">
        <f>zinszahlungen[[#This Row],[Coupon]]/zinszahlungen[[#This Row],[Zinszahlungen pro Jahr]]*zinszahlungen[[#This Row],[Anteile]]*zinszahlungen[[#This Row],[Stückelung]]/zinszahlungen[[#This Row],[Wechselkurs]]</f>
        <v>47.004999999999995</v>
      </c>
      <c r="E89" s="1">
        <v>1</v>
      </c>
      <c r="F89" s="1" t="s">
        <v>925</v>
      </c>
      <c r="G89" s="1">
        <v>2</v>
      </c>
      <c r="H89" s="1">
        <v>1000</v>
      </c>
      <c r="I89" s="7">
        <v>9.4009999999999996E-2</v>
      </c>
      <c r="J89" s="1">
        <v>4</v>
      </c>
      <c r="K89" s="1" t="s">
        <v>288</v>
      </c>
    </row>
    <row r="90" spans="1:11" x14ac:dyDescent="0.2">
      <c r="A90" s="9">
        <v>45427</v>
      </c>
      <c r="B90" s="1" t="s">
        <v>19</v>
      </c>
      <c r="C90" s="1" t="s">
        <v>1210</v>
      </c>
      <c r="D90" s="4">
        <f>zinszahlungen[[#This Row],[Coupon]]/zinszahlungen[[#This Row],[Zinszahlungen pro Jahr]]*zinszahlungen[[#This Row],[Anteile]]*zinszahlungen[[#This Row],[Stückelung]]/zinszahlungen[[#This Row],[Wechselkurs]]</f>
        <v>86.900249607099923</v>
      </c>
      <c r="E90" s="1">
        <v>1.0817000000000001</v>
      </c>
      <c r="F90" s="1" t="s">
        <v>887</v>
      </c>
      <c r="G90" s="1">
        <v>2</v>
      </c>
      <c r="H90" s="1">
        <v>1000</v>
      </c>
      <c r="I90" s="7">
        <v>9.4E-2</v>
      </c>
      <c r="J90" s="1">
        <v>2</v>
      </c>
      <c r="K90" s="1" t="s">
        <v>1211</v>
      </c>
    </row>
    <row r="91" spans="1:11" x14ac:dyDescent="0.2">
      <c r="A91" s="9">
        <v>45427</v>
      </c>
      <c r="B91" s="1" t="s">
        <v>19</v>
      </c>
      <c r="C91" s="1" t="s">
        <v>290</v>
      </c>
      <c r="D91" s="4">
        <f>zinszahlungen[[#This Row],[Coupon]]/zinszahlungen[[#This Row],[Zinszahlungen pro Jahr]]*zinszahlungen[[#This Row],[Anteile]]*zinszahlungen[[#This Row],[Stückelung]]/zinszahlungen[[#This Row],[Wechselkurs]]</f>
        <v>93.75</v>
      </c>
      <c r="E91" s="1">
        <v>1</v>
      </c>
      <c r="F91" s="1" t="s">
        <v>925</v>
      </c>
      <c r="G91" s="1">
        <v>2</v>
      </c>
      <c r="H91" s="1">
        <v>1000</v>
      </c>
      <c r="I91" s="7">
        <v>9.375E-2</v>
      </c>
      <c r="J91" s="1">
        <v>2</v>
      </c>
      <c r="K91" s="1" t="s">
        <v>291</v>
      </c>
    </row>
    <row r="92" spans="1:11" x14ac:dyDescent="0.2">
      <c r="A92" s="9">
        <v>45427</v>
      </c>
      <c r="B92" s="1" t="s">
        <v>19</v>
      </c>
      <c r="C92" s="1" t="s">
        <v>323</v>
      </c>
      <c r="D92" s="4">
        <f>zinszahlungen[[#This Row],[Coupon]]/zinszahlungen[[#This Row],[Zinszahlungen pro Jahr]]*zinszahlungen[[#This Row],[Anteile]]*zinszahlungen[[#This Row],[Stückelung]]/zinszahlungen[[#This Row],[Wechselkurs]]</f>
        <v>90</v>
      </c>
      <c r="E92" s="1">
        <v>1</v>
      </c>
      <c r="F92" s="1" t="s">
        <v>925</v>
      </c>
      <c r="G92" s="1">
        <v>2</v>
      </c>
      <c r="H92" s="1">
        <v>1000</v>
      </c>
      <c r="I92" s="7">
        <v>0.09</v>
      </c>
      <c r="J92" s="1">
        <v>2</v>
      </c>
      <c r="K92" s="1" t="s">
        <v>324</v>
      </c>
    </row>
    <row r="93" spans="1:11" x14ac:dyDescent="0.2">
      <c r="A93" s="9">
        <v>45427</v>
      </c>
      <c r="B93" s="1" t="s">
        <v>19</v>
      </c>
      <c r="C93" s="1" t="s">
        <v>333</v>
      </c>
      <c r="D93" s="4">
        <f>zinszahlungen[[#This Row],[Coupon]]/zinszahlungen[[#This Row],[Zinszahlungen pro Jahr]]*zinszahlungen[[#This Row],[Anteile]]*zinszahlungen[[#This Row],[Stückelung]]/zinszahlungen[[#This Row],[Wechselkurs]]</f>
        <v>44.504999999999995</v>
      </c>
      <c r="E93" s="1">
        <v>1</v>
      </c>
      <c r="F93" s="1" t="s">
        <v>925</v>
      </c>
      <c r="G93" s="1">
        <v>2</v>
      </c>
      <c r="H93" s="1">
        <v>1000</v>
      </c>
      <c r="I93" s="7">
        <v>8.9009999999999992E-2</v>
      </c>
      <c r="J93" s="1">
        <v>4</v>
      </c>
      <c r="K93" s="1" t="s">
        <v>334</v>
      </c>
    </row>
    <row r="94" spans="1:11" x14ac:dyDescent="0.2">
      <c r="A94" s="9">
        <v>45427</v>
      </c>
      <c r="B94" s="1" t="s">
        <v>19</v>
      </c>
      <c r="C94" s="1" t="s">
        <v>1348</v>
      </c>
      <c r="D94" s="4">
        <f>zinszahlungen[[#This Row],[Coupon]]/zinszahlungen[[#This Row],[Zinszahlungen pro Jahr]]*zinszahlungen[[#This Row],[Anteile]]*zinszahlungen[[#This Row],[Stückelung]]/zinszahlungen[[#This Row],[Wechselkurs]]</f>
        <v>82.046778219469346</v>
      </c>
      <c r="E94" s="1">
        <v>1.0817000000000001</v>
      </c>
      <c r="F94" s="1" t="s">
        <v>887</v>
      </c>
      <c r="G94" s="1">
        <v>2</v>
      </c>
      <c r="H94" s="1">
        <v>1000</v>
      </c>
      <c r="I94" s="7">
        <v>8.8749999999999996E-2</v>
      </c>
      <c r="J94" s="1">
        <v>2</v>
      </c>
      <c r="K94" s="1" t="s">
        <v>1349</v>
      </c>
    </row>
    <row r="95" spans="1:11" x14ac:dyDescent="0.2">
      <c r="A95" s="9">
        <v>45427</v>
      </c>
      <c r="B95" s="1" t="s">
        <v>19</v>
      </c>
      <c r="C95" s="1" t="s">
        <v>344</v>
      </c>
      <c r="D95" s="4">
        <f>zinszahlungen[[#This Row],[Coupon]]/zinszahlungen[[#This Row],[Zinszahlungen pro Jahr]]*zinszahlungen[[#This Row],[Anteile]]*zinszahlungen[[#This Row],[Stückelung]]/zinszahlungen[[#This Row],[Wechselkurs]]</f>
        <v>43.88</v>
      </c>
      <c r="E95" s="1">
        <v>1</v>
      </c>
      <c r="F95" s="1" t="s">
        <v>925</v>
      </c>
      <c r="G95" s="1">
        <v>2</v>
      </c>
      <c r="H95" s="1">
        <v>1000</v>
      </c>
      <c r="I95" s="7">
        <v>8.7760000000000005E-2</v>
      </c>
      <c r="J95" s="1">
        <v>4</v>
      </c>
      <c r="K95" s="1" t="s">
        <v>345</v>
      </c>
    </row>
    <row r="96" spans="1:11" x14ac:dyDescent="0.2">
      <c r="A96" s="9">
        <v>45427</v>
      </c>
      <c r="B96" s="1" t="s">
        <v>19</v>
      </c>
      <c r="C96" s="1" t="s">
        <v>347</v>
      </c>
      <c r="D96" s="4">
        <f>zinszahlungen[[#This Row],[Coupon]]/zinszahlungen[[#This Row],[Zinszahlungen pro Jahr]]*zinszahlungen[[#This Row],[Anteile]]*zinszahlungen[[#This Row],[Stückelung]]/zinszahlungen[[#This Row],[Wechselkurs]]</f>
        <v>87.5</v>
      </c>
      <c r="E96" s="1">
        <v>1</v>
      </c>
      <c r="F96" s="1" t="s">
        <v>925</v>
      </c>
      <c r="G96" s="1">
        <v>2000</v>
      </c>
      <c r="H96" s="1">
        <v>1</v>
      </c>
      <c r="I96" s="7">
        <v>8.7499999999999994E-2</v>
      </c>
      <c r="J96" s="1">
        <v>2</v>
      </c>
      <c r="K96" s="1" t="s">
        <v>348</v>
      </c>
    </row>
    <row r="97" spans="1:11" x14ac:dyDescent="0.2">
      <c r="A97" s="9">
        <v>45427</v>
      </c>
      <c r="B97" s="1" t="s">
        <v>19</v>
      </c>
      <c r="C97" s="1" t="s">
        <v>1385</v>
      </c>
      <c r="D97" s="4">
        <f>zinszahlungen[[#This Row],[Coupon]]/zinszahlungen[[#This Row],[Zinszahlungen pro Jahr]]*zinszahlungen[[#This Row],[Anteile]]*zinszahlungen[[#This Row],[Stückelung]]/zinszahlungen[[#This Row],[Wechselkurs]]</f>
        <v>80.891189793843012</v>
      </c>
      <c r="E97" s="1">
        <v>1.0817000000000001</v>
      </c>
      <c r="F97" s="1" t="s">
        <v>887</v>
      </c>
      <c r="G97" s="1">
        <v>2</v>
      </c>
      <c r="H97" s="1">
        <v>1000</v>
      </c>
      <c r="I97" s="7">
        <v>8.7499999999999994E-2</v>
      </c>
      <c r="J97" s="1">
        <v>2</v>
      </c>
      <c r="K97" s="1" t="s">
        <v>1386</v>
      </c>
    </row>
    <row r="98" spans="1:11" x14ac:dyDescent="0.2">
      <c r="A98" s="9">
        <v>45427</v>
      </c>
      <c r="B98" s="1" t="s">
        <v>19</v>
      </c>
      <c r="C98" s="1" t="s">
        <v>362</v>
      </c>
      <c r="D98" s="4">
        <f>zinszahlungen[[#This Row],[Coupon]]/zinszahlungen[[#This Row],[Zinszahlungen pro Jahr]]*zinszahlungen[[#This Row],[Anteile]]*zinszahlungen[[#This Row],[Stückelung]]/zinszahlungen[[#This Row],[Wechselkurs]]</f>
        <v>43.255000000000003</v>
      </c>
      <c r="E98" s="1">
        <v>1</v>
      </c>
      <c r="F98" s="1" t="s">
        <v>925</v>
      </c>
      <c r="G98" s="1">
        <v>2</v>
      </c>
      <c r="H98" s="1">
        <v>1000</v>
      </c>
      <c r="I98" s="7">
        <v>8.6510000000000004E-2</v>
      </c>
      <c r="J98" s="1">
        <v>4</v>
      </c>
      <c r="K98" s="1" t="s">
        <v>363</v>
      </c>
    </row>
    <row r="99" spans="1:11" x14ac:dyDescent="0.2">
      <c r="A99" s="9">
        <v>45427</v>
      </c>
      <c r="B99" s="1" t="s">
        <v>19</v>
      </c>
      <c r="C99" s="1" t="s">
        <v>375</v>
      </c>
      <c r="D99" s="4">
        <f>zinszahlungen[[#This Row],[Coupon]]/zinszahlungen[[#This Row],[Zinszahlungen pro Jahr]]*zinszahlungen[[#This Row],[Anteile]]*zinszahlungen[[#This Row],[Stückelung]]/zinszahlungen[[#This Row],[Wechselkurs]]</f>
        <v>42.63</v>
      </c>
      <c r="E99" s="1">
        <v>1</v>
      </c>
      <c r="F99" s="1" t="s">
        <v>925</v>
      </c>
      <c r="G99" s="1">
        <v>2</v>
      </c>
      <c r="H99" s="1">
        <v>1000</v>
      </c>
      <c r="I99" s="7">
        <v>8.5260000000000002E-2</v>
      </c>
      <c r="J99" s="1">
        <v>4</v>
      </c>
      <c r="K99" s="1" t="s">
        <v>376</v>
      </c>
    </row>
    <row r="100" spans="1:11" x14ac:dyDescent="0.2">
      <c r="A100" s="9">
        <v>45427</v>
      </c>
      <c r="B100" s="1" t="s">
        <v>19</v>
      </c>
      <c r="C100" s="1" t="s">
        <v>387</v>
      </c>
      <c r="D100" s="4">
        <f>zinszahlungen[[#This Row],[Coupon]]/zinszahlungen[[#This Row],[Zinszahlungen pro Jahr]]*zinszahlungen[[#This Row],[Anteile]]*zinszahlungen[[#This Row],[Stückelung]]/zinszahlungen[[#This Row],[Wechselkurs]]</f>
        <v>85</v>
      </c>
      <c r="E100" s="1">
        <v>1</v>
      </c>
      <c r="F100" s="1" t="s">
        <v>925</v>
      </c>
      <c r="G100" s="1">
        <v>2</v>
      </c>
      <c r="H100" s="1">
        <v>1000</v>
      </c>
      <c r="I100" s="7">
        <v>8.5000000000000006E-2</v>
      </c>
      <c r="J100" s="1">
        <v>2</v>
      </c>
      <c r="K100" s="1" t="s">
        <v>388</v>
      </c>
    </row>
    <row r="101" spans="1:11" x14ac:dyDescent="0.2">
      <c r="A101" s="9">
        <v>45427</v>
      </c>
      <c r="B101" s="1" t="s">
        <v>19</v>
      </c>
      <c r="C101" s="1" t="s">
        <v>1460</v>
      </c>
      <c r="D101" s="4">
        <f>zinszahlungen[[#This Row],[Coupon]]/zinszahlungen[[#This Row],[Zinszahlungen pro Jahr]]*zinszahlungen[[#This Row],[Anteile]]*zinszahlungen[[#This Row],[Stückelung]]/zinszahlungen[[#This Row],[Wechselkurs]]</f>
        <v>78.580012942590358</v>
      </c>
      <c r="E101" s="1">
        <v>1.0817000000000001</v>
      </c>
      <c r="F101" s="1" t="s">
        <v>887</v>
      </c>
      <c r="G101" s="1">
        <v>2</v>
      </c>
      <c r="H101" s="1">
        <v>1000</v>
      </c>
      <c r="I101" s="7">
        <v>8.5000000000000006E-2</v>
      </c>
      <c r="J101" s="1">
        <v>2</v>
      </c>
      <c r="K101" s="1" t="s">
        <v>1461</v>
      </c>
    </row>
    <row r="102" spans="1:11" x14ac:dyDescent="0.2">
      <c r="A102" s="9">
        <v>45427</v>
      </c>
      <c r="B102" s="1" t="s">
        <v>19</v>
      </c>
      <c r="C102" s="1" t="s">
        <v>1438</v>
      </c>
      <c r="D102" s="4">
        <f>zinszahlungen[[#This Row],[Coupon]]/zinszahlungen[[#This Row],[Zinszahlungen pro Jahr]]*zinszahlungen[[#This Row],[Anteile]]*zinszahlungen[[#This Row],[Stückelung]]/zinszahlungen[[#This Row],[Wechselkurs]]</f>
        <v>78.580012942590358</v>
      </c>
      <c r="E102" s="1">
        <v>1.0817000000000001</v>
      </c>
      <c r="F102" s="1" t="s">
        <v>887</v>
      </c>
      <c r="G102" s="1">
        <v>2</v>
      </c>
      <c r="H102" s="1">
        <v>1000</v>
      </c>
      <c r="I102" s="7">
        <v>8.5000000000000006E-2</v>
      </c>
      <c r="J102" s="1">
        <v>2</v>
      </c>
      <c r="K102" s="1" t="s">
        <v>1439</v>
      </c>
    </row>
    <row r="103" spans="1:11" x14ac:dyDescent="0.2">
      <c r="A103" s="9">
        <v>45427</v>
      </c>
      <c r="B103" s="1" t="s">
        <v>19</v>
      </c>
      <c r="C103" s="1" t="s">
        <v>1647</v>
      </c>
      <c r="D103" s="4">
        <f>zinszahlungen[[#This Row],[Coupon]]/zinszahlungen[[#This Row],[Zinszahlungen pro Jahr]]*zinszahlungen[[#This Row],[Anteile]]*zinszahlungen[[#This Row],[Stückelung]]/zinszahlungen[[#This Row],[Wechselkurs]]</f>
        <v>76.268836091337704</v>
      </c>
      <c r="E103" s="1">
        <v>1.0817000000000001</v>
      </c>
      <c r="F103" s="1" t="s">
        <v>887</v>
      </c>
      <c r="G103" s="1">
        <v>2</v>
      </c>
      <c r="H103" s="1">
        <v>1000</v>
      </c>
      <c r="I103" s="7">
        <v>8.2500000000000004E-2</v>
      </c>
      <c r="J103" s="1">
        <v>2</v>
      </c>
      <c r="K103" s="1" t="s">
        <v>1648</v>
      </c>
    </row>
    <row r="104" spans="1:11" x14ac:dyDescent="0.2">
      <c r="A104" s="9">
        <v>45427</v>
      </c>
      <c r="B104" s="1" t="s">
        <v>19</v>
      </c>
      <c r="C104" s="1" t="s">
        <v>423</v>
      </c>
      <c r="D104" s="4">
        <f>zinszahlungen[[#This Row],[Coupon]]/zinszahlungen[[#This Row],[Zinszahlungen pro Jahr]]*zinszahlungen[[#This Row],[Anteile]]*zinszahlungen[[#This Row],[Stückelung]]/zinszahlungen[[#This Row],[Wechselkurs]]</f>
        <v>40.67</v>
      </c>
      <c r="E104" s="1">
        <v>1</v>
      </c>
      <c r="F104" s="1" t="s">
        <v>925</v>
      </c>
      <c r="G104" s="1">
        <v>2</v>
      </c>
      <c r="H104" s="1">
        <v>1000</v>
      </c>
      <c r="I104" s="7">
        <v>8.134000000000001E-2</v>
      </c>
      <c r="J104" s="1">
        <v>4</v>
      </c>
      <c r="K104" s="1" t="s">
        <v>424</v>
      </c>
    </row>
    <row r="105" spans="1:11" x14ac:dyDescent="0.2">
      <c r="A105" s="9">
        <v>45427</v>
      </c>
      <c r="B105" s="1" t="s">
        <v>19</v>
      </c>
      <c r="C105" s="1" t="s">
        <v>462</v>
      </c>
      <c r="D105" s="4">
        <f>zinszahlungen[[#This Row],[Coupon]]/zinszahlungen[[#This Row],[Zinszahlungen pro Jahr]]*zinszahlungen[[#This Row],[Anteile]]*zinszahlungen[[#This Row],[Stückelung]]/zinszahlungen[[#This Row],[Wechselkurs]]</f>
        <v>80</v>
      </c>
      <c r="E105" s="1">
        <v>1</v>
      </c>
      <c r="F105" s="1" t="s">
        <v>925</v>
      </c>
      <c r="G105" s="1">
        <v>2</v>
      </c>
      <c r="H105" s="1">
        <v>1000</v>
      </c>
      <c r="I105" s="7">
        <v>0.08</v>
      </c>
      <c r="J105" s="1">
        <v>2</v>
      </c>
      <c r="K105" s="1" t="s">
        <v>463</v>
      </c>
    </row>
    <row r="106" spans="1:11" x14ac:dyDescent="0.2">
      <c r="A106" s="9">
        <v>45427</v>
      </c>
      <c r="B106" s="1" t="s">
        <v>19</v>
      </c>
      <c r="C106" s="1" t="s">
        <v>1735</v>
      </c>
      <c r="D106" s="4">
        <f>zinszahlungen[[#This Row],[Coupon]]/zinszahlungen[[#This Row],[Zinszahlungen pro Jahr]]*zinszahlungen[[#This Row],[Anteile]]*zinszahlungen[[#This Row],[Stückelung]]/zinszahlungen[[#This Row],[Wechselkurs]]</f>
        <v>73.95765924008505</v>
      </c>
      <c r="E106" s="1">
        <v>1.0817000000000001</v>
      </c>
      <c r="F106" s="1" t="s">
        <v>887</v>
      </c>
      <c r="G106" s="1">
        <v>2</v>
      </c>
      <c r="H106" s="1">
        <v>1000</v>
      </c>
      <c r="I106" s="7">
        <v>0.08</v>
      </c>
      <c r="J106" s="1">
        <v>2</v>
      </c>
      <c r="K106" s="1" t="s">
        <v>1736</v>
      </c>
    </row>
    <row r="107" spans="1:11" x14ac:dyDescent="0.2">
      <c r="A107" s="9">
        <v>45427</v>
      </c>
      <c r="B107" s="1" t="s">
        <v>19</v>
      </c>
      <c r="C107" s="1" t="s">
        <v>1705</v>
      </c>
      <c r="D107" s="4">
        <f>zinszahlungen[[#This Row],[Coupon]]/zinszahlungen[[#This Row],[Zinszahlungen pro Jahr]]*zinszahlungen[[#This Row],[Anteile]]*zinszahlungen[[#This Row],[Stückelung]]/zinszahlungen[[#This Row],[Wechselkurs]]</f>
        <v>73.95765924008505</v>
      </c>
      <c r="E107" s="1">
        <v>1.0817000000000001</v>
      </c>
      <c r="F107" s="1" t="s">
        <v>887</v>
      </c>
      <c r="G107" s="1">
        <v>2</v>
      </c>
      <c r="H107" s="1">
        <v>1000</v>
      </c>
      <c r="I107" s="7">
        <v>0.08</v>
      </c>
      <c r="J107" s="1">
        <v>2</v>
      </c>
      <c r="K107" s="1" t="s">
        <v>1706</v>
      </c>
    </row>
    <row r="108" spans="1:11" x14ac:dyDescent="0.2">
      <c r="A108" s="9">
        <v>45427</v>
      </c>
      <c r="B108" s="1" t="s">
        <v>19</v>
      </c>
      <c r="C108" s="1" t="s">
        <v>529</v>
      </c>
      <c r="D108" s="4">
        <f>zinszahlungen[[#This Row],[Coupon]]/zinszahlungen[[#This Row],[Zinszahlungen pro Jahr]]*zinszahlungen[[#This Row],[Anteile]]*zinszahlungen[[#This Row],[Stückelung]]/zinszahlungen[[#This Row],[Wechselkurs]]</f>
        <v>38.254999999999995</v>
      </c>
      <c r="E108" s="1">
        <v>1</v>
      </c>
      <c r="F108" s="1" t="s">
        <v>925</v>
      </c>
      <c r="G108" s="1">
        <v>2</v>
      </c>
      <c r="H108" s="1">
        <v>1000</v>
      </c>
      <c r="I108" s="7">
        <v>7.6509999999999995E-2</v>
      </c>
      <c r="J108" s="1">
        <v>4</v>
      </c>
      <c r="K108" s="1" t="s">
        <v>530</v>
      </c>
    </row>
    <row r="109" spans="1:11" x14ac:dyDescent="0.2">
      <c r="A109" s="9">
        <v>45427</v>
      </c>
      <c r="B109" s="1" t="s">
        <v>19</v>
      </c>
      <c r="C109" s="1" t="s">
        <v>685</v>
      </c>
      <c r="D109" s="4">
        <f>zinszahlungen[[#This Row],[Coupon]]/zinszahlungen[[#This Row],[Zinszahlungen pro Jahr]]*zinszahlungen[[#This Row],[Anteile]]*zinszahlungen[[#This Row],[Stückelung]]/zinszahlungen[[#This Row],[Wechselkurs]]</f>
        <v>68.75</v>
      </c>
      <c r="E109" s="1">
        <v>1</v>
      </c>
      <c r="F109" s="1" t="s">
        <v>925</v>
      </c>
      <c r="G109" s="1">
        <v>2</v>
      </c>
      <c r="H109" s="1">
        <v>1000</v>
      </c>
      <c r="I109" s="7">
        <v>6.8750000000000006E-2</v>
      </c>
      <c r="J109" s="1">
        <v>2</v>
      </c>
      <c r="K109" s="1" t="s">
        <v>686</v>
      </c>
    </row>
    <row r="110" spans="1:11" x14ac:dyDescent="0.2">
      <c r="A110" s="9">
        <v>45427</v>
      </c>
      <c r="B110" s="1" t="s">
        <v>19</v>
      </c>
      <c r="C110" s="1" t="s">
        <v>717</v>
      </c>
      <c r="D110" s="4">
        <f>zinszahlungen[[#This Row],[Coupon]]/zinszahlungen[[#This Row],[Zinszahlungen pro Jahr]]*zinszahlungen[[#This Row],[Anteile]]*zinszahlungen[[#This Row],[Stückelung]]/zinszahlungen[[#This Row],[Wechselkurs]]</f>
        <v>67.5</v>
      </c>
      <c r="E110" s="1">
        <v>1</v>
      </c>
      <c r="F110" s="1" t="s">
        <v>925</v>
      </c>
      <c r="G110" s="1">
        <v>2</v>
      </c>
      <c r="H110" s="1">
        <v>1000</v>
      </c>
      <c r="I110" s="7">
        <v>6.7500000000000004E-2</v>
      </c>
      <c r="J110" s="1">
        <v>2</v>
      </c>
      <c r="K110" s="1" t="s">
        <v>718</v>
      </c>
    </row>
    <row r="111" spans="1:11" x14ac:dyDescent="0.2">
      <c r="A111" s="9">
        <v>45427</v>
      </c>
      <c r="B111" s="1" t="s">
        <v>19</v>
      </c>
      <c r="C111" s="1" t="s">
        <v>731</v>
      </c>
      <c r="D111" s="4">
        <f>zinszahlungen[[#This Row],[Coupon]]/zinszahlungen[[#This Row],[Zinszahlungen pro Jahr]]*zinszahlungen[[#This Row],[Anteile]]*zinszahlungen[[#This Row],[Stückelung]]/zinszahlungen[[#This Row],[Wechselkurs]]</f>
        <v>66.25</v>
      </c>
      <c r="E111" s="1">
        <v>1</v>
      </c>
      <c r="F111" s="1" t="s">
        <v>925</v>
      </c>
      <c r="G111" s="1">
        <v>2</v>
      </c>
      <c r="H111" s="1">
        <v>1000</v>
      </c>
      <c r="I111" s="7">
        <v>6.6250000000000003E-2</v>
      </c>
      <c r="J111" s="1">
        <v>2</v>
      </c>
      <c r="K111" s="1" t="s">
        <v>732</v>
      </c>
    </row>
    <row r="112" spans="1:11" x14ac:dyDescent="0.2">
      <c r="A112" s="9">
        <v>45427</v>
      </c>
      <c r="B112" s="1" t="s">
        <v>19</v>
      </c>
      <c r="C112" s="1" t="s">
        <v>760</v>
      </c>
      <c r="D112" s="4">
        <f>zinszahlungen[[#This Row],[Coupon]]/zinszahlungen[[#This Row],[Zinszahlungen pro Jahr]]*zinszahlungen[[#This Row],[Anteile]]*zinszahlungen[[#This Row],[Stückelung]]/zinszahlungen[[#This Row],[Wechselkurs]]</f>
        <v>65</v>
      </c>
      <c r="E112" s="1">
        <v>1</v>
      </c>
      <c r="F112" s="1" t="s">
        <v>925</v>
      </c>
      <c r="G112" s="1">
        <v>2</v>
      </c>
      <c r="H112" s="1">
        <v>1000</v>
      </c>
      <c r="I112" s="7">
        <v>6.5000000000000002E-2</v>
      </c>
      <c r="J112" s="1">
        <v>2</v>
      </c>
      <c r="K112" s="1" t="s">
        <v>761</v>
      </c>
    </row>
    <row r="113" spans="1:11" x14ac:dyDescent="0.2">
      <c r="A113" s="9">
        <v>45427</v>
      </c>
      <c r="B113" s="1" t="s">
        <v>19</v>
      </c>
      <c r="C113" s="1" t="s">
        <v>808</v>
      </c>
      <c r="D113" s="4">
        <f>zinszahlungen[[#This Row],[Coupon]]/zinszahlungen[[#This Row],[Zinszahlungen pro Jahr]]*zinszahlungen[[#This Row],[Anteile]]*zinszahlungen[[#This Row],[Stückelung]]/zinszahlungen[[#This Row],[Wechselkurs]]</f>
        <v>62.5</v>
      </c>
      <c r="E113" s="1">
        <v>1</v>
      </c>
      <c r="F113" s="1" t="s">
        <v>925</v>
      </c>
      <c r="G113" s="1">
        <v>2</v>
      </c>
      <c r="H113" s="1">
        <v>1000</v>
      </c>
      <c r="I113" s="7">
        <v>6.25E-2</v>
      </c>
      <c r="J113" s="1">
        <v>2</v>
      </c>
      <c r="K113" s="1" t="s">
        <v>809</v>
      </c>
    </row>
    <row r="114" spans="1:11" x14ac:dyDescent="0.2">
      <c r="A114" s="9">
        <v>45427</v>
      </c>
      <c r="B114" s="1" t="s">
        <v>19</v>
      </c>
      <c r="C114" s="1" t="s">
        <v>826</v>
      </c>
      <c r="D114" s="4">
        <f>zinszahlungen[[#This Row],[Coupon]]/zinszahlungen[[#This Row],[Zinszahlungen pro Jahr]]*zinszahlungen[[#This Row],[Anteile]]*zinszahlungen[[#This Row],[Stückelung]]/zinszahlungen[[#This Row],[Wechselkurs]]</f>
        <v>122.5</v>
      </c>
      <c r="E114" s="1">
        <v>1</v>
      </c>
      <c r="F114" s="1" t="s">
        <v>925</v>
      </c>
      <c r="G114" s="1">
        <v>2</v>
      </c>
      <c r="H114" s="1">
        <v>1000</v>
      </c>
      <c r="I114" s="7">
        <v>6.1249999999999999E-2</v>
      </c>
      <c r="J114" s="1">
        <v>1</v>
      </c>
      <c r="K114" s="1" t="s">
        <v>827</v>
      </c>
    </row>
    <row r="115" spans="1:11" x14ac:dyDescent="0.2">
      <c r="A115" s="9">
        <v>45427</v>
      </c>
      <c r="B115" s="1" t="s">
        <v>19</v>
      </c>
      <c r="C115" s="1" t="s">
        <v>823</v>
      </c>
      <c r="D115" s="4">
        <f>zinszahlungen[[#This Row],[Coupon]]/zinszahlungen[[#This Row],[Zinszahlungen pro Jahr]]*zinszahlungen[[#This Row],[Anteile]]*zinszahlungen[[#This Row],[Stückelung]]/zinszahlungen[[#This Row],[Wechselkurs]]</f>
        <v>61.25</v>
      </c>
      <c r="E115" s="1">
        <v>1</v>
      </c>
      <c r="F115" s="1" t="s">
        <v>925</v>
      </c>
      <c r="G115" s="1">
        <v>2</v>
      </c>
      <c r="H115" s="1">
        <v>1000</v>
      </c>
      <c r="I115" s="7">
        <v>6.1249999999999999E-2</v>
      </c>
      <c r="J115" s="1">
        <v>2</v>
      </c>
      <c r="K115" s="1" t="s">
        <v>824</v>
      </c>
    </row>
    <row r="116" spans="1:11" x14ac:dyDescent="0.2">
      <c r="A116" s="9">
        <v>45428</v>
      </c>
      <c r="B116" s="1" t="s">
        <v>19</v>
      </c>
      <c r="C116" s="1" t="s">
        <v>1767</v>
      </c>
      <c r="D116" s="4">
        <f>zinszahlungen[[#This Row],[Coupon]]/zinszahlungen[[#This Row],[Zinszahlungen pro Jahr]]*zinszahlungen[[#This Row],[Anteile]]*zinszahlungen[[#This Row],[Stückelung]]/zinszahlungen[[#This Row],[Wechselkurs]]</f>
        <v>73.624148720780411</v>
      </c>
      <c r="E116" s="1">
        <v>1.0866</v>
      </c>
      <c r="F116" s="1" t="s">
        <v>887</v>
      </c>
      <c r="G116" s="1">
        <v>2</v>
      </c>
      <c r="H116" s="1">
        <v>1000</v>
      </c>
      <c r="I116" s="7">
        <v>0.08</v>
      </c>
      <c r="J116" s="1">
        <v>2</v>
      </c>
      <c r="K116" s="1" t="s">
        <v>1768</v>
      </c>
    </row>
    <row r="117" spans="1:11" x14ac:dyDescent="0.2">
      <c r="A117" s="9">
        <v>45428</v>
      </c>
      <c r="B117" s="1" t="s">
        <v>19</v>
      </c>
      <c r="C117" s="1" t="s">
        <v>957</v>
      </c>
      <c r="D117" s="4">
        <f>zinszahlungen[[#This Row],[Coupon]]/zinszahlungen[[#This Row],[Zinszahlungen pro Jahr]]*zinszahlungen[[#This Row],[Anteile]]*zinszahlungen[[#This Row],[Stückelung]]/zinszahlungen[[#This Row],[Wechselkurs]]</f>
        <v>40.755000000000003</v>
      </c>
      <c r="E117" s="1">
        <v>1</v>
      </c>
      <c r="F117" s="1" t="s">
        <v>925</v>
      </c>
      <c r="G117" s="1">
        <v>2</v>
      </c>
      <c r="H117" s="1">
        <v>1000</v>
      </c>
      <c r="I117" s="7">
        <v>8.1509999999999999E-2</v>
      </c>
      <c r="J117" s="1">
        <v>4</v>
      </c>
      <c r="K117" s="1" t="s">
        <v>958</v>
      </c>
    </row>
    <row r="118" spans="1:11" x14ac:dyDescent="0.2">
      <c r="A118" s="9">
        <v>45428</v>
      </c>
      <c r="B118" s="1" t="s">
        <v>19</v>
      </c>
      <c r="C118" s="1" t="s">
        <v>435</v>
      </c>
      <c r="D118" s="4">
        <f>zinszahlungen[[#This Row],[Coupon]]/zinszahlungen[[#This Row],[Zinszahlungen pro Jahr]]*zinszahlungen[[#This Row],[Anteile]]*zinszahlungen[[#This Row],[Stückelung]]/zinszahlungen[[#This Row],[Wechselkurs]]</f>
        <v>40.129999999999995</v>
      </c>
      <c r="E118" s="1">
        <v>1</v>
      </c>
      <c r="F118" s="1" t="s">
        <v>925</v>
      </c>
      <c r="G118" s="1">
        <v>2</v>
      </c>
      <c r="H118" s="1">
        <v>1000</v>
      </c>
      <c r="I118" s="7">
        <v>8.0259999999999998E-2</v>
      </c>
      <c r="J118" s="1">
        <v>4</v>
      </c>
      <c r="K118" s="1" t="s">
        <v>436</v>
      </c>
    </row>
    <row r="119" spans="1:11" x14ac:dyDescent="0.2">
      <c r="A119" s="9">
        <v>45428</v>
      </c>
      <c r="B119" s="1" t="s">
        <v>19</v>
      </c>
      <c r="C119" s="1" t="s">
        <v>393</v>
      </c>
      <c r="D119" s="4">
        <f>zinszahlungen[[#This Row],[Coupon]]/zinszahlungen[[#This Row],[Zinszahlungen pro Jahr]]*zinszahlungen[[#This Row],[Anteile]]*zinszahlungen[[#This Row],[Stückelung]]/zinszahlungen[[#This Row],[Wechselkurs]]</f>
        <v>42</v>
      </c>
      <c r="E119" s="1">
        <v>1</v>
      </c>
      <c r="F119" s="1" t="s">
        <v>925</v>
      </c>
      <c r="G119" s="1">
        <v>2</v>
      </c>
      <c r="H119" s="1">
        <v>1000</v>
      </c>
      <c r="I119" s="7">
        <v>8.4000000000000005E-2</v>
      </c>
      <c r="J119" s="1">
        <v>4</v>
      </c>
      <c r="K119" s="1" t="s">
        <v>394</v>
      </c>
    </row>
    <row r="120" spans="1:11" x14ac:dyDescent="0.2">
      <c r="A120" s="9">
        <v>45428</v>
      </c>
      <c r="B120" s="1" t="s">
        <v>19</v>
      </c>
      <c r="C120" s="1" t="s">
        <v>251</v>
      </c>
      <c r="D120" s="4">
        <f>zinszahlungen[[#This Row],[Coupon]]/zinszahlungen[[#This Row],[Zinszahlungen pro Jahr]]*zinszahlungen[[#This Row],[Anteile]]*zinszahlungen[[#This Row],[Stückelung]]/zinszahlungen[[#This Row],[Wechselkurs]]</f>
        <v>48.255000000000003</v>
      </c>
      <c r="E120" s="1">
        <v>1</v>
      </c>
      <c r="F120" s="1" t="s">
        <v>925</v>
      </c>
      <c r="G120" s="1">
        <v>2</v>
      </c>
      <c r="H120" s="1">
        <v>1000</v>
      </c>
      <c r="I120" s="7">
        <v>9.6509999999999999E-2</v>
      </c>
      <c r="J120" s="1">
        <v>4</v>
      </c>
      <c r="K120" s="1" t="s">
        <v>252</v>
      </c>
    </row>
    <row r="121" spans="1:11" x14ac:dyDescent="0.2">
      <c r="A121" s="9">
        <v>45429</v>
      </c>
      <c r="B121" s="1" t="s">
        <v>19</v>
      </c>
      <c r="C121" s="1" t="s">
        <v>1249</v>
      </c>
      <c r="D121" s="4">
        <f>zinszahlungen[[#This Row],[Coupon]]/zinszahlungen[[#This Row],[Zinszahlungen pro Jahr]]*zinszahlungen[[#This Row],[Anteile]]*zinszahlungen[[#This Row],[Stückelung]]/zinszahlungen[[#This Row],[Wechselkurs]]</f>
        <v>85.09659613615456</v>
      </c>
      <c r="E121" s="1">
        <v>1.087</v>
      </c>
      <c r="F121" s="1" t="s">
        <v>887</v>
      </c>
      <c r="G121" s="1">
        <v>2</v>
      </c>
      <c r="H121" s="1">
        <v>1000</v>
      </c>
      <c r="I121" s="7">
        <v>9.2499999999999999E-2</v>
      </c>
      <c r="J121" s="1">
        <v>2</v>
      </c>
      <c r="K121" s="1" t="s">
        <v>1534</v>
      </c>
    </row>
    <row r="122" spans="1:11" x14ac:dyDescent="0.2">
      <c r="A122" s="9">
        <v>45429</v>
      </c>
      <c r="B122" s="1" t="s">
        <v>19</v>
      </c>
      <c r="C122" s="1" t="s">
        <v>638</v>
      </c>
      <c r="D122" s="4">
        <f>zinszahlungen[[#This Row],[Coupon]]/zinszahlungen[[#This Row],[Zinszahlungen pro Jahr]]*zinszahlungen[[#This Row],[Anteile]]*zinszahlungen[[#This Row],[Stückelung]]/zinszahlungen[[#This Row],[Wechselkurs]]</f>
        <v>70</v>
      </c>
      <c r="E122" s="1">
        <v>1</v>
      </c>
      <c r="F122" s="1" t="s">
        <v>925</v>
      </c>
      <c r="G122" s="1">
        <v>2</v>
      </c>
      <c r="H122" s="1">
        <v>1000</v>
      </c>
      <c r="I122" s="7">
        <v>7.0000000000000007E-2</v>
      </c>
      <c r="J122" s="1">
        <v>2</v>
      </c>
      <c r="K122" s="1" t="s">
        <v>639</v>
      </c>
    </row>
    <row r="123" spans="1:11" x14ac:dyDescent="0.2">
      <c r="A123" s="9">
        <v>45429</v>
      </c>
      <c r="B123" s="1" t="s">
        <v>19</v>
      </c>
      <c r="C123" s="1" t="s">
        <v>622</v>
      </c>
      <c r="D123" s="4">
        <f>zinszahlungen[[#This Row],[Coupon]]/zinszahlungen[[#This Row],[Zinszahlungen pro Jahr]]*zinszahlungen[[#This Row],[Anteile]]*zinszahlungen[[#This Row],[Stückelung]]/zinszahlungen[[#This Row],[Wechselkurs]]</f>
        <v>72.5</v>
      </c>
      <c r="E123" s="1">
        <v>1</v>
      </c>
      <c r="F123" s="1" t="s">
        <v>925</v>
      </c>
      <c r="G123" s="1">
        <v>2</v>
      </c>
      <c r="H123" s="1">
        <v>1000</v>
      </c>
      <c r="I123" s="7">
        <v>7.2499999999999995E-2</v>
      </c>
      <c r="J123" s="1">
        <v>2</v>
      </c>
      <c r="K123" s="1" t="s">
        <v>623</v>
      </c>
    </row>
    <row r="124" spans="1:11" x14ac:dyDescent="0.2">
      <c r="A124" s="9">
        <v>45430</v>
      </c>
      <c r="B124" s="1" t="s">
        <v>19</v>
      </c>
      <c r="C124" s="1" t="s">
        <v>1137</v>
      </c>
      <c r="D124" s="4">
        <f>zinszahlungen[[#This Row],[Coupon]]/zinszahlungen[[#This Row],[Zinszahlungen pro Jahr]]*zinszahlungen[[#This Row],[Anteile]]*zinszahlungen[[#This Row],[Stückelung]]/zinszahlungen[[#This Row],[Wechselkurs]]</f>
        <v>89.696412143514266</v>
      </c>
      <c r="E124" s="1">
        <v>1.087</v>
      </c>
      <c r="F124" s="1" t="s">
        <v>887</v>
      </c>
      <c r="G124" s="1">
        <v>2</v>
      </c>
      <c r="H124" s="1">
        <v>1000</v>
      </c>
      <c r="I124" s="7">
        <v>9.7500000000000003E-2</v>
      </c>
      <c r="J124" s="1">
        <v>2</v>
      </c>
      <c r="K124" s="1" t="s">
        <v>1138</v>
      </c>
    </row>
    <row r="125" spans="1:11" x14ac:dyDescent="0.2">
      <c r="A125" s="9">
        <v>45430</v>
      </c>
      <c r="B125" s="1" t="s">
        <v>19</v>
      </c>
      <c r="C125" s="1" t="s">
        <v>551</v>
      </c>
      <c r="D125" s="4">
        <f>zinszahlungen[[#This Row],[Coupon]]/zinszahlungen[[#This Row],[Zinszahlungen pro Jahr]]*zinszahlungen[[#This Row],[Anteile]]*zinszahlungen[[#This Row],[Stückelung]]/zinszahlungen[[#This Row],[Wechselkurs]]</f>
        <v>75</v>
      </c>
      <c r="E125" s="1">
        <v>1</v>
      </c>
      <c r="F125" s="1" t="s">
        <v>925</v>
      </c>
      <c r="G125" s="1">
        <v>2</v>
      </c>
      <c r="H125" s="1">
        <v>1000</v>
      </c>
      <c r="I125" s="7">
        <v>7.4999999999999997E-2</v>
      </c>
      <c r="J125" s="1">
        <v>2</v>
      </c>
      <c r="K125" s="1" t="s">
        <v>552</v>
      </c>
    </row>
    <row r="126" spans="1:11" x14ac:dyDescent="0.2">
      <c r="A126" s="9">
        <v>45431</v>
      </c>
      <c r="B126" s="1" t="s">
        <v>19</v>
      </c>
      <c r="C126" s="1" t="s">
        <v>1196</v>
      </c>
      <c r="D126" s="4">
        <f>zinszahlungen[[#This Row],[Coupon]]/zinszahlungen[[#This Row],[Zinszahlungen pro Jahr]]*zinszahlungen[[#This Row],[Anteile]]*zinszahlungen[[#This Row],[Stückelung]]/zinszahlungen[[#This Row],[Wechselkurs]]</f>
        <v>87.396504139834406</v>
      </c>
      <c r="E126" s="1">
        <v>1.087</v>
      </c>
      <c r="F126" s="1" t="s">
        <v>887</v>
      </c>
      <c r="G126" s="1">
        <v>2</v>
      </c>
      <c r="H126" s="1">
        <v>1000</v>
      </c>
      <c r="I126" s="7">
        <v>9.5000000000000001E-2</v>
      </c>
      <c r="J126" s="1">
        <v>2</v>
      </c>
      <c r="K126" s="1" t="s">
        <v>1198</v>
      </c>
    </row>
    <row r="127" spans="1:11" x14ac:dyDescent="0.2">
      <c r="A127" s="9">
        <v>45432</v>
      </c>
      <c r="B127" s="1" t="s">
        <v>19</v>
      </c>
      <c r="C127" s="1" t="s">
        <v>682</v>
      </c>
      <c r="D127" s="4">
        <f>zinszahlungen[[#This Row],[Coupon]]/zinszahlungen[[#This Row],[Zinszahlungen pro Jahr]]*zinszahlungen[[#This Row],[Anteile]]*zinszahlungen[[#This Row],[Stückelung]]/zinszahlungen[[#This Row],[Wechselkurs]]</f>
        <v>34.664999999999999</v>
      </c>
      <c r="E127" s="1">
        <v>1</v>
      </c>
      <c r="F127" s="1" t="s">
        <v>925</v>
      </c>
      <c r="G127" s="1">
        <v>2</v>
      </c>
      <c r="H127" s="1">
        <v>1000</v>
      </c>
      <c r="I127" s="7">
        <v>6.9330000000000003E-2</v>
      </c>
      <c r="J127" s="1">
        <v>4</v>
      </c>
      <c r="K127" s="1" t="s">
        <v>683</v>
      </c>
    </row>
    <row r="128" spans="1:11" x14ac:dyDescent="0.2">
      <c r="A128" s="9">
        <v>45433</v>
      </c>
      <c r="B128" s="1" t="s">
        <v>19</v>
      </c>
      <c r="C128" s="1" t="s">
        <v>1372</v>
      </c>
      <c r="D128" s="4">
        <f>zinszahlungen[[#This Row],[Coupon]]/zinszahlungen[[#This Row],[Zinszahlungen pro Jahr]]*zinszahlungen[[#This Row],[Anteile]]*zinszahlungen[[#This Row],[Stückelung]]/zinszahlungen[[#This Row],[Wechselkurs]]</f>
        <v>80.608014739751269</v>
      </c>
      <c r="E128" s="1">
        <v>1.0854999999999999</v>
      </c>
      <c r="F128" s="1" t="s">
        <v>887</v>
      </c>
      <c r="G128" s="1">
        <v>2</v>
      </c>
      <c r="H128" s="1">
        <v>1000</v>
      </c>
      <c r="I128" s="7">
        <v>8.7499999999999994E-2</v>
      </c>
      <c r="J128" s="1">
        <v>2</v>
      </c>
      <c r="K128" s="1" t="s">
        <v>1374</v>
      </c>
    </row>
    <row r="129" spans="1:11" x14ac:dyDescent="0.2">
      <c r="A129" s="9">
        <v>45434</v>
      </c>
      <c r="B129" s="1" t="s">
        <v>19</v>
      </c>
      <c r="C129" s="1" t="s">
        <v>1216</v>
      </c>
      <c r="D129" s="4">
        <f>zinszahlungen[[#This Row],[Coupon]]/zinszahlungen[[#This Row],[Zinszahlungen pro Jahr]]*zinszahlungen[[#This Row],[Anteile]]*zinszahlungen[[#This Row],[Stückelung]]/zinszahlungen[[#This Row],[Wechselkurs]]</f>
        <v>86.365730078304935</v>
      </c>
      <c r="E129" s="1">
        <v>1.0854999999999999</v>
      </c>
      <c r="F129" s="1" t="s">
        <v>887</v>
      </c>
      <c r="G129" s="1">
        <v>2000</v>
      </c>
      <c r="H129" s="1">
        <v>1</v>
      </c>
      <c r="I129" s="7">
        <v>9.375E-2</v>
      </c>
      <c r="J129" s="1">
        <v>2</v>
      </c>
      <c r="K129" s="1" t="s">
        <v>1217</v>
      </c>
    </row>
    <row r="130" spans="1:11" x14ac:dyDescent="0.2">
      <c r="A130" s="9">
        <v>45434</v>
      </c>
      <c r="B130" s="1" t="s">
        <v>19</v>
      </c>
      <c r="C130" s="1" t="s">
        <v>960</v>
      </c>
      <c r="D130" s="4">
        <f>zinszahlungen[[#This Row],[Coupon]]/zinszahlungen[[#This Row],[Zinszahlungen pro Jahr]]*zinszahlungen[[#This Row],[Anteile]]*zinszahlungen[[#This Row],[Stückelung]]/zinszahlungen[[#This Row],[Wechselkurs]]</f>
        <v>80</v>
      </c>
      <c r="E130" s="1">
        <v>1</v>
      </c>
      <c r="F130" s="1" t="s">
        <v>925</v>
      </c>
      <c r="G130" s="1">
        <v>2</v>
      </c>
      <c r="H130" s="1">
        <v>1000</v>
      </c>
      <c r="I130" s="7">
        <v>0.08</v>
      </c>
      <c r="J130" s="1">
        <v>2</v>
      </c>
      <c r="K130" s="1" t="s">
        <v>961</v>
      </c>
    </row>
    <row r="131" spans="1:11" x14ac:dyDescent="0.2">
      <c r="A131" s="9">
        <v>45435</v>
      </c>
      <c r="B131" s="1" t="s">
        <v>19</v>
      </c>
      <c r="C131" s="1" t="s">
        <v>1376</v>
      </c>
      <c r="D131" s="4">
        <f>zinszahlungen[[#This Row],[Coupon]]/zinszahlungen[[#This Row],[Zinszahlungen pro Jahr]]*zinszahlungen[[#This Row],[Anteile]]*zinszahlungen[[#This Row],[Stückelung]]/zinszahlungen[[#This Row],[Wechselkurs]]</f>
        <v>80.906148867313917</v>
      </c>
      <c r="E131" s="1">
        <v>1.0814999999999999</v>
      </c>
      <c r="F131" s="1" t="s">
        <v>887</v>
      </c>
      <c r="G131" s="1">
        <v>2</v>
      </c>
      <c r="H131" s="1">
        <v>1000</v>
      </c>
      <c r="I131" s="7">
        <v>8.7499999999999994E-2</v>
      </c>
      <c r="J131" s="1">
        <v>2</v>
      </c>
      <c r="K131" s="1" t="s">
        <v>1377</v>
      </c>
    </row>
    <row r="132" spans="1:11" x14ac:dyDescent="0.2">
      <c r="A132" s="9">
        <v>45435</v>
      </c>
      <c r="B132" s="1" t="s">
        <v>19</v>
      </c>
      <c r="C132" s="1" t="s">
        <v>751</v>
      </c>
      <c r="D132" s="4">
        <f>zinszahlungen[[#This Row],[Coupon]]/zinszahlungen[[#This Row],[Zinszahlungen pro Jahr]]*zinszahlungen[[#This Row],[Anteile]]*zinszahlungen[[#This Row],[Stückelung]]/zinszahlungen[[#This Row],[Wechselkurs]]</f>
        <v>32.5</v>
      </c>
      <c r="E132" s="1">
        <v>1</v>
      </c>
      <c r="F132" s="1" t="s">
        <v>925</v>
      </c>
      <c r="G132" s="1">
        <v>2</v>
      </c>
      <c r="H132" s="1">
        <v>1000</v>
      </c>
      <c r="I132" s="7">
        <v>6.5000000000000002E-2</v>
      </c>
      <c r="J132" s="1">
        <v>4</v>
      </c>
      <c r="K132" s="1" t="s">
        <v>752</v>
      </c>
    </row>
    <row r="133" spans="1:11" x14ac:dyDescent="0.2">
      <c r="A133" s="9">
        <v>45435</v>
      </c>
      <c r="B133" s="1" t="s">
        <v>19</v>
      </c>
      <c r="C133" s="1" t="s">
        <v>34</v>
      </c>
      <c r="D133" s="4">
        <f>zinszahlungen[[#This Row],[Coupon]]/zinszahlungen[[#This Row],[Zinszahlungen pro Jahr]]*zinszahlungen[[#This Row],[Anteile]]*zinszahlungen[[#This Row],[Stückelung]]/zinszahlungen[[#This Row],[Wechselkurs]]</f>
        <v>56.25</v>
      </c>
      <c r="E133" s="1">
        <v>1</v>
      </c>
      <c r="F133" s="1" t="s">
        <v>925</v>
      </c>
      <c r="G133" s="1">
        <v>2</v>
      </c>
      <c r="H133" s="1">
        <v>1000</v>
      </c>
      <c r="I133" s="7">
        <v>0.1125</v>
      </c>
      <c r="J133" s="1">
        <v>4</v>
      </c>
      <c r="K133" s="1" t="s">
        <v>36</v>
      </c>
    </row>
    <row r="134" spans="1:11" x14ac:dyDescent="0.2">
      <c r="A134" s="9">
        <v>45435</v>
      </c>
      <c r="B134" s="1" t="s">
        <v>19</v>
      </c>
      <c r="C134" s="1" t="s">
        <v>1812</v>
      </c>
      <c r="D134" s="4">
        <f>zinszahlungen[[#This Row],[Coupon]]/zinszahlungen[[#This Row],[Zinszahlungen pro Jahr]]*zinszahlungen[[#This Row],[Anteile]]*zinszahlungen[[#This Row],[Stückelung]]/zinszahlungen[[#This Row],[Wechselkurs]]</f>
        <v>200</v>
      </c>
      <c r="E134" s="1">
        <v>1</v>
      </c>
      <c r="F134" s="1" t="s">
        <v>925</v>
      </c>
      <c r="G134" s="1">
        <v>2</v>
      </c>
      <c r="H134" s="1">
        <v>1000</v>
      </c>
      <c r="I134" s="7">
        <v>0.1</v>
      </c>
      <c r="J134" s="1">
        <v>1</v>
      </c>
      <c r="K134" s="1" t="s">
        <v>1813</v>
      </c>
    </row>
    <row r="135" spans="1:11" x14ac:dyDescent="0.2">
      <c r="A135" s="9">
        <v>45436</v>
      </c>
      <c r="B135" s="1" t="s">
        <v>19</v>
      </c>
      <c r="C135" s="1" t="s">
        <v>647</v>
      </c>
      <c r="D135" s="4">
        <f>zinszahlungen[[#This Row],[Coupon]]/zinszahlungen[[#This Row],[Zinszahlungen pro Jahr]]*zinszahlungen[[#This Row],[Anteile]]*zinszahlungen[[#This Row],[Stückelung]]/zinszahlungen[[#This Row],[Wechselkurs]]</f>
        <v>70</v>
      </c>
      <c r="E135" s="1">
        <v>1</v>
      </c>
      <c r="F135" s="1" t="s">
        <v>925</v>
      </c>
      <c r="G135" s="1">
        <v>2</v>
      </c>
      <c r="H135" s="1">
        <v>1000</v>
      </c>
      <c r="I135" s="7">
        <v>7.0000000000000007E-2</v>
      </c>
      <c r="J135" s="1">
        <v>2</v>
      </c>
      <c r="K135" s="1" t="s">
        <v>648</v>
      </c>
    </row>
    <row r="136" spans="1:11" x14ac:dyDescent="0.2">
      <c r="A136" s="9">
        <v>45436</v>
      </c>
      <c r="B136" s="1" t="s">
        <v>19</v>
      </c>
      <c r="C136" s="1" t="s">
        <v>171</v>
      </c>
      <c r="D136" s="4">
        <f>zinszahlungen[[#This Row],[Coupon]]/zinszahlungen[[#This Row],[Zinszahlungen pro Jahr]]*zinszahlungen[[#This Row],[Anteile]]*zinszahlungen[[#This Row],[Stückelung]]/zinszahlungen[[#This Row],[Wechselkurs]]</f>
        <v>95</v>
      </c>
      <c r="E136" s="1">
        <v>1</v>
      </c>
      <c r="F136" s="1" t="s">
        <v>925</v>
      </c>
      <c r="G136" s="1">
        <v>2</v>
      </c>
      <c r="H136" s="1">
        <v>1000</v>
      </c>
      <c r="I136" s="7">
        <v>9.5000000000000001E-2</v>
      </c>
      <c r="J136" s="1">
        <v>2</v>
      </c>
      <c r="K136" s="1" t="s">
        <v>260</v>
      </c>
    </row>
    <row r="137" spans="1:11" x14ac:dyDescent="0.2">
      <c r="A137" s="9">
        <v>45436</v>
      </c>
      <c r="B137" s="1" t="s">
        <v>19</v>
      </c>
      <c r="C137" s="1" t="s">
        <v>150</v>
      </c>
      <c r="D137" s="4">
        <f>zinszahlungen[[#This Row],[Coupon]]/zinszahlungen[[#This Row],[Zinszahlungen pro Jahr]]*zinszahlungen[[#This Row],[Anteile]]*zinszahlungen[[#This Row],[Stückelung]]/zinszahlungen[[#This Row],[Wechselkurs]]</f>
        <v>185</v>
      </c>
      <c r="E137" s="1">
        <v>1</v>
      </c>
      <c r="F137" s="1" t="s">
        <v>925</v>
      </c>
      <c r="G137" s="1">
        <v>2</v>
      </c>
      <c r="H137" s="1">
        <v>1000</v>
      </c>
      <c r="I137" s="7">
        <v>9.2499999999999999E-2</v>
      </c>
      <c r="J137" s="1">
        <v>1</v>
      </c>
      <c r="K137" s="1" t="s">
        <v>151</v>
      </c>
    </row>
    <row r="138" spans="1:11" x14ac:dyDescent="0.2">
      <c r="A138" s="9">
        <v>45437</v>
      </c>
      <c r="B138" s="1" t="s">
        <v>19</v>
      </c>
      <c r="C138" s="1" t="s">
        <v>1741</v>
      </c>
      <c r="D138" s="4">
        <f>zinszahlungen[[#This Row],[Coupon]]/zinszahlungen[[#This Row],[Zinszahlungen pro Jahr]]*zinszahlungen[[#This Row],[Anteile]]*zinszahlungen[[#This Row],[Stückelung]]/zinszahlungen[[#This Row],[Wechselkurs]]</f>
        <v>73.7531114593897</v>
      </c>
      <c r="E138" s="1">
        <v>1.0847</v>
      </c>
      <c r="F138" s="1" t="s">
        <v>887</v>
      </c>
      <c r="G138" s="1">
        <v>2</v>
      </c>
      <c r="H138" s="1">
        <v>1000</v>
      </c>
      <c r="I138" s="7">
        <v>0.08</v>
      </c>
      <c r="J138" s="1">
        <v>2</v>
      </c>
      <c r="K138" s="1" t="s">
        <v>1742</v>
      </c>
    </row>
    <row r="139" spans="1:11" x14ac:dyDescent="0.2">
      <c r="A139" s="9">
        <v>45437</v>
      </c>
      <c r="B139" s="1" t="s">
        <v>19</v>
      </c>
      <c r="C139" s="1" t="s">
        <v>1317</v>
      </c>
      <c r="D139" s="4">
        <f>zinszahlungen[[#This Row],[Coupon]]/zinszahlungen[[#This Row],[Zinszahlungen pro Jahr]]*zinszahlungen[[#This Row],[Anteile]]*zinszahlungen[[#This Row],[Stückelung]]/zinszahlungen[[#This Row],[Wechselkurs]]</f>
        <v>82.972250391813404</v>
      </c>
      <c r="E139" s="1">
        <v>1.0847</v>
      </c>
      <c r="F139" s="1" t="s">
        <v>887</v>
      </c>
      <c r="G139" s="1">
        <v>2</v>
      </c>
      <c r="H139" s="1">
        <v>1000</v>
      </c>
      <c r="I139" s="7">
        <v>0.09</v>
      </c>
      <c r="J139" s="1">
        <v>2</v>
      </c>
      <c r="K139" s="1" t="s">
        <v>1318</v>
      </c>
    </row>
    <row r="140" spans="1:11" x14ac:dyDescent="0.2">
      <c r="A140" s="9">
        <v>45437</v>
      </c>
      <c r="B140" s="1" t="s">
        <v>19</v>
      </c>
      <c r="C140" s="1" t="s">
        <v>612</v>
      </c>
      <c r="D140" s="4">
        <f>zinszahlungen[[#This Row],[Coupon]]/zinszahlungen[[#This Row],[Zinszahlungen pro Jahr]]*zinszahlungen[[#This Row],[Anteile]]*zinszahlungen[[#This Row],[Stückelung]]/zinszahlungen[[#This Row],[Wechselkurs]]</f>
        <v>145</v>
      </c>
      <c r="E140" s="1">
        <v>1</v>
      </c>
      <c r="F140" s="1" t="s">
        <v>925</v>
      </c>
      <c r="G140" s="1">
        <v>2</v>
      </c>
      <c r="H140" s="1">
        <v>1000</v>
      </c>
      <c r="I140" s="7">
        <v>7.2499999999999995E-2</v>
      </c>
      <c r="J140" s="1">
        <v>1</v>
      </c>
      <c r="K140" s="1" t="s">
        <v>614</v>
      </c>
    </row>
    <row r="141" spans="1:11" x14ac:dyDescent="0.2">
      <c r="A141" s="9">
        <v>45439</v>
      </c>
      <c r="B141" s="1" t="s">
        <v>19</v>
      </c>
      <c r="C141" s="1" t="s">
        <v>1764</v>
      </c>
      <c r="D141" s="4">
        <f>zinszahlungen[[#This Row],[Coupon]]/zinszahlungen[[#This Row],[Zinszahlungen pro Jahr]]*zinszahlungen[[#This Row],[Anteile]]*zinszahlungen[[#This Row],[Stückelung]]/zinszahlungen[[#This Row],[Wechselkurs]]</f>
        <v>73.691967575534278</v>
      </c>
      <c r="E141" s="1">
        <v>1.0855999999999999</v>
      </c>
      <c r="F141" s="1" t="s">
        <v>887</v>
      </c>
      <c r="G141" s="1">
        <v>2</v>
      </c>
      <c r="H141" s="1">
        <v>1000</v>
      </c>
      <c r="I141" s="7">
        <v>0.08</v>
      </c>
      <c r="J141" s="1">
        <v>2</v>
      </c>
      <c r="K141" s="1" t="s">
        <v>1765</v>
      </c>
    </row>
    <row r="142" spans="1:11" x14ac:dyDescent="0.2">
      <c r="A142" s="9">
        <v>45439</v>
      </c>
      <c r="B142" s="1" t="s">
        <v>19</v>
      </c>
      <c r="C142" s="1" t="s">
        <v>595</v>
      </c>
      <c r="D142" s="4">
        <f>zinszahlungen[[#This Row],[Coupon]]/zinszahlungen[[#This Row],[Zinszahlungen pro Jahr]]*zinszahlungen[[#This Row],[Anteile]]*zinszahlungen[[#This Row],[Stückelung]]/zinszahlungen[[#This Row],[Wechselkurs]]</f>
        <v>72.5</v>
      </c>
      <c r="E142" s="1">
        <v>1</v>
      </c>
      <c r="F142" s="1" t="s">
        <v>925</v>
      </c>
      <c r="G142" s="1">
        <v>2</v>
      </c>
      <c r="H142" s="1">
        <v>1000</v>
      </c>
      <c r="I142" s="7">
        <v>7.2499999999999995E-2</v>
      </c>
      <c r="J142" s="1">
        <v>2</v>
      </c>
      <c r="K142" s="1" t="s">
        <v>596</v>
      </c>
    </row>
    <row r="143" spans="1:11" x14ac:dyDescent="0.2">
      <c r="A143" s="9">
        <v>45440</v>
      </c>
      <c r="B143" s="1" t="s">
        <v>19</v>
      </c>
      <c r="C143" s="1" t="s">
        <v>200</v>
      </c>
      <c r="D143" s="4">
        <f>zinszahlungen[[#This Row],[Coupon]]/zinszahlungen[[#This Row],[Zinszahlungen pro Jahr]]*zinszahlungen[[#This Row],[Anteile]]*zinszahlungen[[#This Row],[Stückelung]]/zinszahlungen[[#This Row],[Wechselkurs]]</f>
        <v>53.510000000000005</v>
      </c>
      <c r="E143" s="1">
        <v>1</v>
      </c>
      <c r="F143" s="1" t="s">
        <v>925</v>
      </c>
      <c r="G143" s="1">
        <v>2</v>
      </c>
      <c r="H143" s="1">
        <v>1000</v>
      </c>
      <c r="I143" s="7">
        <v>0.10702</v>
      </c>
      <c r="J143" s="1">
        <v>4</v>
      </c>
      <c r="K143" s="1" t="s">
        <v>201</v>
      </c>
    </row>
    <row r="144" spans="1:11" x14ac:dyDescent="0.2">
      <c r="A144" s="9">
        <v>45441</v>
      </c>
      <c r="B144" s="1" t="s">
        <v>19</v>
      </c>
      <c r="C144" s="1" t="s">
        <v>586</v>
      </c>
      <c r="D144" s="4">
        <f>zinszahlungen[[#This Row],[Coupon]]/zinszahlungen[[#This Row],[Zinszahlungen pro Jahr]]*zinszahlungen[[#This Row],[Anteile]]*zinszahlungen[[#This Row],[Stückelung]]/zinszahlungen[[#This Row],[Wechselkurs]]</f>
        <v>73.75</v>
      </c>
      <c r="E144" s="1">
        <v>1</v>
      </c>
      <c r="F144" s="1" t="s">
        <v>925</v>
      </c>
      <c r="G144" s="1">
        <v>2</v>
      </c>
      <c r="H144" s="1">
        <v>1000</v>
      </c>
      <c r="I144" s="7">
        <v>7.3749999999999996E-2</v>
      </c>
      <c r="J144" s="1">
        <v>2</v>
      </c>
      <c r="K144" s="1" t="s">
        <v>587</v>
      </c>
    </row>
    <row r="145" spans="1:11" x14ac:dyDescent="0.2">
      <c r="A145" s="9">
        <v>45442</v>
      </c>
      <c r="B145" s="1" t="s">
        <v>19</v>
      </c>
      <c r="C145" s="1" t="s">
        <v>1729</v>
      </c>
      <c r="D145" s="4">
        <f>zinszahlungen[[#This Row],[Coupon]]/zinszahlungen[[#This Row],[Zinszahlungen pro Jahr]]*zinszahlungen[[#This Row],[Anteile]]*zinszahlungen[[#This Row],[Stückelung]]/zinszahlungen[[#This Row],[Wechselkurs]]</f>
        <v>73.841609747092491</v>
      </c>
      <c r="E145" s="1">
        <v>1.0833999999999999</v>
      </c>
      <c r="F145" s="1" t="s">
        <v>887</v>
      </c>
      <c r="G145" s="1">
        <v>2</v>
      </c>
      <c r="H145" s="1">
        <v>1000</v>
      </c>
      <c r="I145" s="7">
        <v>0.08</v>
      </c>
      <c r="J145" s="1">
        <v>2</v>
      </c>
      <c r="K145" s="1" t="s">
        <v>1730</v>
      </c>
    </row>
    <row r="146" spans="1:11" x14ac:dyDescent="0.2">
      <c r="A146" s="9">
        <v>45442</v>
      </c>
      <c r="B146" s="1" t="s">
        <v>19</v>
      </c>
      <c r="C146" s="1" t="s">
        <v>1351</v>
      </c>
      <c r="D146" s="4">
        <f>zinszahlungen[[#This Row],[Coupon]]/zinszahlungen[[#This Row],[Zinszahlungen pro Jahr]]*zinszahlungen[[#This Row],[Anteile]]*zinszahlungen[[#This Row],[Stückelung]]/zinszahlungen[[#This Row],[Wechselkurs]]</f>
        <v>81.918035813180737</v>
      </c>
      <c r="E146" s="1">
        <v>1.0833999999999999</v>
      </c>
      <c r="F146" s="1" t="s">
        <v>887</v>
      </c>
      <c r="G146" s="1">
        <v>2</v>
      </c>
      <c r="H146" s="1">
        <v>1000</v>
      </c>
      <c r="I146" s="7">
        <v>8.8749999999999996E-2</v>
      </c>
      <c r="J146" s="1">
        <v>2</v>
      </c>
      <c r="K146" s="1" t="s">
        <v>1359</v>
      </c>
    </row>
    <row r="147" spans="1:11" x14ac:dyDescent="0.2">
      <c r="A147" s="9">
        <v>45442</v>
      </c>
      <c r="B147" s="1" t="s">
        <v>19</v>
      </c>
      <c r="C147" s="1" t="s">
        <v>1234</v>
      </c>
      <c r="D147" s="4">
        <f>zinszahlungen[[#This Row],[Coupon]]/zinszahlungen[[#This Row],[Zinszahlungen pro Jahr]]*zinszahlungen[[#This Row],[Anteile]]*zinszahlungen[[#This Row],[Stückelung]]/zinszahlungen[[#This Row],[Wechselkurs]]</f>
        <v>86.496215617500482</v>
      </c>
      <c r="E147" s="1">
        <v>1.0833999999999999</v>
      </c>
      <c r="F147" s="1" t="s">
        <v>887</v>
      </c>
      <c r="G147" s="1">
        <v>2</v>
      </c>
      <c r="H147" s="1">
        <v>1000</v>
      </c>
      <c r="I147" s="7">
        <v>9.3710000000000002E-2</v>
      </c>
      <c r="J147" s="1">
        <v>2</v>
      </c>
      <c r="K147" s="1" t="s">
        <v>1235</v>
      </c>
    </row>
    <row r="148" spans="1:11" x14ac:dyDescent="0.2">
      <c r="A148" s="9">
        <v>45442</v>
      </c>
      <c r="B148" s="1" t="s">
        <v>19</v>
      </c>
      <c r="C148" s="1" t="s">
        <v>1173</v>
      </c>
      <c r="D148" s="4">
        <f>zinszahlungen[[#This Row],[Coupon]]/zinszahlungen[[#This Row],[Zinszahlungen pro Jahr]]*zinszahlungen[[#This Row],[Anteile]]*zinszahlungen[[#This Row],[Stückelung]]/zinszahlungen[[#This Row],[Wechselkurs]]</f>
        <v>87.686911574672337</v>
      </c>
      <c r="E148" s="1">
        <v>1.0833999999999999</v>
      </c>
      <c r="F148" s="1" t="s">
        <v>887</v>
      </c>
      <c r="G148" s="1">
        <v>2</v>
      </c>
      <c r="H148" s="1">
        <v>1000</v>
      </c>
      <c r="I148" s="7">
        <v>9.5000000000000001E-2</v>
      </c>
      <c r="J148" s="1">
        <v>2</v>
      </c>
      <c r="K148" s="1" t="s">
        <v>1174</v>
      </c>
    </row>
    <row r="149" spans="1:11" x14ac:dyDescent="0.2">
      <c r="A149" s="9">
        <v>45442</v>
      </c>
      <c r="B149" s="1" t="s">
        <v>19</v>
      </c>
      <c r="C149" s="1" t="s">
        <v>1034</v>
      </c>
      <c r="D149" s="4">
        <f>zinszahlungen[[#This Row],[Coupon]]/zinszahlungen[[#This Row],[Zinszahlungen pro Jahr]]*zinszahlungen[[#This Row],[Anteile]]*zinszahlungen[[#This Row],[Stückelung]]/zinszahlungen[[#This Row],[Wechselkurs]]</f>
        <v>101.53221340225218</v>
      </c>
      <c r="E149" s="1">
        <v>1.0833999999999999</v>
      </c>
      <c r="F149" s="1" t="s">
        <v>887</v>
      </c>
      <c r="G149" s="1">
        <v>2000</v>
      </c>
      <c r="H149" s="1">
        <v>1</v>
      </c>
      <c r="I149" s="7">
        <v>0.11</v>
      </c>
      <c r="J149" s="1">
        <v>2</v>
      </c>
      <c r="K149" s="1" t="s">
        <v>1035</v>
      </c>
    </row>
    <row r="150" spans="1:11" x14ac:dyDescent="0.2">
      <c r="A150" s="9">
        <v>45442</v>
      </c>
      <c r="B150" s="1" t="s">
        <v>19</v>
      </c>
      <c r="C150" s="1" t="s">
        <v>230</v>
      </c>
      <c r="D150" s="4">
        <f>zinszahlungen[[#This Row],[Coupon]]/zinszahlungen[[#This Row],[Zinszahlungen pro Jahr]]*zinszahlungen[[#This Row],[Anteile]]*zinszahlungen[[#This Row],[Stückelung]]/zinszahlungen[[#This Row],[Wechselkurs]]</f>
        <v>16.666666666666668</v>
      </c>
      <c r="E150" s="1">
        <v>1</v>
      </c>
      <c r="F150" s="1" t="s">
        <v>925</v>
      </c>
      <c r="G150" s="1">
        <v>2</v>
      </c>
      <c r="H150" s="1">
        <v>1000</v>
      </c>
      <c r="I150" s="7">
        <v>0.1</v>
      </c>
      <c r="J150" s="1">
        <v>12</v>
      </c>
      <c r="K150" s="1" t="s">
        <v>231</v>
      </c>
    </row>
    <row r="151" spans="1:11" x14ac:dyDescent="0.2">
      <c r="A151" s="9">
        <v>45442</v>
      </c>
      <c r="B151" s="1" t="s">
        <v>19</v>
      </c>
      <c r="C151" s="1" t="s">
        <v>205</v>
      </c>
      <c r="D151" s="4">
        <f>zinszahlungen[[#This Row],[Coupon]]/zinszahlungen[[#This Row],[Zinszahlungen pro Jahr]]*zinszahlungen[[#This Row],[Anteile]]*zinszahlungen[[#This Row],[Stückelung]]/zinszahlungen[[#This Row],[Wechselkurs]]</f>
        <v>106.25</v>
      </c>
      <c r="E151" s="1">
        <v>1</v>
      </c>
      <c r="F151" s="1" t="s">
        <v>925</v>
      </c>
      <c r="G151" s="1">
        <v>2</v>
      </c>
      <c r="H151" s="1">
        <v>1000</v>
      </c>
      <c r="I151" s="7">
        <v>0.10625</v>
      </c>
      <c r="J151" s="1">
        <v>2</v>
      </c>
      <c r="K151" s="1" t="s">
        <v>206</v>
      </c>
    </row>
    <row r="152" spans="1:11" x14ac:dyDescent="0.2">
      <c r="A152" s="9">
        <v>45442</v>
      </c>
      <c r="B152" s="1" t="s">
        <v>19</v>
      </c>
      <c r="C152" s="1" t="s">
        <v>194</v>
      </c>
      <c r="D152" s="4">
        <f>zinszahlungen[[#This Row],[Coupon]]/zinszahlungen[[#This Row],[Zinszahlungen pro Jahr]]*zinszahlungen[[#This Row],[Anteile]]*zinszahlungen[[#This Row],[Stückelung]]/zinszahlungen[[#This Row],[Wechselkurs]]</f>
        <v>110</v>
      </c>
      <c r="E152" s="1">
        <v>1</v>
      </c>
      <c r="F152" s="1" t="s">
        <v>925</v>
      </c>
      <c r="G152" s="1">
        <v>2</v>
      </c>
      <c r="H152" s="1">
        <v>1000</v>
      </c>
      <c r="I152" s="7">
        <v>0.11</v>
      </c>
      <c r="J152" s="1">
        <v>2</v>
      </c>
      <c r="K152" s="1" t="s">
        <v>195</v>
      </c>
    </row>
    <row r="153" spans="1:11" x14ac:dyDescent="0.2">
      <c r="A153" s="9">
        <v>45442</v>
      </c>
      <c r="B153" s="1" t="s">
        <v>19</v>
      </c>
      <c r="C153" s="1" t="s">
        <v>60</v>
      </c>
      <c r="D153" s="4">
        <f>zinszahlungen[[#This Row],[Coupon]]/zinszahlungen[[#This Row],[Zinszahlungen pro Jahr]]*zinszahlungen[[#This Row],[Anteile]]*zinszahlungen[[#This Row],[Stückelung]]/zinszahlungen[[#This Row],[Wechselkurs]]</f>
        <v>115</v>
      </c>
      <c r="E153" s="1">
        <v>1</v>
      </c>
      <c r="F153" s="1" t="s">
        <v>925</v>
      </c>
      <c r="G153" s="1">
        <v>2</v>
      </c>
      <c r="H153" s="1">
        <v>1000</v>
      </c>
      <c r="I153" s="7">
        <v>0.115</v>
      </c>
      <c r="J153" s="1">
        <v>2</v>
      </c>
      <c r="K153" s="1" t="s">
        <v>62</v>
      </c>
    </row>
    <row r="154" spans="1:11" x14ac:dyDescent="0.2">
      <c r="A154" s="9">
        <v>45444</v>
      </c>
      <c r="B154" s="1" t="s">
        <v>19</v>
      </c>
      <c r="C154" s="1" t="s">
        <v>1529</v>
      </c>
      <c r="D154" s="4">
        <f>zinszahlungen[[#This Row],[Coupon]]/zinszahlungen[[#This Row],[Zinszahlungen pro Jahr]]*zinszahlungen[[#This Row],[Anteile]]*zinszahlungen[[#This Row],[Stückelung]]/zinszahlungen[[#This Row],[Wechselkurs]]</f>
        <v>79.485761680951072</v>
      </c>
      <c r="E154" s="1">
        <v>1.0851</v>
      </c>
      <c r="F154" s="1" t="s">
        <v>887</v>
      </c>
      <c r="G154" s="1">
        <v>2</v>
      </c>
      <c r="H154" s="1">
        <v>1000</v>
      </c>
      <c r="I154" s="7">
        <v>8.6249999999999993E-2</v>
      </c>
      <c r="J154" s="1">
        <v>2</v>
      </c>
      <c r="K154" s="1" t="s">
        <v>1530</v>
      </c>
    </row>
    <row r="155" spans="1:11" x14ac:dyDescent="0.2">
      <c r="A155" s="9">
        <v>45444</v>
      </c>
      <c r="B155" s="1" t="s">
        <v>19</v>
      </c>
      <c r="C155" s="1" t="s">
        <v>1261</v>
      </c>
      <c r="D155" s="4">
        <f>zinszahlungen[[#This Row],[Coupon]]/zinszahlungen[[#This Row],[Zinszahlungen pro Jahr]]*zinszahlungen[[#This Row],[Anteile]]*zinszahlungen[[#This Row],[Stückelung]]/zinszahlungen[[#This Row],[Wechselkurs]]</f>
        <v>85.245599483918539</v>
      </c>
      <c r="E155" s="1">
        <v>1.0851</v>
      </c>
      <c r="F155" s="1" t="s">
        <v>887</v>
      </c>
      <c r="G155" s="1">
        <v>2</v>
      </c>
      <c r="H155" s="1">
        <v>1000</v>
      </c>
      <c r="I155" s="7">
        <v>9.2499999999999999E-2</v>
      </c>
      <c r="J155" s="1">
        <v>2</v>
      </c>
      <c r="K155" s="1" t="s">
        <v>1262</v>
      </c>
    </row>
    <row r="156" spans="1:11" x14ac:dyDescent="0.2">
      <c r="A156" s="9">
        <v>45444</v>
      </c>
      <c r="B156" s="1" t="s">
        <v>19</v>
      </c>
      <c r="C156" s="1" t="s">
        <v>1219</v>
      </c>
      <c r="D156" s="4">
        <f>zinszahlungen[[#This Row],[Coupon]]/zinszahlungen[[#This Row],[Zinszahlungen pro Jahr]]*zinszahlungen[[#This Row],[Anteile]]*zinszahlungen[[#This Row],[Stückelung]]/zinszahlungen[[#This Row],[Wechselkurs]]</f>
        <v>86.39756704451203</v>
      </c>
      <c r="E156" s="1">
        <v>1.0851</v>
      </c>
      <c r="F156" s="1" t="s">
        <v>887</v>
      </c>
      <c r="G156" s="1">
        <v>2</v>
      </c>
      <c r="H156" s="1">
        <v>1000</v>
      </c>
      <c r="I156" s="7">
        <v>9.375E-2</v>
      </c>
      <c r="J156" s="1">
        <v>2</v>
      </c>
      <c r="K156" s="1" t="s">
        <v>1220</v>
      </c>
    </row>
    <row r="157" spans="1:11" x14ac:dyDescent="0.2">
      <c r="A157" s="9">
        <v>45444</v>
      </c>
      <c r="B157" s="1" t="s">
        <v>19</v>
      </c>
      <c r="C157" s="1" t="s">
        <v>471</v>
      </c>
      <c r="D157" s="4">
        <f>zinszahlungen[[#This Row],[Coupon]]/zinszahlungen[[#This Row],[Zinszahlungen pro Jahr]]*zinszahlungen[[#This Row],[Anteile]]*zinszahlungen[[#This Row],[Stückelung]]/zinszahlungen[[#This Row],[Wechselkurs]]</f>
        <v>39.71</v>
      </c>
      <c r="E157" s="1">
        <v>1</v>
      </c>
      <c r="F157" s="1" t="s">
        <v>925</v>
      </c>
      <c r="G157" s="1">
        <v>2</v>
      </c>
      <c r="H157" s="1">
        <v>1000</v>
      </c>
      <c r="I157" s="7">
        <v>7.9420000000000004E-2</v>
      </c>
      <c r="J157" s="1">
        <v>4</v>
      </c>
      <c r="K157" s="1" t="s">
        <v>472</v>
      </c>
    </row>
    <row r="158" spans="1:11" x14ac:dyDescent="0.2">
      <c r="A158" s="9">
        <v>45444</v>
      </c>
      <c r="B158" s="1" t="s">
        <v>19</v>
      </c>
      <c r="C158" s="1" t="s">
        <v>763</v>
      </c>
      <c r="D158" s="4">
        <f>zinszahlungen[[#This Row],[Coupon]]/zinszahlungen[[#This Row],[Zinszahlungen pro Jahr]]*zinszahlungen[[#This Row],[Anteile]]*zinszahlungen[[#This Row],[Stückelung]]/zinszahlungen[[#This Row],[Wechselkurs]]</f>
        <v>130</v>
      </c>
      <c r="E158" s="1">
        <v>1</v>
      </c>
      <c r="F158" s="1" t="s">
        <v>925</v>
      </c>
      <c r="G158" s="1">
        <v>2</v>
      </c>
      <c r="H158" s="1">
        <v>1000</v>
      </c>
      <c r="I158" s="7">
        <v>6.5000000000000002E-2</v>
      </c>
      <c r="J158" s="1">
        <v>1</v>
      </c>
      <c r="K158" s="1" t="s">
        <v>764</v>
      </c>
    </row>
    <row r="159" spans="1:11" x14ac:dyDescent="0.2">
      <c r="A159" s="9">
        <v>45444</v>
      </c>
      <c r="B159" s="1" t="s">
        <v>19</v>
      </c>
      <c r="C159" s="1" t="s">
        <v>115</v>
      </c>
      <c r="D159" s="4">
        <f>zinszahlungen[[#This Row],[Coupon]]/zinszahlungen[[#This Row],[Zinszahlungen pro Jahr]]*zinszahlungen[[#This Row],[Anteile]]*zinszahlungen[[#This Row],[Stückelung]]/zinszahlungen[[#This Row],[Wechselkurs]]</f>
        <v>64.375</v>
      </c>
      <c r="E159" s="1">
        <v>1</v>
      </c>
      <c r="F159" s="1" t="s">
        <v>925</v>
      </c>
      <c r="G159" s="1">
        <v>2</v>
      </c>
      <c r="H159" s="1">
        <v>1000</v>
      </c>
      <c r="I159" s="7">
        <v>0.12875</v>
      </c>
      <c r="J159" s="1">
        <v>4</v>
      </c>
      <c r="K159" s="1" t="s">
        <v>117</v>
      </c>
    </row>
    <row r="160" spans="1:11" x14ac:dyDescent="0.2">
      <c r="A160" s="9">
        <v>45444</v>
      </c>
      <c r="B160" s="1" t="s">
        <v>19</v>
      </c>
      <c r="C160" s="1" t="s">
        <v>532</v>
      </c>
      <c r="D160" s="4">
        <f>zinszahlungen[[#This Row],[Coupon]]/zinszahlungen[[#This Row],[Zinszahlungen pro Jahr]]*zinszahlungen[[#This Row],[Anteile]]*zinszahlungen[[#This Row],[Stückelung]]/zinszahlungen[[#This Row],[Wechselkurs]]</f>
        <v>48.382637544926737</v>
      </c>
      <c r="E160" s="1">
        <v>1.0851</v>
      </c>
      <c r="F160" s="1" t="s">
        <v>887</v>
      </c>
      <c r="G160" s="1">
        <v>1</v>
      </c>
      <c r="H160" s="1">
        <v>1000</v>
      </c>
      <c r="I160" s="7">
        <v>0.105</v>
      </c>
      <c r="J160" s="1">
        <v>2</v>
      </c>
      <c r="K160" s="1" t="s">
        <v>1856</v>
      </c>
    </row>
    <row r="161" spans="1:11" x14ac:dyDescent="0.2">
      <c r="A161" s="9">
        <v>45445</v>
      </c>
      <c r="B161" s="1" t="s">
        <v>19</v>
      </c>
      <c r="C161" s="1" t="s">
        <v>112</v>
      </c>
      <c r="D161" s="4">
        <f>zinszahlungen[[#This Row],[Coupon]]/zinszahlungen[[#This Row],[Zinszahlungen pro Jahr]]*zinszahlungen[[#This Row],[Anteile]]*zinszahlungen[[#This Row],[Stückelung]]/zinszahlungen[[#This Row],[Wechselkurs]]</f>
        <v>57.160000000000004</v>
      </c>
      <c r="E161" s="1">
        <v>1</v>
      </c>
      <c r="F161" s="1" t="s">
        <v>925</v>
      </c>
      <c r="G161" s="1">
        <v>2</v>
      </c>
      <c r="H161" s="1">
        <v>1000</v>
      </c>
      <c r="I161" s="7">
        <v>0.11432</v>
      </c>
      <c r="J161" s="1">
        <v>4</v>
      </c>
      <c r="K161" s="1" t="s">
        <v>113</v>
      </c>
    </row>
    <row r="162" spans="1:11" x14ac:dyDescent="0.2">
      <c r="A162" s="9">
        <v>45446</v>
      </c>
      <c r="B162" s="1" t="s">
        <v>19</v>
      </c>
      <c r="C162" s="1" t="s">
        <v>998</v>
      </c>
      <c r="D162" s="4">
        <f>zinszahlungen[[#This Row],[Coupon]]/zinszahlungen[[#This Row],[Zinszahlungen pro Jahr]]*zinszahlungen[[#This Row],[Anteile]]*zinszahlungen[[#This Row],[Stückelung]]/zinszahlungen[[#This Row],[Wechselkurs]]</f>
        <v>110.0715465052284</v>
      </c>
      <c r="E162" s="1">
        <v>1.0902000000000001</v>
      </c>
      <c r="F162" s="1" t="s">
        <v>887</v>
      </c>
      <c r="G162" s="1">
        <v>2000</v>
      </c>
      <c r="H162" s="1">
        <v>1</v>
      </c>
      <c r="I162" s="7">
        <v>0.12</v>
      </c>
      <c r="J162" s="1">
        <v>2</v>
      </c>
      <c r="K162" s="1" t="s">
        <v>999</v>
      </c>
    </row>
    <row r="163" spans="1:11" x14ac:dyDescent="0.2">
      <c r="A163" s="9">
        <v>45446</v>
      </c>
      <c r="B163" s="1" t="s">
        <v>19</v>
      </c>
      <c r="C163" s="1" t="s">
        <v>563</v>
      </c>
      <c r="D163" s="4">
        <f>zinszahlungen[[#This Row],[Coupon]]/zinszahlungen[[#This Row],[Zinszahlungen pro Jahr]]*zinszahlungen[[#This Row],[Anteile]]*zinszahlungen[[#This Row],[Stückelung]]/zinszahlungen[[#This Row],[Wechselkurs]]</f>
        <v>75</v>
      </c>
      <c r="E163" s="1">
        <v>1</v>
      </c>
      <c r="F163" s="1" t="s">
        <v>925</v>
      </c>
      <c r="G163" s="1">
        <v>2</v>
      </c>
      <c r="H163" s="1">
        <v>1000</v>
      </c>
      <c r="I163" s="7">
        <v>7.4999999999999997E-2</v>
      </c>
      <c r="J163" s="1">
        <v>2</v>
      </c>
      <c r="K163" s="1" t="s">
        <v>564</v>
      </c>
    </row>
    <row r="164" spans="1:11" x14ac:dyDescent="0.2">
      <c r="A164" s="9">
        <v>45448</v>
      </c>
      <c r="B164" s="1" t="s">
        <v>19</v>
      </c>
      <c r="C164" s="1" t="s">
        <v>1337</v>
      </c>
      <c r="D164" s="4">
        <f>zinszahlungen[[#This Row],[Coupon]]/zinszahlungen[[#This Row],[Zinszahlungen pro Jahr]]*zinszahlungen[[#This Row],[Anteile]]*zinszahlungen[[#This Row],[Stückelung]]/zinszahlungen[[#This Row],[Wechselkurs]]</f>
        <v>81.57169117647058</v>
      </c>
      <c r="E164" s="1">
        <v>1.0880000000000001</v>
      </c>
      <c r="F164" s="1" t="s">
        <v>887</v>
      </c>
      <c r="G164" s="1">
        <v>2</v>
      </c>
      <c r="H164" s="1">
        <v>1000</v>
      </c>
      <c r="I164" s="7">
        <v>8.8749999999999996E-2</v>
      </c>
      <c r="J164" s="1">
        <v>2</v>
      </c>
      <c r="K164" s="1" t="s">
        <v>1338</v>
      </c>
    </row>
    <row r="165" spans="1:11" x14ac:dyDescent="0.2">
      <c r="A165" s="9">
        <v>45448</v>
      </c>
      <c r="B165" s="1" t="s">
        <v>19</v>
      </c>
      <c r="C165" s="1" t="s">
        <v>1250</v>
      </c>
      <c r="D165" s="4">
        <f>zinszahlungen[[#This Row],[Coupon]]/zinszahlungen[[#This Row],[Zinszahlungen pro Jahr]]*zinszahlungen[[#This Row],[Anteile]]*zinszahlungen[[#This Row],[Stückelung]]/zinszahlungen[[#This Row],[Wechselkurs]]</f>
        <v>85.018382352941174</v>
      </c>
      <c r="E165" s="1">
        <v>1.0880000000000001</v>
      </c>
      <c r="F165" s="1" t="s">
        <v>887</v>
      </c>
      <c r="G165" s="1">
        <v>2</v>
      </c>
      <c r="H165" s="1">
        <v>1000</v>
      </c>
      <c r="I165" s="7">
        <v>9.2499999999999999E-2</v>
      </c>
      <c r="J165" s="1">
        <v>2</v>
      </c>
      <c r="K165" s="1" t="s">
        <v>1267</v>
      </c>
    </row>
    <row r="166" spans="1:11" x14ac:dyDescent="0.2">
      <c r="A166" s="9">
        <v>45449</v>
      </c>
      <c r="B166" s="1" t="s">
        <v>19</v>
      </c>
      <c r="C166" s="1" t="s">
        <v>1193</v>
      </c>
      <c r="D166" s="4">
        <f>zinszahlungen[[#This Row],[Coupon]]/zinszahlungen[[#This Row],[Zinszahlungen pro Jahr]]*zinszahlungen[[#This Row],[Anteile]]*zinszahlungen[[#This Row],[Stückelung]]/zinszahlungen[[#This Row],[Wechselkurs]]</f>
        <v>87.227986410797911</v>
      </c>
      <c r="E166" s="1">
        <v>1.0891</v>
      </c>
      <c r="F166" s="1" t="s">
        <v>887</v>
      </c>
      <c r="G166" s="1">
        <v>2</v>
      </c>
      <c r="H166" s="1">
        <v>1000</v>
      </c>
      <c r="I166" s="7">
        <v>9.5000000000000001E-2</v>
      </c>
      <c r="J166" s="1">
        <v>2</v>
      </c>
      <c r="K166" s="1" t="s">
        <v>1194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D2D32-39DE-4B5F-8CAB-E11F97421606}">
  <sheetPr codeName="Sheet3"/>
  <dimension ref="A1:AQ511"/>
  <sheetViews>
    <sheetView workbookViewId="0">
      <selection sqref="A1:AB511"/>
    </sheetView>
  </sheetViews>
  <sheetFormatPr defaultColWidth="9.140625" defaultRowHeight="14.25" x14ac:dyDescent="0.2"/>
  <cols>
    <col min="1" max="1" width="68.42578125" style="1" bestFit="1" customWidth="1"/>
    <col min="2" max="2" width="31.5703125" style="1" bestFit="1" customWidth="1"/>
    <col min="3" max="3" width="11.28515625" style="7" bestFit="1" customWidth="1"/>
    <col min="4" max="4" width="17.85546875" style="7" bestFit="1" customWidth="1"/>
    <col min="5" max="5" width="17.42578125" style="6" bestFit="1" customWidth="1"/>
    <col min="6" max="6" width="17.42578125" style="8" bestFit="1" customWidth="1"/>
    <col min="7" max="7" width="30.85546875" style="8" bestFit="1" customWidth="1"/>
    <col min="8" max="8" width="22.7109375" style="8" bestFit="1" customWidth="1"/>
    <col min="9" max="9" width="35" style="8" bestFit="1" customWidth="1"/>
    <col min="10" max="10" width="11.28515625" style="7" bestFit="1" customWidth="1"/>
    <col min="11" max="11" width="19" style="8" bestFit="1" customWidth="1"/>
    <col min="12" max="12" width="14.5703125" style="4" bestFit="1" customWidth="1"/>
    <col min="13" max="13" width="12.42578125" style="4" bestFit="1" customWidth="1"/>
    <col min="14" max="14" width="28.7109375" style="4" bestFit="1" customWidth="1"/>
    <col min="15" max="15" width="26.28515625" style="7" bestFit="1" customWidth="1"/>
    <col min="16" max="16" width="12.28515625" style="1" bestFit="1" customWidth="1"/>
    <col min="17" max="17" width="14.140625" style="1" bestFit="1" customWidth="1"/>
    <col min="18" max="18" width="10.28515625" style="1" bestFit="1" customWidth="1"/>
    <col min="19" max="19" width="14.7109375" style="1" bestFit="1" customWidth="1"/>
    <col min="20" max="20" width="22.7109375" style="1" bestFit="1" customWidth="1"/>
    <col min="21" max="21" width="27.42578125" style="1" bestFit="1" customWidth="1"/>
    <col min="22" max="22" width="17.28515625" style="4" bestFit="1" customWidth="1"/>
    <col min="23" max="23" width="29.5703125" style="4" bestFit="1" customWidth="1"/>
    <col min="24" max="24" width="28.42578125" style="1" bestFit="1" customWidth="1"/>
    <col min="25" max="25" width="16.5703125" style="1" bestFit="1" customWidth="1"/>
    <col min="26" max="26" width="18.140625" style="1" bestFit="1" customWidth="1"/>
    <col min="27" max="27" width="81.140625" style="1" bestFit="1" customWidth="1"/>
    <col min="28" max="30" width="18.140625" style="1" bestFit="1" customWidth="1"/>
    <col min="31" max="31" width="81.140625" style="1" bestFit="1" customWidth="1"/>
    <col min="32" max="32" width="15.85546875" style="9" bestFit="1" customWidth="1"/>
    <col min="33" max="33" width="22.7109375" style="1" bestFit="1" customWidth="1"/>
    <col min="34" max="34" width="25.7109375" style="1" bestFit="1" customWidth="1"/>
    <col min="35" max="35" width="25" style="1" bestFit="1" customWidth="1"/>
    <col min="36" max="36" width="15.85546875" style="3" bestFit="1" customWidth="1"/>
    <col min="37" max="37" width="13.42578125" style="1" customWidth="1"/>
    <col min="38" max="38" width="11.28515625" style="1" bestFit="1" customWidth="1"/>
    <col min="39" max="39" width="15.7109375" style="1" bestFit="1" customWidth="1"/>
    <col min="40" max="40" width="3.85546875" style="10" bestFit="1" customWidth="1"/>
    <col min="41" max="41" width="13" style="1" bestFit="1" customWidth="1"/>
    <col min="42" max="42" width="11.140625" style="1" customWidth="1"/>
    <col min="43" max="43" width="11.140625" style="7" bestFit="1" customWidth="1"/>
    <col min="44" max="16384" width="9.140625" style="1"/>
  </cols>
  <sheetData>
    <row r="1" spans="1:43" x14ac:dyDescent="0.2">
      <c r="A1" s="1" t="s">
        <v>22</v>
      </c>
      <c r="B1" s="1" t="s">
        <v>24</v>
      </c>
      <c r="C1" s="7" t="s">
        <v>23</v>
      </c>
      <c r="D1" s="7" t="s">
        <v>162</v>
      </c>
      <c r="E1" s="7" t="s">
        <v>163</v>
      </c>
      <c r="F1" s="8" t="s">
        <v>166</v>
      </c>
      <c r="G1" s="31" t="s">
        <v>882</v>
      </c>
      <c r="H1" s="31" t="s">
        <v>922</v>
      </c>
      <c r="I1" s="31" t="s">
        <v>911</v>
      </c>
      <c r="J1" s="7" t="s">
        <v>167</v>
      </c>
      <c r="K1" s="31" t="s">
        <v>906</v>
      </c>
      <c r="L1" s="4" t="s">
        <v>160</v>
      </c>
      <c r="M1" s="7" t="s">
        <v>27</v>
      </c>
      <c r="N1" s="1" t="s">
        <v>926</v>
      </c>
      <c r="O1" s="1" t="s">
        <v>928</v>
      </c>
      <c r="P1" s="1" t="s">
        <v>886</v>
      </c>
      <c r="Q1" s="9" t="s">
        <v>159</v>
      </c>
      <c r="R1" s="1" t="s">
        <v>25</v>
      </c>
      <c r="S1" s="1" t="s">
        <v>26</v>
      </c>
      <c r="T1" s="1" t="s">
        <v>165</v>
      </c>
      <c r="U1" s="1" t="s">
        <v>28</v>
      </c>
      <c r="V1" s="4" t="s">
        <v>161</v>
      </c>
      <c r="W1" s="4" t="s">
        <v>935</v>
      </c>
      <c r="X1" s="1" t="s">
        <v>30</v>
      </c>
      <c r="Y1" s="1" t="s">
        <v>31</v>
      </c>
      <c r="Z1" s="1" t="s">
        <v>32</v>
      </c>
      <c r="AA1" s="1" t="s">
        <v>33</v>
      </c>
      <c r="AB1" s="3" t="s">
        <v>936</v>
      </c>
      <c r="AC1" s="9">
        <v>45450</v>
      </c>
      <c r="AF1" s="1"/>
      <c r="AJ1" s="1"/>
      <c r="AN1" s="1"/>
      <c r="AQ1" s="1"/>
    </row>
    <row r="2" spans="1:43" x14ac:dyDescent="0.2">
      <c r="A2" s="1" t="s">
        <v>126</v>
      </c>
      <c r="B2" s="1" t="s">
        <v>0</v>
      </c>
      <c r="C2" s="7">
        <v>0.12</v>
      </c>
      <c r="E2" s="7">
        <f>aktuelleAnleihen[[#This Row],[Aktueller Kurs]]-aktuelleAnleihen[[#This Row],[Kaufkurs]]</f>
        <v>-0.99</v>
      </c>
      <c r="F2" s="8">
        <f>aktuelleAnleihen[[#This Row],[Stückelung]]*aktuelleAnleihen[[#This Row],[Aktueller Kurs]]*aktuelleAnleihen[[#This Row],[Anteile]]/aktuelleAnleihen[[#This Row],[Aktueller Wechselkurs]]+aktuelleAnleihen[[#This Row],[Stückzinsen]]</f>
        <v>45.369863013698627</v>
      </c>
      <c r="G2" s="8">
        <f>aktuelleAnleihen[[#This Row],[Kursdifferenz]]*aktuelleAnleihen[[#This Row],[Anteile]]*aktuelleAnleihen[[#This Row],[Stückelung]]/aktuelleAnleihen[[#This Row],[Wechselkurs am Kauftag]]</f>
        <v>-1980</v>
      </c>
      <c r="H2" s="8">
        <f>aktuelleAnleihen[[#This Row],[Stückzinsen]]-aktuelleAnleihen[[#This Row],[Stückzinsen am Kauftag]]+aktuelleAnleihen[[#This Row],[Zinszahlungen]]</f>
        <v>47.506863013698627</v>
      </c>
      <c r="I2" s="8">
        <f>aktuelleAnleihen[[#This Row],[Gewinn gesamt]]-aktuelleAnleihen[[#This Row],[Gewinn aus Kursänderung]]-aktuelleAnleihen[[#This Row],[Gewinn aus Zinsen]]</f>
        <v>0</v>
      </c>
      <c r="J2" s="7">
        <f>aktuelleAnleihen[[#This Row],[Gewinn gesamt]]/aktuelleAnleihen[[#This Row],[Kaufpreis]]</f>
        <v>-0.94829394173519088</v>
      </c>
      <c r="K2" s="3">
        <f>aktuelleAnleihen[[#This Row],[Verkaufspreis]]-aktuelleAnleihen[[#This Row],[Kaufpreis]]+aktuelleAnleihen[[#This Row],[Zinszahlungen]]</f>
        <v>-1932.4931369863014</v>
      </c>
      <c r="L2" s="4">
        <v>2037.8630000000001</v>
      </c>
      <c r="M2" s="7">
        <v>0.99</v>
      </c>
      <c r="N2" s="61">
        <v>1</v>
      </c>
      <c r="O2" s="1">
        <v>1</v>
      </c>
      <c r="P2" s="1" t="s">
        <v>925</v>
      </c>
      <c r="Q2" s="30">
        <v>45378</v>
      </c>
      <c r="R2" s="1">
        <v>2000</v>
      </c>
      <c r="S2" s="1">
        <v>1</v>
      </c>
      <c r="T2" s="9">
        <v>45381</v>
      </c>
      <c r="U2" s="1">
        <v>4</v>
      </c>
      <c r="V2" s="62">
        <f>aktuelleAnleihen[[#This Row],[Stückelung]]*aktuelleAnleihen[[#This Row],[Anteile]]*aktuelleAnleihen[[#This Row],[Coupon]]/aktuelleAnleihen[[#This Row],[Aktueller Wechselkurs]]*($AC$1-aktuelleAnleihen[[#This Row],[Letzte Zinszahlung]])/365</f>
        <v>45.369863013698627</v>
      </c>
      <c r="W2" s="4">
        <v>57.863</v>
      </c>
      <c r="X2" s="120" t="s">
        <v>65</v>
      </c>
      <c r="Y2" s="120" t="s">
        <v>39</v>
      </c>
      <c r="Z2" s="1" t="s">
        <v>127</v>
      </c>
      <c r="AA2" s="151" t="s">
        <v>128</v>
      </c>
      <c r="AB2" s="3">
        <f>SUMIF('Zinszahlungen Anleihen'!K:K,aktuelleAnleihen[[#This Row],[ISIN]],'Zinszahlungen Anleihen'!D:D)</f>
        <v>60</v>
      </c>
      <c r="AE2" s="10"/>
      <c r="AF2" s="1"/>
      <c r="AJ2" s="1"/>
      <c r="AN2" s="1"/>
      <c r="AQ2" s="1"/>
    </row>
    <row r="3" spans="1:43" x14ac:dyDescent="0.2">
      <c r="A3" s="1" t="s">
        <v>101</v>
      </c>
      <c r="B3" s="1" t="s">
        <v>0</v>
      </c>
      <c r="C3" s="7">
        <v>0.10502</v>
      </c>
      <c r="D3" s="7">
        <v>0.58430000000000004</v>
      </c>
      <c r="E3" s="7">
        <f>aktuelleAnleihen[[#This Row],[Aktueller Kurs]]-aktuelleAnleihen[[#This Row],[Kaufkurs]]</f>
        <v>-0.26349999999999996</v>
      </c>
      <c r="F3" s="8">
        <f>aktuelleAnleihen[[#This Row],[Stückelung]]*aktuelleAnleihen[[#This Row],[Aktueller Kurs]]*aktuelleAnleihen[[#This Row],[Anteile]]/aktuelleAnleihen[[#This Row],[Aktueller Wechselkurs]]+aktuelleAnleihen[[#This Row],[Stückzinsen]]</f>
        <v>1181.835397260274</v>
      </c>
      <c r="G3" s="8">
        <f>aktuelleAnleihen[[#This Row],[Kursdifferenz]]*aktuelleAnleihen[[#This Row],[Anteile]]*aktuelleAnleihen[[#This Row],[Stückelung]]/aktuelleAnleihen[[#This Row],[Wechselkurs am Kauftag]]</f>
        <v>-526.99999999999989</v>
      </c>
      <c r="H3" s="8">
        <f>aktuelleAnleihen[[#This Row],[Stückzinsen]]-aktuelleAnleihen[[#This Row],[Stückzinsen am Kauftag]]+aktuelleAnleihen[[#This Row],[Zinszahlungen]]</f>
        <v>42.151897260273969</v>
      </c>
      <c r="I3" s="8">
        <f>aktuelleAnleihen[[#This Row],[Gewinn gesamt]]-aktuelleAnleihen[[#This Row],[Gewinn aus Kursänderung]]-aktuelleAnleihen[[#This Row],[Gewinn aus Zinsen]]</f>
        <v>-1.5631940186722204E-13</v>
      </c>
      <c r="J3" s="7">
        <f>aktuelleAnleihen[[#This Row],[Gewinn gesamt]]/aktuelleAnleihen[[#This Row],[Kaufpreis]]</f>
        <v>-0.28202067000586384</v>
      </c>
      <c r="K3" s="3">
        <f>aktuelleAnleihen[[#This Row],[Verkaufspreis]]-aktuelleAnleihen[[#This Row],[Kaufpreis]]+aktuelleAnleihen[[#This Row],[Zinszahlungen]]</f>
        <v>-484.84810273972607</v>
      </c>
      <c r="L3" s="4">
        <v>1719.1935000000001</v>
      </c>
      <c r="M3" s="7">
        <v>0.8478</v>
      </c>
      <c r="N3" s="61">
        <v>1</v>
      </c>
      <c r="O3" s="1">
        <v>1</v>
      </c>
      <c r="P3" s="1" t="s">
        <v>925</v>
      </c>
      <c r="Q3" s="30">
        <v>45378</v>
      </c>
      <c r="R3" s="1">
        <v>2</v>
      </c>
      <c r="S3" s="1">
        <v>1000</v>
      </c>
      <c r="T3" s="9">
        <v>45427</v>
      </c>
      <c r="U3" s="1">
        <v>4</v>
      </c>
      <c r="V3" s="62">
        <f>aktuelleAnleihen[[#This Row],[Stückelung]]*aktuelleAnleihen[[#This Row],[Anteile]]*aktuelleAnleihen[[#This Row],[Coupon]]/aktuelleAnleihen[[#This Row],[Aktueller Wechselkurs]]*($AC$1-aktuelleAnleihen[[#This Row],[Letzte Zinszahlung]])/365</f>
        <v>13.235397260273972</v>
      </c>
      <c r="W3" s="4">
        <v>23.593499999999999</v>
      </c>
      <c r="X3" s="120" t="s">
        <v>102</v>
      </c>
      <c r="Y3" s="120" t="s">
        <v>57</v>
      </c>
      <c r="Z3" s="1" t="s">
        <v>103</v>
      </c>
      <c r="AA3" s="1" t="s">
        <v>104</v>
      </c>
      <c r="AB3" s="3">
        <f>SUMIF('Zinszahlungen Anleihen'!K:K,aktuelleAnleihen[[#This Row],[ISIN]],'Zinszahlungen Anleihen'!D:D)</f>
        <v>52.51</v>
      </c>
      <c r="AE3" s="10"/>
      <c r="AF3" s="1"/>
      <c r="AJ3" s="1"/>
      <c r="AN3" s="1"/>
      <c r="AQ3" s="1"/>
    </row>
    <row r="4" spans="1:43" x14ac:dyDescent="0.2">
      <c r="A4" s="1" t="s">
        <v>179</v>
      </c>
      <c r="B4" s="1" t="s">
        <v>7</v>
      </c>
      <c r="C4" s="7">
        <v>0.12</v>
      </c>
      <c r="D4" s="7">
        <v>0.8</v>
      </c>
      <c r="E4" s="7">
        <f>aktuelleAnleihen[[#This Row],[Aktueller Kurs]]-aktuelleAnleihen[[#This Row],[Kaufkurs]]</f>
        <v>-0.19999999999999996</v>
      </c>
      <c r="F4" s="8">
        <f>aktuelleAnleihen[[#This Row],[Stückelung]]*aktuelleAnleihen[[#This Row],[Aktueller Kurs]]*aktuelleAnleihen[[#This Row],[Anteile]]/aktuelleAnleihen[[#This Row],[Aktueller Wechselkurs]]+aktuelleAnleihen[[#This Row],[Stückzinsen]]</f>
        <v>1641.4246575342465</v>
      </c>
      <c r="G4" s="8">
        <f>aktuelleAnleihen[[#This Row],[Kursdifferenz]]*aktuelleAnleihen[[#This Row],[Anteile]]*aktuelleAnleihen[[#This Row],[Stückelung]]/aktuelleAnleihen[[#This Row],[Wechselkurs am Kauftag]]</f>
        <v>-399.99999999999989</v>
      </c>
      <c r="H4" s="8">
        <f>aktuelleAnleihen[[#This Row],[Stückzinsen]]-aktuelleAnleihen[[#This Row],[Stückzinsen am Kauftag]]+aktuelleAnleihen[[#This Row],[Zinszahlungen]]</f>
        <v>42.410957534246577</v>
      </c>
      <c r="I4" s="8">
        <f>aktuelleAnleihen[[#This Row],[Gewinn gesamt]]-aktuelleAnleihen[[#This Row],[Gewinn aus Kursänderung]]-aktuelleAnleihen[[#This Row],[Gewinn aus Zinsen]]</f>
        <v>-1.2789769243681803E-13</v>
      </c>
      <c r="J4" s="7">
        <f>aktuelleAnleihen[[#This Row],[Gewinn gesamt]]/aktuelleAnleihen[[#This Row],[Kaufpreis]]</f>
        <v>-0.16875258638759788</v>
      </c>
      <c r="K4" s="3">
        <f>aktuelleAnleihen[[#This Row],[Verkaufspreis]]-aktuelleAnleihen[[#This Row],[Kaufpreis]]+aktuelleAnleihen[[#This Row],[Zinszahlungen]]</f>
        <v>-357.58904246575344</v>
      </c>
      <c r="L4" s="4">
        <v>2119.0137</v>
      </c>
      <c r="M4" s="7">
        <v>1</v>
      </c>
      <c r="N4" s="61">
        <v>1</v>
      </c>
      <c r="O4" s="1">
        <v>1</v>
      </c>
      <c r="P4" s="1" t="s">
        <v>925</v>
      </c>
      <c r="Q4" s="30">
        <v>45385</v>
      </c>
      <c r="R4" s="1">
        <v>2</v>
      </c>
      <c r="S4" s="1">
        <v>1000</v>
      </c>
      <c r="T4" s="9">
        <v>45387</v>
      </c>
      <c r="U4" s="1">
        <v>2</v>
      </c>
      <c r="V4" s="62">
        <f>aktuelleAnleihen[[#This Row],[Stückelung]]*aktuelleAnleihen[[#This Row],[Anteile]]*aktuelleAnleihen[[#This Row],[Coupon]]/aktuelleAnleihen[[#This Row],[Aktueller Wechselkurs]]*($AC$1-aktuelleAnleihen[[#This Row],[Letzte Zinszahlung]])/365</f>
        <v>41.424657534246577</v>
      </c>
      <c r="W4" s="4">
        <v>119.0137</v>
      </c>
      <c r="X4" s="120" t="s">
        <v>56</v>
      </c>
      <c r="Y4" s="120" t="s">
        <v>39</v>
      </c>
      <c r="Z4" s="1" t="s">
        <v>180</v>
      </c>
      <c r="AA4" s="151" t="s">
        <v>181</v>
      </c>
      <c r="AB4" s="3">
        <f>SUMIF('Zinszahlungen Anleihen'!K:K,aktuelleAnleihen[[#This Row],[ISIN]],'Zinszahlungen Anleihen'!D:D)</f>
        <v>120</v>
      </c>
      <c r="AE4" s="10"/>
      <c r="AF4" s="1"/>
      <c r="AJ4" s="1"/>
      <c r="AN4" s="1"/>
      <c r="AQ4" s="1"/>
    </row>
    <row r="5" spans="1:43" x14ac:dyDescent="0.2">
      <c r="A5" s="1" t="s">
        <v>305</v>
      </c>
      <c r="B5" s="1" t="s">
        <v>5</v>
      </c>
      <c r="C5" s="7">
        <v>9.1899999999999996E-2</v>
      </c>
      <c r="D5" s="7">
        <v>0.80790000000000006</v>
      </c>
      <c r="E5" s="7">
        <f>aktuelleAnleihen[[#This Row],[Aktueller Kurs]]-aktuelleAnleihen[[#This Row],[Kaufkurs]]</f>
        <v>-0.18599999999999994</v>
      </c>
      <c r="F5" s="8">
        <f>aktuelleAnleihen[[#This Row],[Stückelung]]*aktuelleAnleihen[[#This Row],[Aktueller Kurs]]*aktuelleAnleihen[[#This Row],[Anteile]]/aktuelleAnleihen[[#This Row],[Aktueller Wechselkurs]]+aktuelleAnleihen[[#This Row],[Stückzinsen]]</f>
        <v>1658.0991780821919</v>
      </c>
      <c r="G5" s="8">
        <f>aktuelleAnleihen[[#This Row],[Kursdifferenz]]*aktuelleAnleihen[[#This Row],[Anteile]]*aktuelleAnleihen[[#This Row],[Stückelung]]/aktuelleAnleihen[[#This Row],[Wechselkurs am Kauftag]]</f>
        <v>-371.99999999999989</v>
      </c>
      <c r="H5" s="8">
        <f>aktuelleAnleihen[[#This Row],[Stückzinsen]]-aktuelleAnleihen[[#This Row],[Stückzinsen am Kauftag]]+aktuelleAnleihen[[#This Row],[Zinszahlungen]]</f>
        <v>32.731478082191778</v>
      </c>
      <c r="I5" s="8">
        <f>aktuelleAnleihen[[#This Row],[Gewinn gesamt]]-aktuelleAnleihen[[#This Row],[Gewinn aus Kursänderung]]-aktuelleAnleihen[[#This Row],[Gewinn aus Zinsen]]</f>
        <v>0</v>
      </c>
      <c r="J5" s="7">
        <f>aktuelleAnleihen[[#This Row],[Gewinn gesamt]]/aktuelleAnleihen[[#This Row],[Kaufpreis]]</f>
        <v>-0.16985781932781235</v>
      </c>
      <c r="K5" s="3">
        <f>aktuelleAnleihen[[#This Row],[Verkaufspreis]]-aktuelleAnleihen[[#This Row],[Kaufpreis]]+aktuelleAnleihen[[#This Row],[Zinszahlungen]]</f>
        <v>-339.26852191780813</v>
      </c>
      <c r="L5" s="4">
        <v>1997.3677</v>
      </c>
      <c r="M5" s="7">
        <v>0.99390000000000001</v>
      </c>
      <c r="N5" s="61">
        <v>1</v>
      </c>
      <c r="O5" s="1">
        <v>1</v>
      </c>
      <c r="P5" s="1" t="s">
        <v>925</v>
      </c>
      <c r="Q5" s="30">
        <v>45385</v>
      </c>
      <c r="R5" s="1">
        <v>2</v>
      </c>
      <c r="S5" s="1">
        <v>1000</v>
      </c>
      <c r="T5" s="9">
        <v>45366</v>
      </c>
      <c r="U5" s="1">
        <v>4</v>
      </c>
      <c r="V5" s="62">
        <f>aktuelleAnleihen[[#This Row],[Stückelung]]*aktuelleAnleihen[[#This Row],[Anteile]]*aktuelleAnleihen[[#This Row],[Coupon]]/aktuelleAnleihen[[#This Row],[Aktueller Wechselkurs]]*($AC$1-aktuelleAnleihen[[#This Row],[Letzte Zinszahlung]])/365</f>
        <v>42.29917808219178</v>
      </c>
      <c r="W5" s="4">
        <v>9.5677000000000003</v>
      </c>
      <c r="X5" s="120" t="s">
        <v>98</v>
      </c>
      <c r="Y5" s="120" t="s">
        <v>39</v>
      </c>
      <c r="Z5" s="1" t="s">
        <v>306</v>
      </c>
      <c r="AA5" s="151" t="s">
        <v>307</v>
      </c>
      <c r="AB5" s="3">
        <f>SUMIF('Zinszahlungen Anleihen'!K:K,aktuelleAnleihen[[#This Row],[ISIN]],'Zinszahlungen Anleihen'!D:D)</f>
        <v>0</v>
      </c>
      <c r="AE5" s="10"/>
      <c r="AF5" s="1"/>
      <c r="AJ5" s="1"/>
      <c r="AN5" s="1"/>
      <c r="AQ5" s="1"/>
    </row>
    <row r="6" spans="1:43" x14ac:dyDescent="0.2">
      <c r="A6" s="1" t="s">
        <v>191</v>
      </c>
      <c r="B6" s="1" t="s">
        <v>0</v>
      </c>
      <c r="C6" s="7">
        <v>0.11</v>
      </c>
      <c r="D6" s="7">
        <v>0.34289999999999998</v>
      </c>
      <c r="E6" s="7">
        <f>aktuelleAnleihen[[#This Row],[Aktueller Kurs]]-aktuelleAnleihen[[#This Row],[Kaufkurs]]</f>
        <v>-0.17390000000000005</v>
      </c>
      <c r="F6" s="8">
        <f>aktuelleAnleihen[[#This Row],[Stückelung]]*aktuelleAnleihen[[#This Row],[Aktueller Kurs]]*aktuelleAnleihen[[#This Row],[Anteile]]/aktuelleAnleihen[[#This Row],[Aktueller Wechselkurs]]+aktuelleAnleihen[[#This Row],[Stückzinsen]]</f>
        <v>727.38904109589032</v>
      </c>
      <c r="G6" s="8">
        <f>aktuelleAnleihen[[#This Row],[Kursdifferenz]]*aktuelleAnleihen[[#This Row],[Anteile]]*aktuelleAnleihen[[#This Row],[Stückelung]]/aktuelleAnleihen[[#This Row],[Wechselkurs am Kauftag]]</f>
        <v>-347.80000000000013</v>
      </c>
      <c r="H6" s="8">
        <f>aktuelleAnleihen[[#This Row],[Stückzinsen]]-aktuelleAnleihen[[#This Row],[Stückzinsen am Kauftag]]+aktuelleAnleihen[[#This Row],[Zinszahlungen]]</f>
        <v>39.178041095890407</v>
      </c>
      <c r="I6" s="8">
        <f>aktuelleAnleihen[[#This Row],[Gewinn gesamt]]-aktuelleAnleihen[[#This Row],[Gewinn aus Kursänderung]]-aktuelleAnleihen[[#This Row],[Gewinn aus Zinsen]]</f>
        <v>7.1054273576010019E-14</v>
      </c>
      <c r="J6" s="7">
        <f>aktuelleAnleihen[[#This Row],[Gewinn gesamt]]/aktuelleAnleihen[[#This Row],[Kaufpreis]]</f>
        <v>-0.29789448075754954</v>
      </c>
      <c r="K6" s="3">
        <f>aktuelleAnleihen[[#This Row],[Verkaufspreis]]-aktuelleAnleihen[[#This Row],[Kaufpreis]]+aktuelleAnleihen[[#This Row],[Zinszahlungen]]</f>
        <v>-308.62195890410965</v>
      </c>
      <c r="L6" s="4">
        <v>1036.011</v>
      </c>
      <c r="M6" s="7">
        <v>0.51680000000000004</v>
      </c>
      <c r="N6" s="61">
        <v>1</v>
      </c>
      <c r="O6" s="1">
        <v>1</v>
      </c>
      <c r="P6" s="1" t="s">
        <v>925</v>
      </c>
      <c r="Q6" s="30">
        <v>45385</v>
      </c>
      <c r="R6" s="1">
        <v>2</v>
      </c>
      <c r="S6" s="1">
        <v>1000</v>
      </c>
      <c r="T6" s="9">
        <v>45381</v>
      </c>
      <c r="U6" s="1">
        <v>2</v>
      </c>
      <c r="V6" s="62">
        <f>aktuelleAnleihen[[#This Row],[Stückelung]]*aktuelleAnleihen[[#This Row],[Anteile]]*aktuelleAnleihen[[#This Row],[Coupon]]/aktuelleAnleihen[[#This Row],[Aktueller Wechselkurs]]*($AC$1-aktuelleAnleihen[[#This Row],[Letzte Zinszahlung]])/365</f>
        <v>41.589041095890408</v>
      </c>
      <c r="W6" s="4">
        <v>2.411</v>
      </c>
      <c r="X6" s="120" t="s">
        <v>35</v>
      </c>
      <c r="Y6" s="120" t="s">
        <v>39</v>
      </c>
      <c r="Z6" s="1" t="s">
        <v>192</v>
      </c>
      <c r="AA6" s="1" t="s">
        <v>193</v>
      </c>
      <c r="AB6" s="3">
        <f>SUMIF('Zinszahlungen Anleihen'!K:K,aktuelleAnleihen[[#This Row],[ISIN]],'Zinszahlungen Anleihen'!D:D)</f>
        <v>0</v>
      </c>
      <c r="AE6" s="10"/>
      <c r="AF6" s="1"/>
      <c r="AJ6" s="1"/>
      <c r="AN6" s="1"/>
      <c r="AQ6" s="1"/>
    </row>
    <row r="7" spans="1:43" x14ac:dyDescent="0.2">
      <c r="A7" s="1" t="s">
        <v>90</v>
      </c>
      <c r="B7" s="1" t="s">
        <v>0</v>
      </c>
      <c r="C7" s="7">
        <v>9.6509999999999999E-2</v>
      </c>
      <c r="D7" s="7">
        <v>0.55559999999999998</v>
      </c>
      <c r="E7" s="7">
        <f>aktuelleAnleihen[[#This Row],[Aktueller Kurs]]-aktuelleAnleihen[[#This Row],[Kaufkurs]]</f>
        <v>-0.11309999999999998</v>
      </c>
      <c r="F7" s="8">
        <f>aktuelleAnleihen[[#This Row],[Stückelung]]*aktuelleAnleihen[[#This Row],[Aktueller Kurs]]*aktuelleAnleihen[[#This Row],[Anteile]]/aktuelleAnleihen[[#This Row],[Aktueller Wechselkurs]]+aktuelleAnleihen[[#This Row],[Stückzinsen]]</f>
        <v>1123.3629041095892</v>
      </c>
      <c r="G7" s="8">
        <f>aktuelleAnleihen[[#This Row],[Kursdifferenz]]*aktuelleAnleihen[[#This Row],[Anteile]]*aktuelleAnleihen[[#This Row],[Stückelung]]/aktuelleAnleihen[[#This Row],[Wechselkurs am Kauftag]]</f>
        <v>-226.19999999999996</v>
      </c>
      <c r="H7" s="8">
        <f>aktuelleAnleihen[[#This Row],[Stückzinsen]]-aktuelleAnleihen[[#This Row],[Stückzinsen am Kauftag]]+aktuelleAnleihen[[#This Row],[Zinszahlungen]]</f>
        <v>38.736204109589046</v>
      </c>
      <c r="I7" s="8">
        <f>aktuelleAnleihen[[#This Row],[Gewinn gesamt]]-aktuelleAnleihen[[#This Row],[Gewinn aus Kursänderung]]-aktuelleAnleihen[[#This Row],[Gewinn aus Zinsen]]</f>
        <v>1.3500311979441904E-13</v>
      </c>
      <c r="J7" s="7">
        <f>aktuelleAnleihen[[#This Row],[Gewinn gesamt]]/aktuelleAnleihen[[#This Row],[Kaufpreis]]</f>
        <v>-0.13793416237626538</v>
      </c>
      <c r="K7" s="3">
        <f>aktuelleAnleihen[[#This Row],[Verkaufspreis]]-aktuelleAnleihen[[#This Row],[Kaufpreis]]+aktuelleAnleihen[[#This Row],[Zinszahlungen]]</f>
        <v>-187.46379589041078</v>
      </c>
      <c r="L7" s="4">
        <v>1359.0817</v>
      </c>
      <c r="M7" s="7">
        <v>0.66869999999999996</v>
      </c>
      <c r="N7" s="61">
        <v>1</v>
      </c>
      <c r="O7" s="1">
        <v>1</v>
      </c>
      <c r="P7" s="1" t="s">
        <v>925</v>
      </c>
      <c r="Q7" s="30">
        <v>45378</v>
      </c>
      <c r="R7" s="1">
        <v>2</v>
      </c>
      <c r="S7" s="1">
        <v>1000</v>
      </c>
      <c r="T7" s="9">
        <v>45427</v>
      </c>
      <c r="U7" s="1">
        <v>4</v>
      </c>
      <c r="V7" s="62">
        <f>aktuelleAnleihen[[#This Row],[Stückelung]]*aktuelleAnleihen[[#This Row],[Anteile]]*aktuelleAnleihen[[#This Row],[Coupon]]/aktuelleAnleihen[[#This Row],[Aktueller Wechselkurs]]*($AC$1-aktuelleAnleihen[[#This Row],[Letzte Zinszahlung]])/365</f>
        <v>12.162904109589041</v>
      </c>
      <c r="W7" s="4">
        <v>21.681699999999999</v>
      </c>
      <c r="X7" s="120" t="s">
        <v>35</v>
      </c>
      <c r="Y7" s="120" t="s">
        <v>91</v>
      </c>
      <c r="Z7" s="1" t="s">
        <v>92</v>
      </c>
      <c r="AA7" s="1" t="s">
        <v>93</v>
      </c>
      <c r="AB7" s="3">
        <f>SUMIF('Zinszahlungen Anleihen'!K:K,aktuelleAnleihen[[#This Row],[ISIN]],'Zinszahlungen Anleihen'!D:D)</f>
        <v>48.255000000000003</v>
      </c>
      <c r="AE7" s="10"/>
      <c r="AF7" s="1"/>
      <c r="AJ7" s="1"/>
      <c r="AN7" s="1"/>
      <c r="AQ7" s="1"/>
    </row>
    <row r="8" spans="1:43" x14ac:dyDescent="0.2">
      <c r="A8" s="1" t="s">
        <v>1109</v>
      </c>
      <c r="B8" s="1" t="s">
        <v>1</v>
      </c>
      <c r="C8" s="7">
        <v>9.9500000000000005E-2</v>
      </c>
      <c r="D8" s="7">
        <v>1.2304999999999999</v>
      </c>
      <c r="E8" s="7">
        <f>aktuelleAnleihen[[#This Row],[Aktueller Kurs]]-aktuelleAnleihen[[#This Row],[Kaufkurs]]</f>
        <v>-0.11750000000000016</v>
      </c>
      <c r="F8" s="8">
        <f>aktuelleAnleihen[[#This Row],[Stückelung]]*aktuelleAnleihen[[#This Row],[Aktueller Kurs]]*aktuelleAnleihen[[#This Row],[Anteile]]/aktuelleAnleihen[[#This Row],[Aktueller Wechselkurs]]+aktuelleAnleihen[[#This Row],[Stückzinsen]]</f>
        <v>2273.6807946236872</v>
      </c>
      <c r="G8" s="8">
        <f>aktuelleAnleihen[[#This Row],[Kursdifferenz]]*aktuelleAnleihen[[#This Row],[Anteile]]*aktuelleAnleihen[[#This Row],[Stückelung]]/aktuelleAnleihen[[#This Row],[Wechselkurs am Kauftag]]</f>
        <v>-219.15508719574774</v>
      </c>
      <c r="H8" s="8">
        <f>aktuelleAnleihen[[#This Row],[Stückzinsen]]-aktuelleAnleihen[[#This Row],[Stückzinsen am Kauftag]]+aktuelleAnleihen[[#This Row],[Zinszahlungen]]</f>
        <v>18.933457005964513</v>
      </c>
      <c r="I8" s="8">
        <f>aktuelleAnleihen[[#This Row],[Gewinn gesamt]]-aktuelleAnleihen[[#This Row],[Gewinn aus Kursänderung]]-aktuelleAnleihen[[#This Row],[Gewinn aus Zinsen]]</f>
        <v>-35.402770099266391</v>
      </c>
      <c r="J8" s="7">
        <f>aktuelleAnleihen[[#This Row],[Gewinn gesamt]]/aktuelleAnleihen[[#This Row],[Kaufpreis]]</f>
        <v>-9.0566448032734004E-2</v>
      </c>
      <c r="K8" s="3">
        <f>aktuelleAnleihen[[#This Row],[Verkaufspreis]]-aktuelleAnleihen[[#This Row],[Kaufpreis]]+aktuelleAnleihen[[#This Row],[Zinszahlungen]]</f>
        <v>-235.62440028904962</v>
      </c>
      <c r="L8" s="4">
        <v>2601.6743000000001</v>
      </c>
      <c r="M8" s="7">
        <v>1.3480000000000001</v>
      </c>
      <c r="N8" s="61">
        <v>1.0723</v>
      </c>
      <c r="O8" s="1">
        <v>1.0891</v>
      </c>
      <c r="P8" s="1" t="s">
        <v>887</v>
      </c>
      <c r="Q8" s="30">
        <v>45412</v>
      </c>
      <c r="R8" s="1">
        <v>2</v>
      </c>
      <c r="S8" s="1">
        <v>1000</v>
      </c>
      <c r="T8" s="9">
        <v>45422</v>
      </c>
      <c r="U8" s="1">
        <v>2</v>
      </c>
      <c r="V8" s="62">
        <f>aktuelleAnleihen[[#This Row],[Stückelung]]*aktuelleAnleihen[[#This Row],[Anteile]]*aktuelleAnleihen[[#This Row],[Coupon]]/aktuelleAnleihen[[#This Row],[Aktueller Wechselkurs]]*($AC$1-aktuelleAnleihen[[#This Row],[Letzte Zinszahlung]])/365</f>
        <v>14.016851918701255</v>
      </c>
      <c r="W8" s="4">
        <v>87.452500000000001</v>
      </c>
      <c r="X8" s="120" t="s">
        <v>276</v>
      </c>
      <c r="Y8" s="120" t="s">
        <v>57</v>
      </c>
      <c r="Z8" s="1" t="s">
        <v>1110</v>
      </c>
      <c r="AA8" s="151" t="s">
        <v>1111</v>
      </c>
      <c r="AB8" s="3">
        <f>SUMIF('Zinszahlungen Anleihen'!K:K,aktuelleAnleihen[[#This Row],[ISIN]],'Zinszahlungen Anleihen'!D:D)</f>
        <v>92.369105087263264</v>
      </c>
      <c r="AE8" s="10"/>
      <c r="AF8" s="1"/>
      <c r="AJ8" s="1"/>
      <c r="AN8" s="1"/>
      <c r="AQ8" s="1"/>
    </row>
    <row r="9" spans="1:43" x14ac:dyDescent="0.2">
      <c r="A9" s="1" t="s">
        <v>390</v>
      </c>
      <c r="B9" s="1" t="s">
        <v>1</v>
      </c>
      <c r="C9" s="7">
        <v>8.5000000000000006E-2</v>
      </c>
      <c r="D9" s="7">
        <v>0.58499999999999996</v>
      </c>
      <c r="E9" s="7">
        <f>aktuelleAnleihen[[#This Row],[Aktueller Kurs]]-aktuelleAnleihen[[#This Row],[Kaufkurs]]</f>
        <v>-9.8799999999999999E-2</v>
      </c>
      <c r="F9" s="8">
        <f>aktuelleAnleihen[[#This Row],[Stückelung]]*aktuelleAnleihen[[#This Row],[Aktueller Kurs]]*aktuelleAnleihen[[#This Row],[Anteile]]/aktuelleAnleihen[[#This Row],[Aktueller Wechselkurs]]+aktuelleAnleihen[[#This Row],[Stückzinsen]]</f>
        <v>1205.8630136986301</v>
      </c>
      <c r="G9" s="8">
        <f>aktuelleAnleihen[[#This Row],[Kursdifferenz]]*aktuelleAnleihen[[#This Row],[Anteile]]*aktuelleAnleihen[[#This Row],[Stückelung]]/aktuelleAnleihen[[#This Row],[Wechselkurs am Kauftag]]</f>
        <v>-197.6</v>
      </c>
      <c r="H9" s="8">
        <f>aktuelleAnleihen[[#This Row],[Stückzinsen]]-aktuelleAnleihen[[#This Row],[Stückzinsen am Kauftag]]+aktuelleAnleihen[[#This Row],[Zinszahlungen]]</f>
        <v>30.274013698630135</v>
      </c>
      <c r="I9" s="8">
        <f>aktuelleAnleihen[[#This Row],[Gewinn gesamt]]-aktuelleAnleihen[[#This Row],[Gewinn aus Kursänderung]]-aktuelleAnleihen[[#This Row],[Gewinn aus Zinsen]]</f>
        <v>-1.3500311979441904E-13</v>
      </c>
      <c r="J9" s="7">
        <f>aktuelleAnleihen[[#This Row],[Gewinn gesamt]]/aktuelleAnleihen[[#This Row],[Kaufpreis]]</f>
        <v>-0.12185211671617671</v>
      </c>
      <c r="K9" s="3">
        <f>aktuelleAnleihen[[#This Row],[Verkaufspreis]]-aktuelleAnleihen[[#This Row],[Kaufpreis]]+aktuelleAnleihen[[#This Row],[Zinszahlungen]]</f>
        <v>-167.32598630136999</v>
      </c>
      <c r="L9" s="4">
        <v>1373.1890000000001</v>
      </c>
      <c r="M9" s="7">
        <v>0.68379999999999996</v>
      </c>
      <c r="N9" s="61">
        <v>1</v>
      </c>
      <c r="O9" s="1">
        <v>1</v>
      </c>
      <c r="P9" s="1" t="s">
        <v>925</v>
      </c>
      <c r="Q9" s="30">
        <v>45385</v>
      </c>
      <c r="R9" s="1">
        <v>2</v>
      </c>
      <c r="S9" s="1">
        <v>1000</v>
      </c>
      <c r="T9" s="9">
        <v>45373</v>
      </c>
      <c r="U9" s="1">
        <v>2</v>
      </c>
      <c r="V9" s="62">
        <f>aktuelleAnleihen[[#This Row],[Stückelung]]*aktuelleAnleihen[[#This Row],[Anteile]]*aktuelleAnleihen[[#This Row],[Coupon]]/aktuelleAnleihen[[#This Row],[Aktueller Wechselkurs]]*($AC$1-aktuelleAnleihen[[#This Row],[Letzte Zinszahlung]])/365</f>
        <v>35.863013698630134</v>
      </c>
      <c r="W9" s="4">
        <v>5.5890000000000004</v>
      </c>
      <c r="X9" s="120" t="s">
        <v>102</v>
      </c>
      <c r="Y9" s="120" t="s">
        <v>39</v>
      </c>
      <c r="Z9" s="1" t="s">
        <v>391</v>
      </c>
      <c r="AA9" s="151" t="s">
        <v>392</v>
      </c>
      <c r="AB9" s="3">
        <f>SUMIF('Zinszahlungen Anleihen'!K:K,aktuelleAnleihen[[#This Row],[ISIN]],'Zinszahlungen Anleihen'!D:D)</f>
        <v>0</v>
      </c>
      <c r="AE9" s="10"/>
      <c r="AF9" s="1"/>
      <c r="AJ9" s="1"/>
      <c r="AN9" s="1"/>
      <c r="AQ9" s="1"/>
    </row>
    <row r="10" spans="1:43" x14ac:dyDescent="0.2">
      <c r="A10" s="1" t="s">
        <v>841</v>
      </c>
      <c r="B10" s="1" t="s">
        <v>0</v>
      </c>
      <c r="C10" s="7">
        <v>0.06</v>
      </c>
      <c r="D10" s="7">
        <v>0.7</v>
      </c>
      <c r="E10" s="7">
        <f>aktuelleAnleihen[[#This Row],[Aktueller Kurs]]-aktuelleAnleihen[[#This Row],[Kaufkurs]]</f>
        <v>-8.0000000000000071E-2</v>
      </c>
      <c r="F10" s="8">
        <f>aktuelleAnleihen[[#This Row],[Stückelung]]*aktuelleAnleihen[[#This Row],[Aktueller Kurs]]*aktuelleAnleihen[[#This Row],[Anteile]]/aktuelleAnleihen[[#This Row],[Aktueller Wechselkurs]]+aktuelleAnleihen[[#This Row],[Stückzinsen]]</f>
        <v>1459.1780821917807</v>
      </c>
      <c r="G10" s="8">
        <f>aktuelleAnleihen[[#This Row],[Kursdifferenz]]*aktuelleAnleihen[[#This Row],[Anteile]]*aktuelleAnleihen[[#This Row],[Stückelung]]/aktuelleAnleihen[[#This Row],[Wechselkurs am Kauftag]]</f>
        <v>-160.00000000000014</v>
      </c>
      <c r="H10" s="8">
        <f>aktuelleAnleihen[[#This Row],[Stückzinsen]]-aktuelleAnleihen[[#This Row],[Stückzinsen am Kauftag]]+aktuelleAnleihen[[#This Row],[Zinszahlungen]]</f>
        <v>21.369882191780825</v>
      </c>
      <c r="I10" s="8">
        <f>aktuelleAnleihen[[#This Row],[Gewinn gesamt]]-aktuelleAnleihen[[#This Row],[Gewinn aus Kursänderung]]-aktuelleAnleihen[[#This Row],[Gewinn aus Zinsen]]</f>
        <v>1.0658141036401503E-13</v>
      </c>
      <c r="J10" s="7">
        <f>aktuelleAnleihen[[#This Row],[Gewinn gesamt]]/aktuelleAnleihen[[#This Row],[Kaufpreis]]</f>
        <v>-8.6762677653187167E-2</v>
      </c>
      <c r="K10" s="3">
        <f>aktuelleAnleihen[[#This Row],[Verkaufspreis]]-aktuelleAnleihen[[#This Row],[Kaufpreis]]+aktuelleAnleihen[[#This Row],[Zinszahlungen]]</f>
        <v>-138.63011780821921</v>
      </c>
      <c r="L10" s="4">
        <v>1597.8081999999999</v>
      </c>
      <c r="M10" s="7">
        <v>0.78</v>
      </c>
      <c r="N10" s="61">
        <v>1</v>
      </c>
      <c r="O10" s="1">
        <v>1</v>
      </c>
      <c r="P10" s="1" t="s">
        <v>925</v>
      </c>
      <c r="Q10" s="30">
        <v>45385</v>
      </c>
      <c r="R10" s="1">
        <v>2</v>
      </c>
      <c r="S10" s="1">
        <v>1000</v>
      </c>
      <c r="T10" s="9">
        <v>45270</v>
      </c>
      <c r="U10" s="1">
        <v>2</v>
      </c>
      <c r="V10" s="62">
        <f>aktuelleAnleihen[[#This Row],[Stückelung]]*aktuelleAnleihen[[#This Row],[Anteile]]*aktuelleAnleihen[[#This Row],[Coupon]]/aktuelleAnleihen[[#This Row],[Aktueller Wechselkurs]]*($AC$1-aktuelleAnleihen[[#This Row],[Letzte Zinszahlung]])/365</f>
        <v>59.178082191780824</v>
      </c>
      <c r="W10" s="4">
        <v>37.808199999999999</v>
      </c>
      <c r="X10" s="120" t="s">
        <v>56</v>
      </c>
      <c r="Y10" s="120" t="s">
        <v>39</v>
      </c>
      <c r="Z10" s="1" t="s">
        <v>842</v>
      </c>
      <c r="AA10" s="1" t="s">
        <v>843</v>
      </c>
      <c r="AB10" s="3">
        <f>SUMIF('Zinszahlungen Anleihen'!K:K,aktuelleAnleihen[[#This Row],[ISIN]],'Zinszahlungen Anleihen'!D:D)</f>
        <v>0</v>
      </c>
      <c r="AE10" s="10"/>
      <c r="AF10" s="1"/>
      <c r="AJ10" s="1"/>
      <c r="AN10" s="1"/>
      <c r="AQ10" s="1"/>
    </row>
    <row r="11" spans="1:43" x14ac:dyDescent="0.2">
      <c r="A11" s="1" t="s">
        <v>545</v>
      </c>
      <c r="B11" s="1" t="s">
        <v>10</v>
      </c>
      <c r="C11" s="7">
        <v>7.4999999999999997E-2</v>
      </c>
      <c r="D11" s="7">
        <v>0.98499999999999999</v>
      </c>
      <c r="E11" s="7">
        <f>aktuelleAnleihen[[#This Row],[Aktueller Kurs]]-aktuelleAnleihen[[#This Row],[Kaufkurs]]</f>
        <v>-7.5500000000000012E-2</v>
      </c>
      <c r="F11" s="8">
        <f>aktuelleAnleihen[[#This Row],[Stückelung]]*aktuelleAnleihen[[#This Row],[Aktueller Kurs]]*aktuelleAnleihen[[#This Row],[Anteile]]/aktuelleAnleihen[[#This Row],[Aktueller Wechselkurs]]+aktuelleAnleihen[[#This Row],[Stückzinsen]]</f>
        <v>2010.2739726027398</v>
      </c>
      <c r="G11" s="8">
        <f>aktuelleAnleihen[[#This Row],[Kursdifferenz]]*aktuelleAnleihen[[#This Row],[Anteile]]*aktuelleAnleihen[[#This Row],[Stückelung]]/aktuelleAnleihen[[#This Row],[Wechselkurs am Kauftag]]</f>
        <v>-151.00000000000003</v>
      </c>
      <c r="H11" s="8">
        <f>aktuelleAnleihen[[#This Row],[Stückzinsen]]-aktuelleAnleihen[[#This Row],[Stückzinsen am Kauftag]]+aktuelleAnleihen[[#This Row],[Zinszahlungen]]</f>
        <v>26.712372602739727</v>
      </c>
      <c r="I11" s="8">
        <f>aktuelleAnleihen[[#This Row],[Gewinn gesamt]]-aktuelleAnleihen[[#This Row],[Gewinn aus Kursänderung]]-aktuelleAnleihen[[#This Row],[Gewinn aus Zinsen]]</f>
        <v>1.3500311979441904E-13</v>
      </c>
      <c r="J11" s="7">
        <f>aktuelleAnleihen[[#This Row],[Gewinn gesamt]]/aktuelleAnleihen[[#This Row],[Kaufpreis]]</f>
        <v>-5.8226301549348665E-2</v>
      </c>
      <c r="K11" s="3">
        <f>aktuelleAnleihen[[#This Row],[Verkaufspreis]]-aktuelleAnleihen[[#This Row],[Kaufpreis]]+aktuelleAnleihen[[#This Row],[Zinszahlungen]]</f>
        <v>-124.28762739726017</v>
      </c>
      <c r="L11" s="4">
        <v>2134.5616</v>
      </c>
      <c r="M11" s="7">
        <v>1.0605</v>
      </c>
      <c r="N11" s="61">
        <v>1</v>
      </c>
      <c r="O11" s="1">
        <v>1</v>
      </c>
      <c r="P11" s="1" t="s">
        <v>925</v>
      </c>
      <c r="Q11" s="30">
        <v>45385</v>
      </c>
      <c r="R11" s="1">
        <v>2</v>
      </c>
      <c r="S11" s="1">
        <v>1000</v>
      </c>
      <c r="T11" s="9">
        <v>45352</v>
      </c>
      <c r="U11" s="1">
        <v>1</v>
      </c>
      <c r="V11" s="62">
        <f>aktuelleAnleihen[[#This Row],[Stückelung]]*aktuelleAnleihen[[#This Row],[Anteile]]*aktuelleAnleihen[[#This Row],[Coupon]]/aktuelleAnleihen[[#This Row],[Aktueller Wechselkurs]]*($AC$1-aktuelleAnleihen[[#This Row],[Letzte Zinszahlung]])/365</f>
        <v>40.273972602739725</v>
      </c>
      <c r="W11" s="4">
        <v>13.5616</v>
      </c>
      <c r="X11" s="120" t="s">
        <v>56</v>
      </c>
      <c r="Y11" s="120" t="s">
        <v>39</v>
      </c>
      <c r="Z11" s="1" t="s">
        <v>546</v>
      </c>
      <c r="AA11" s="151" t="s">
        <v>547</v>
      </c>
      <c r="AB11" s="3">
        <f>SUMIF('Zinszahlungen Anleihen'!K:K,aktuelleAnleihen[[#This Row],[ISIN]],'Zinszahlungen Anleihen'!D:D)</f>
        <v>0</v>
      </c>
      <c r="AE11" s="10"/>
      <c r="AF11" s="1"/>
      <c r="AJ11" s="1"/>
      <c r="AN11" s="1"/>
      <c r="AQ11" s="1"/>
    </row>
    <row r="12" spans="1:43" x14ac:dyDescent="0.2">
      <c r="A12" s="1" t="s">
        <v>557</v>
      </c>
      <c r="B12" s="1" t="s">
        <v>3</v>
      </c>
      <c r="C12" s="7">
        <v>7.4999999999999997E-2</v>
      </c>
      <c r="D12" s="7">
        <v>0.29499999999999998</v>
      </c>
      <c r="E12" s="7">
        <f>aktuelleAnleihen[[#This Row],[Aktueller Kurs]]-aktuelleAnleihen[[#This Row],[Kaufkurs]]</f>
        <v>-6.25E-2</v>
      </c>
      <c r="F12" s="8">
        <f>aktuelleAnleihen[[#This Row],[Stückelung]]*aktuelleAnleihen[[#This Row],[Aktueller Kurs]]*aktuelleAnleihen[[#This Row],[Anteile]]/aktuelleAnleihen[[#This Row],[Aktueller Wechselkurs]]+aktuelleAnleihen[[#This Row],[Stückzinsen]]</f>
        <v>614.65753424657532</v>
      </c>
      <c r="G12" s="8">
        <f>aktuelleAnleihen[[#This Row],[Kursdifferenz]]*aktuelleAnleihen[[#This Row],[Anteile]]*aktuelleAnleihen[[#This Row],[Stückelung]]/aktuelleAnleihen[[#This Row],[Wechselkurs am Kauftag]]</f>
        <v>-125</v>
      </c>
      <c r="H12" s="8">
        <f>aktuelleAnleihen[[#This Row],[Stückzinsen]]-aktuelleAnleihen[[#This Row],[Stückzinsen am Kauftag]]+aktuelleAnleihen[[#This Row],[Zinszahlungen]]</f>
        <v>26.506834246575337</v>
      </c>
      <c r="I12" s="8">
        <f>aktuelleAnleihen[[#This Row],[Gewinn gesamt]]-aktuelleAnleihen[[#This Row],[Gewinn aus Kursänderung]]-aktuelleAnleihen[[#This Row],[Gewinn aus Zinsen]]</f>
        <v>-4.2632564145606011E-14</v>
      </c>
      <c r="J12" s="7">
        <f>aktuelleAnleihen[[#This Row],[Gewinn gesamt]]/aktuelleAnleihen[[#This Row],[Kaufpreis]]</f>
        <v>-0.12496742787061497</v>
      </c>
      <c r="K12" s="3">
        <f>aktuelleAnleihen[[#This Row],[Verkaufspreis]]-aktuelleAnleihen[[#This Row],[Kaufpreis]]+aktuelleAnleihen[[#This Row],[Zinszahlungen]]</f>
        <v>-98.493165753424705</v>
      </c>
      <c r="L12" s="4">
        <v>788.15070000000003</v>
      </c>
      <c r="M12" s="7">
        <v>0.35749999999999998</v>
      </c>
      <c r="N12" s="61">
        <v>1</v>
      </c>
      <c r="O12" s="1">
        <v>1</v>
      </c>
      <c r="P12" s="1" t="s">
        <v>925</v>
      </c>
      <c r="Q12" s="30">
        <v>45385</v>
      </c>
      <c r="R12" s="1">
        <v>2</v>
      </c>
      <c r="S12" s="1">
        <v>1000</v>
      </c>
      <c r="T12" s="9">
        <v>45390</v>
      </c>
      <c r="U12" s="1">
        <v>2</v>
      </c>
      <c r="V12" s="62">
        <f>aktuelleAnleihen[[#This Row],[Stückelung]]*aktuelleAnleihen[[#This Row],[Anteile]]*aktuelleAnleihen[[#This Row],[Coupon]]/aktuelleAnleihen[[#This Row],[Aktueller Wechselkurs]]*($AC$1-aktuelleAnleihen[[#This Row],[Letzte Zinszahlung]])/365</f>
        <v>24.657534246575342</v>
      </c>
      <c r="W12" s="4">
        <v>73.150700000000001</v>
      </c>
      <c r="X12" s="120" t="s">
        <v>56</v>
      </c>
      <c r="Y12" s="120" t="s">
        <v>57</v>
      </c>
      <c r="Z12" s="1" t="s">
        <v>558</v>
      </c>
      <c r="AA12" s="1" t="s">
        <v>559</v>
      </c>
      <c r="AB12" s="3">
        <f>SUMIF('Zinszahlungen Anleihen'!K:K,aktuelleAnleihen[[#This Row],[ISIN]],'Zinszahlungen Anleihen'!D:D)</f>
        <v>75</v>
      </c>
      <c r="AE12" s="10"/>
      <c r="AF12" s="1"/>
      <c r="AJ12" s="1"/>
      <c r="AN12" s="1"/>
      <c r="AQ12" s="1"/>
    </row>
    <row r="13" spans="1:43" x14ac:dyDescent="0.2">
      <c r="A13" s="1" t="s">
        <v>447</v>
      </c>
      <c r="B13" s="1" t="s">
        <v>0</v>
      </c>
      <c r="C13" s="7">
        <v>0.08</v>
      </c>
      <c r="D13" s="7">
        <v>0.92</v>
      </c>
      <c r="E13" s="7">
        <f>aktuelleAnleihen[[#This Row],[Aktueller Kurs]]-aktuelleAnleihen[[#This Row],[Kaufkurs]]</f>
        <v>-5.9999999999999942E-2</v>
      </c>
      <c r="F13" s="8">
        <f>aktuelleAnleihen[[#This Row],[Stückelung]]*aktuelleAnleihen[[#This Row],[Aktueller Kurs]]*aktuelleAnleihen[[#This Row],[Anteile]]/aktuelleAnleihen[[#This Row],[Aktueller Wechselkurs]]+aktuelleAnleihen[[#This Row],[Stückzinsen]]</f>
        <v>1996.9315068493152</v>
      </c>
      <c r="G13" s="8">
        <f>aktuelleAnleihen[[#This Row],[Kursdifferenz]]*aktuelleAnleihen[[#This Row],[Anteile]]*aktuelleAnleihen[[#This Row],[Stückelung]]/aktuelleAnleihen[[#This Row],[Wechselkurs am Kauftag]]</f>
        <v>-119.99999999999989</v>
      </c>
      <c r="H13" s="8">
        <f>aktuelleAnleihen[[#This Row],[Stückzinsen]]-aktuelleAnleihen[[#This Row],[Stückzinsen am Kauftag]]+aktuelleAnleihen[[#This Row],[Zinszahlungen]]</f>
        <v>28.493106849315069</v>
      </c>
      <c r="I13" s="8">
        <f>aktuelleAnleihen[[#This Row],[Gewinn gesamt]]-aktuelleAnleihen[[#This Row],[Gewinn aus Kursänderung]]-aktuelleAnleihen[[#This Row],[Gewinn aus Zinsen]]</f>
        <v>-2.8421709430404007E-14</v>
      </c>
      <c r="J13" s="7">
        <f>aktuelleAnleihen[[#This Row],[Gewinn gesamt]]/aktuelleAnleihen[[#This Row],[Kaufpreis]]</f>
        <v>-4.3815940729056146E-2</v>
      </c>
      <c r="K13" s="3">
        <f>aktuelleAnleihen[[#This Row],[Verkaufspreis]]-aktuelleAnleihen[[#This Row],[Kaufpreis]]+aktuelleAnleihen[[#This Row],[Zinszahlungen]]</f>
        <v>-91.506893150684846</v>
      </c>
      <c r="L13" s="4">
        <v>2088.4384</v>
      </c>
      <c r="M13" s="7">
        <v>0.98</v>
      </c>
      <c r="N13" s="61">
        <v>1</v>
      </c>
      <c r="O13" s="1">
        <v>1</v>
      </c>
      <c r="P13" s="1" t="s">
        <v>925</v>
      </c>
      <c r="Q13" s="30">
        <v>45385</v>
      </c>
      <c r="R13" s="1">
        <v>2</v>
      </c>
      <c r="S13" s="1">
        <v>1000</v>
      </c>
      <c r="T13" s="9">
        <v>45092</v>
      </c>
      <c r="U13" s="1">
        <v>1</v>
      </c>
      <c r="V13" s="62">
        <f>aktuelleAnleihen[[#This Row],[Stückelung]]*aktuelleAnleihen[[#This Row],[Anteile]]*aktuelleAnleihen[[#This Row],[Coupon]]/aktuelleAnleihen[[#This Row],[Aktueller Wechselkurs]]*($AC$1-aktuelleAnleihen[[#This Row],[Letzte Zinszahlung]])/365</f>
        <v>156.93150684931507</v>
      </c>
      <c r="W13" s="4">
        <v>128.4384</v>
      </c>
      <c r="X13" s="120" t="s">
        <v>56</v>
      </c>
      <c r="Y13" s="120" t="s">
        <v>57</v>
      </c>
      <c r="Z13" s="1" t="s">
        <v>448</v>
      </c>
      <c r="AA13" s="1" t="s">
        <v>449</v>
      </c>
      <c r="AB13" s="3">
        <f>SUMIF('Zinszahlungen Anleihen'!K:K,aktuelleAnleihen[[#This Row],[ISIN]],'Zinszahlungen Anleihen'!D:D)</f>
        <v>0</v>
      </c>
      <c r="AE13" s="10"/>
      <c r="AF13" s="1"/>
      <c r="AJ13" s="1"/>
      <c r="AN13" s="1"/>
      <c r="AQ13" s="1"/>
    </row>
    <row r="14" spans="1:43" x14ac:dyDescent="0.2">
      <c r="A14" s="1" t="s">
        <v>375</v>
      </c>
      <c r="B14" s="1" t="s">
        <v>0</v>
      </c>
      <c r="C14" s="7">
        <v>8.5260000000000002E-2</v>
      </c>
      <c r="D14" s="7">
        <v>0.89980000000000004</v>
      </c>
      <c r="E14" s="7">
        <f>aktuelleAnleihen[[#This Row],[Aktueller Kurs]]-aktuelleAnleihen[[#This Row],[Kaufkurs]]</f>
        <v>-5.7199999999999918E-2</v>
      </c>
      <c r="F14" s="8">
        <f>aktuelleAnleihen[[#This Row],[Stückelung]]*aktuelleAnleihen[[#This Row],[Aktueller Kurs]]*aktuelleAnleihen[[#This Row],[Anteile]]/aktuelleAnleihen[[#This Row],[Aktueller Wechselkurs]]+aktuelleAnleihen[[#This Row],[Stückzinsen]]</f>
        <v>1810.3450958904111</v>
      </c>
      <c r="G14" s="8">
        <f>aktuelleAnleihen[[#This Row],[Kursdifferenz]]*aktuelleAnleihen[[#This Row],[Anteile]]*aktuelleAnleihen[[#This Row],[Stückelung]]/aktuelleAnleihen[[#This Row],[Wechselkurs am Kauftag]]</f>
        <v>-114.39999999999984</v>
      </c>
      <c r="H14" s="8">
        <f>aktuelleAnleihen[[#This Row],[Stückzinsen]]-aktuelleAnleihen[[#This Row],[Stückzinsen am Kauftag]]+aktuelleAnleihen[[#This Row],[Zinszahlungen]]</f>
        <v>30.950595890410963</v>
      </c>
      <c r="I14" s="8">
        <f>aktuelleAnleihen[[#This Row],[Gewinn gesamt]]-aktuelleAnleihen[[#This Row],[Gewinn aus Kursänderung]]-aktuelleAnleihen[[#This Row],[Gewinn aus Zinsen]]</f>
        <v>-8.1712414612411521E-14</v>
      </c>
      <c r="J14" s="7">
        <f>aktuelleAnleihen[[#This Row],[Gewinn gesamt]]/aktuelleAnleihen[[#This Row],[Kaufpreis]]</f>
        <v>-4.3094581848963878E-2</v>
      </c>
      <c r="K14" s="3">
        <f>aktuelleAnleihen[[#This Row],[Verkaufspreis]]-aktuelleAnleihen[[#This Row],[Kaufpreis]]+aktuelleAnleihen[[#This Row],[Zinszahlungen]]</f>
        <v>-83.449404109588954</v>
      </c>
      <c r="L14" s="4">
        <v>1936.4245000000001</v>
      </c>
      <c r="M14" s="7">
        <v>0.95699999999999996</v>
      </c>
      <c r="N14" s="61">
        <v>1</v>
      </c>
      <c r="O14" s="1">
        <v>1</v>
      </c>
      <c r="P14" s="1" t="s">
        <v>925</v>
      </c>
      <c r="Q14" s="30">
        <v>45385</v>
      </c>
      <c r="R14" s="1">
        <v>2</v>
      </c>
      <c r="S14" s="1">
        <v>1000</v>
      </c>
      <c r="T14" s="9">
        <v>45427</v>
      </c>
      <c r="U14" s="1">
        <v>4</v>
      </c>
      <c r="V14" s="62">
        <f>aktuelleAnleihen[[#This Row],[Stückelung]]*aktuelleAnleihen[[#This Row],[Anteile]]*aktuelleAnleihen[[#This Row],[Coupon]]/aktuelleAnleihen[[#This Row],[Aktueller Wechselkurs]]*($AC$1-aktuelleAnleihen[[#This Row],[Letzte Zinszahlung]])/365</f>
        <v>10.745095890410958</v>
      </c>
      <c r="W14" s="4">
        <v>22.424499999999998</v>
      </c>
      <c r="X14" s="120" t="s">
        <v>65</v>
      </c>
      <c r="Y14" s="120" t="s">
        <v>39</v>
      </c>
      <c r="Z14" s="1" t="s">
        <v>376</v>
      </c>
      <c r="AA14" s="1" t="s">
        <v>377</v>
      </c>
      <c r="AB14" s="3">
        <f>SUMIF('Zinszahlungen Anleihen'!K:K,aktuelleAnleihen[[#This Row],[ISIN]],'Zinszahlungen Anleihen'!D:D)</f>
        <v>42.63</v>
      </c>
      <c r="AE14" s="10"/>
      <c r="AF14" s="1"/>
      <c r="AJ14" s="1"/>
      <c r="AN14" s="1"/>
      <c r="AQ14" s="1"/>
    </row>
    <row r="15" spans="1:43" x14ac:dyDescent="0.2">
      <c r="A15" s="1" t="s">
        <v>1010</v>
      </c>
      <c r="B15" s="1" t="s">
        <v>8</v>
      </c>
      <c r="C15" s="7">
        <v>0.11749999999999999</v>
      </c>
      <c r="D15" s="7">
        <v>0.84250000000000003</v>
      </c>
      <c r="E15" s="7">
        <f>aktuelleAnleihen[[#This Row],[Aktueller Kurs]]-aktuelleAnleihen[[#This Row],[Kaufkurs]]</f>
        <v>-5.4999999999999938E-2</v>
      </c>
      <c r="F15" s="8">
        <f>aktuelleAnleihen[[#This Row],[Stückelung]]*aktuelleAnleihen[[#This Row],[Aktueller Kurs]]*aktuelleAnleihen[[#This Row],[Anteile]]/aktuelleAnleihen[[#This Row],[Aktueller Wechselkurs]]+aktuelleAnleihen[[#This Row],[Stückzinsen]]</f>
        <v>1622.817885321926</v>
      </c>
      <c r="G15" s="8">
        <f>aktuelleAnleihen[[#This Row],[Kursdifferenz]]*aktuelleAnleihen[[#This Row],[Anteile]]*aktuelleAnleihen[[#This Row],[Stückelung]]/aktuelleAnleihen[[#This Row],[Wechselkurs am Kauftag]]</f>
        <v>-102.58323230439231</v>
      </c>
      <c r="H15" s="8">
        <f>aktuelleAnleihen[[#This Row],[Stückzinsen]]-aktuelleAnleihen[[#This Row],[Stückzinsen am Kauftag]]+aktuelleAnleihen[[#This Row],[Zinszahlungen]]</f>
        <v>21.630663193563109</v>
      </c>
      <c r="I15" s="8">
        <f>aktuelleAnleihen[[#This Row],[Gewinn gesamt]]-aktuelleAnleihen[[#This Row],[Gewinn aus Kursänderung]]-aktuelleAnleihen[[#This Row],[Gewinn aus Zinsen]]</f>
        <v>-24.239645567244722</v>
      </c>
      <c r="J15" s="7">
        <f>aktuelleAnleihen[[#This Row],[Gewinn gesamt]]/aktuelleAnleihen[[#This Row],[Kaufpreis]]</f>
        <v>-6.0874768427611581E-2</v>
      </c>
      <c r="K15" s="3">
        <f>aktuelleAnleihen[[#This Row],[Verkaufspreis]]-aktuelleAnleihen[[#This Row],[Kaufpreis]]+aktuelleAnleihen[[#This Row],[Zinszahlungen]]</f>
        <v>-105.19221467807392</v>
      </c>
      <c r="L15" s="4">
        <v>1728.0101</v>
      </c>
      <c r="M15" s="7">
        <v>0.89749999999999996</v>
      </c>
      <c r="N15" s="61">
        <v>1.0723</v>
      </c>
      <c r="O15" s="1">
        <v>1.0891</v>
      </c>
      <c r="P15" s="1" t="s">
        <v>887</v>
      </c>
      <c r="Q15" s="30">
        <v>45412</v>
      </c>
      <c r="R15" s="1">
        <v>2</v>
      </c>
      <c r="S15" s="1">
        <v>1000</v>
      </c>
      <c r="T15" s="9">
        <v>45322</v>
      </c>
      <c r="U15" s="1">
        <v>2</v>
      </c>
      <c r="V15" s="62">
        <f>aktuelleAnleihen[[#This Row],[Stückelung]]*aktuelleAnleihen[[#This Row],[Anteile]]*aktuelleAnleihen[[#This Row],[Coupon]]/aktuelleAnleihen[[#This Row],[Aktueller Wechselkurs]]*($AC$1-aktuelleAnleihen[[#This Row],[Letzte Zinszahlung]])/365</f>
        <v>75.668863193563112</v>
      </c>
      <c r="W15" s="4">
        <v>54.038200000000003</v>
      </c>
      <c r="X15" s="120" t="s">
        <v>276</v>
      </c>
      <c r="Y15" s="120" t="s">
        <v>1011</v>
      </c>
      <c r="Z15" s="1" t="s">
        <v>1012</v>
      </c>
      <c r="AA15" s="1" t="s">
        <v>1013</v>
      </c>
      <c r="AB15" s="3">
        <f>SUMIF('Zinszahlungen Anleihen'!K:K,aktuelleAnleihen[[#This Row],[ISIN]],'Zinszahlungen Anleihen'!D:D)</f>
        <v>0</v>
      </c>
      <c r="AE15" s="10"/>
      <c r="AF15" s="1"/>
      <c r="AJ15" s="1"/>
      <c r="AN15" s="1"/>
      <c r="AQ15" s="1"/>
    </row>
    <row r="16" spans="1:43" x14ac:dyDescent="0.2">
      <c r="A16" s="1" t="s">
        <v>194</v>
      </c>
      <c r="B16" s="1" t="s">
        <v>0</v>
      </c>
      <c r="C16" s="7">
        <v>0.11</v>
      </c>
      <c r="D16" s="7">
        <v>0.99719000000000002</v>
      </c>
      <c r="E16" s="7">
        <f>aktuelleAnleihen[[#This Row],[Aktueller Kurs]]-aktuelleAnleihen[[#This Row],[Kaufkurs]]</f>
        <v>-5.1109999999999989E-2</v>
      </c>
      <c r="F16" s="8">
        <f>aktuelleAnleihen[[#This Row],[Stückelung]]*aktuelleAnleihen[[#This Row],[Aktueller Kurs]]*aktuelleAnleihen[[#This Row],[Anteile]]/aktuelleAnleihen[[#This Row],[Aktueller Wechselkurs]]+aktuelleAnleihen[[#This Row],[Stückzinsen]]</f>
        <v>1999.2019178082194</v>
      </c>
      <c r="G16" s="8">
        <f>aktuelleAnleihen[[#This Row],[Kursdifferenz]]*aktuelleAnleihen[[#This Row],[Anteile]]*aktuelleAnleihen[[#This Row],[Stückelung]]/aktuelleAnleihen[[#This Row],[Wechselkurs am Kauftag]]</f>
        <v>-102.21999999999997</v>
      </c>
      <c r="H16" s="8">
        <f>aktuelleAnleihen[[#This Row],[Stückzinsen]]-aktuelleAnleihen[[#This Row],[Stückzinsen am Kauftag]]+aktuelleAnleihen[[#This Row],[Zinszahlungen]]</f>
        <v>39.479417808219182</v>
      </c>
      <c r="I16" s="8">
        <f>aktuelleAnleihen[[#This Row],[Gewinn gesamt]]-aktuelleAnleihen[[#This Row],[Gewinn aus Kursänderung]]-aktuelleAnleihen[[#This Row],[Gewinn aus Zinsen]]</f>
        <v>5.6843418860808015E-14</v>
      </c>
      <c r="J16" s="7">
        <f>aktuelleAnleihen[[#This Row],[Gewinn gesamt]]/aktuelleAnleihen[[#This Row],[Kaufpreis]]</f>
        <v>-2.8886852295482376E-2</v>
      </c>
      <c r="K16" s="3">
        <f>aktuelleAnleihen[[#This Row],[Verkaufspreis]]-aktuelleAnleihen[[#This Row],[Kaufpreis]]+aktuelleAnleihen[[#This Row],[Zinszahlungen]]</f>
        <v>-62.740582191780732</v>
      </c>
      <c r="L16" s="4">
        <v>2171.9425000000001</v>
      </c>
      <c r="M16" s="7">
        <v>1.0483</v>
      </c>
      <c r="N16" s="61">
        <v>1</v>
      </c>
      <c r="O16" s="1">
        <v>1</v>
      </c>
      <c r="P16" s="1" t="s">
        <v>925</v>
      </c>
      <c r="Q16" s="30">
        <v>45385</v>
      </c>
      <c r="R16" s="1">
        <v>2</v>
      </c>
      <c r="S16" s="1">
        <v>1000</v>
      </c>
      <c r="T16" s="9">
        <v>45442</v>
      </c>
      <c r="U16" s="1">
        <v>2</v>
      </c>
      <c r="V16" s="62">
        <f>aktuelleAnleihen[[#This Row],[Stückelung]]*aktuelleAnleihen[[#This Row],[Anteile]]*aktuelleAnleihen[[#This Row],[Coupon]]/aktuelleAnleihen[[#This Row],[Aktueller Wechselkurs]]*($AC$1-aktuelleAnleihen[[#This Row],[Letzte Zinszahlung]])/365</f>
        <v>4.8219178082191778</v>
      </c>
      <c r="W16" s="4">
        <v>75.342500000000001</v>
      </c>
      <c r="X16" s="120" t="s">
        <v>65</v>
      </c>
      <c r="Y16" s="120" t="s">
        <v>91</v>
      </c>
      <c r="Z16" s="1" t="s">
        <v>195</v>
      </c>
      <c r="AA16" s="1" t="s">
        <v>196</v>
      </c>
      <c r="AB16" s="3">
        <f>SUMIF('Zinszahlungen Anleihen'!K:K,aktuelleAnleihen[[#This Row],[ISIN]],'Zinszahlungen Anleihen'!D:D)</f>
        <v>110</v>
      </c>
      <c r="AE16" s="10"/>
      <c r="AF16" s="1"/>
      <c r="AJ16" s="1"/>
      <c r="AN16" s="1"/>
      <c r="AQ16" s="1"/>
    </row>
    <row r="17" spans="1:43" x14ac:dyDescent="0.2">
      <c r="A17" s="1" t="s">
        <v>1047</v>
      </c>
      <c r="B17" s="1" t="s">
        <v>10</v>
      </c>
      <c r="C17" s="7">
        <v>0.1075</v>
      </c>
      <c r="D17" s="7">
        <v>0.85530000000000006</v>
      </c>
      <c r="E17" s="7">
        <f>aktuelleAnleihen[[#This Row],[Aktueller Kurs]]-aktuelleAnleihen[[#This Row],[Kaufkurs]]</f>
        <v>-5.4099999999999926E-2</v>
      </c>
      <c r="F17" s="8">
        <f>aktuelleAnleihen[[#This Row],[Stückelung]]*aktuelleAnleihen[[#This Row],[Aktueller Kurs]]*aktuelleAnleihen[[#This Row],[Anteile]]/aktuelleAnleihen[[#This Row],[Aktueller Wechselkurs]]+aktuelleAnleihen[[#This Row],[Stückzinsen]]</f>
        <v>1599.3197852191645</v>
      </c>
      <c r="G17" s="8">
        <f>aktuelleAnleihen[[#This Row],[Kursdifferenz]]*aktuelleAnleihen[[#This Row],[Anteile]]*aktuelleAnleihen[[#This Row],[Stückelung]]/aktuelleAnleihen[[#This Row],[Wechselkurs am Kauftag]]</f>
        <v>-100.90459759395677</v>
      </c>
      <c r="H17" s="8">
        <f>aktuelleAnleihen[[#This Row],[Stückzinsen]]-aktuelleAnleihen[[#This Row],[Stückzinsen am Kauftag]]+aktuelleAnleihen[[#This Row],[Zinszahlungen]]</f>
        <v>20.425216226417938</v>
      </c>
      <c r="I17" s="8">
        <f>aktuelleAnleihen[[#This Row],[Gewinn gesamt]]-aktuelleAnleihen[[#This Row],[Gewinn aus Kursänderung]]-aktuelleAnleihen[[#This Row],[Gewinn aus Zinsen]]</f>
        <v>-24.607833413296611</v>
      </c>
      <c r="J17" s="7">
        <f>aktuelleAnleihen[[#This Row],[Gewinn gesamt]]/aktuelleAnleihen[[#This Row],[Kaufpreis]]</f>
        <v>-6.1656174130260817E-2</v>
      </c>
      <c r="K17" s="3">
        <f>aktuelleAnleihen[[#This Row],[Verkaufspreis]]-aktuelleAnleihen[[#This Row],[Kaufpreis]]+aktuelleAnleihen[[#This Row],[Zinszahlungen]]</f>
        <v>-105.08721478083544</v>
      </c>
      <c r="L17" s="4">
        <v>1704.4069999999999</v>
      </c>
      <c r="M17" s="7">
        <v>0.90939999999999999</v>
      </c>
      <c r="N17" s="61">
        <v>1.0723</v>
      </c>
      <c r="O17" s="1">
        <v>1.0891</v>
      </c>
      <c r="P17" s="1" t="s">
        <v>887</v>
      </c>
      <c r="Q17" s="30">
        <v>45412</v>
      </c>
      <c r="R17" s="1">
        <v>2</v>
      </c>
      <c r="S17" s="1">
        <v>1000</v>
      </c>
      <c r="T17" s="9">
        <v>45397</v>
      </c>
      <c r="U17" s="1">
        <v>2</v>
      </c>
      <c r="V17" s="62">
        <f>aktuelleAnleihen[[#This Row],[Stückelung]]*aktuelleAnleihen[[#This Row],[Anteile]]*aktuelleAnleihen[[#This Row],[Coupon]]/aktuelleAnleihen[[#This Row],[Aktueller Wechselkurs]]*($AC$1-aktuelleAnleihen[[#This Row],[Letzte Zinszahlung]])/365</f>
        <v>28.66511622641794</v>
      </c>
      <c r="W17" s="4">
        <v>8.2399000000000004</v>
      </c>
      <c r="X17" s="120" t="s">
        <v>276</v>
      </c>
      <c r="Y17" s="120" t="s">
        <v>81</v>
      </c>
      <c r="Z17" s="1" t="s">
        <v>1048</v>
      </c>
      <c r="AA17" s="1" t="s">
        <v>1049</v>
      </c>
      <c r="AB17" s="3">
        <f>SUMIF('Zinszahlungen Anleihen'!K:K,aktuelleAnleihen[[#This Row],[ISIN]],'Zinszahlungen Anleihen'!D:D)</f>
        <v>0</v>
      </c>
      <c r="AE17" s="10"/>
      <c r="AF17" s="1"/>
      <c r="AJ17" s="1"/>
      <c r="AN17" s="1"/>
      <c r="AQ17" s="1"/>
    </row>
    <row r="18" spans="1:43" x14ac:dyDescent="0.2">
      <c r="A18" s="1" t="s">
        <v>64</v>
      </c>
      <c r="B18" s="1" t="s">
        <v>5</v>
      </c>
      <c r="C18" s="7">
        <v>0.12425</v>
      </c>
      <c r="D18" s="7">
        <v>0.55000000000000004</v>
      </c>
      <c r="E18" s="7">
        <f>aktuelleAnleihen[[#This Row],[Aktueller Kurs]]-aktuelleAnleihen[[#This Row],[Kaufkurs]]</f>
        <v>-4.9999999999999933E-2</v>
      </c>
      <c r="F18" s="8">
        <f>aktuelleAnleihen[[#This Row],[Stückelung]]*aktuelleAnleihen[[#This Row],[Aktueller Kurs]]*aktuelleAnleihen[[#This Row],[Anteile]]/aktuelleAnleihen[[#This Row],[Aktueller Wechselkurs]]+aktuelleAnleihen[[#This Row],[Stückzinsen]]</f>
        <v>1147.6575342465753</v>
      </c>
      <c r="G18" s="8">
        <f>aktuelleAnleihen[[#This Row],[Kursdifferenz]]*aktuelleAnleihen[[#This Row],[Anteile]]*aktuelleAnleihen[[#This Row],[Stückelung]]/aktuelleAnleihen[[#This Row],[Wechselkurs am Kauftag]]</f>
        <v>-99.999999999999872</v>
      </c>
      <c r="H18" s="8">
        <f>aktuelleAnleihen[[#This Row],[Stückzinsen]]-aktuelleAnleihen[[#This Row],[Stückzinsen am Kauftag]]+aktuelleAnleihen[[#This Row],[Zinszahlungen]]</f>
        <v>49.189334246575342</v>
      </c>
      <c r="I18" s="8">
        <f>aktuelleAnleihen[[#This Row],[Gewinn gesamt]]-aktuelleAnleihen[[#This Row],[Gewinn aus Kursänderung]]-aktuelleAnleihen[[#This Row],[Gewinn aus Zinsen]]</f>
        <v>-1.7053025658242404E-13</v>
      </c>
      <c r="J18" s="7">
        <f>aktuelleAnleihen[[#This Row],[Gewinn gesamt]]/aktuelleAnleihen[[#This Row],[Kaufpreis]]</f>
        <v>-4.0306948945484318E-2</v>
      </c>
      <c r="K18" s="3">
        <f>aktuelleAnleihen[[#This Row],[Verkaufspreis]]-aktuelleAnleihen[[#This Row],[Kaufpreis]]+aktuelleAnleihen[[#This Row],[Zinszahlungen]]</f>
        <v>-50.810665753424701</v>
      </c>
      <c r="L18" s="4">
        <v>1260.5932</v>
      </c>
      <c r="M18" s="7">
        <v>0.6</v>
      </c>
      <c r="N18" s="61">
        <v>1</v>
      </c>
      <c r="O18" s="1">
        <v>1</v>
      </c>
      <c r="P18" s="1" t="s">
        <v>925</v>
      </c>
      <c r="Q18" s="30">
        <v>45378</v>
      </c>
      <c r="R18" s="1">
        <v>2000</v>
      </c>
      <c r="S18" s="1">
        <v>1</v>
      </c>
      <c r="T18" s="9">
        <v>45380</v>
      </c>
      <c r="U18" s="1">
        <v>4</v>
      </c>
      <c r="V18" s="62">
        <f>aktuelleAnleihen[[#This Row],[Stückelung]]*aktuelleAnleihen[[#This Row],[Anteile]]*aktuelleAnleihen[[#This Row],[Coupon]]/aktuelleAnleihen[[#This Row],[Aktueller Wechselkurs]]*($AC$1-aktuelleAnleihen[[#This Row],[Letzte Zinszahlung]])/365</f>
        <v>47.657534246575345</v>
      </c>
      <c r="W18" s="4">
        <v>60.593200000000003</v>
      </c>
      <c r="X18" s="120" t="s">
        <v>65</v>
      </c>
      <c r="Y18" s="120" t="s">
        <v>39</v>
      </c>
      <c r="Z18" s="1" t="s">
        <v>66</v>
      </c>
      <c r="AA18" s="1" t="s">
        <v>67</v>
      </c>
      <c r="AB18" s="3">
        <f>SUMIF('Zinszahlungen Anleihen'!K:K,aktuelleAnleihen[[#This Row],[ISIN]],'Zinszahlungen Anleihen'!D:D)</f>
        <v>62.125</v>
      </c>
      <c r="AE18" s="10"/>
      <c r="AF18" s="1"/>
      <c r="AJ18" s="1"/>
      <c r="AN18" s="1"/>
      <c r="AQ18" s="1"/>
    </row>
    <row r="19" spans="1:43" x14ac:dyDescent="0.2">
      <c r="A19" s="1" t="s">
        <v>832</v>
      </c>
      <c r="B19" s="1" t="s">
        <v>3</v>
      </c>
      <c r="C19" s="7">
        <v>0.06</v>
      </c>
      <c r="D19" s="7">
        <v>0.65</v>
      </c>
      <c r="E19" s="7">
        <f>aktuelleAnleihen[[#This Row],[Aktueller Kurs]]-aktuelleAnleihen[[#This Row],[Kaufkurs]]</f>
        <v>-4.9999999999999933E-2</v>
      </c>
      <c r="F19" s="8">
        <f>aktuelleAnleihen[[#This Row],[Stückelung]]*aktuelleAnleihen[[#This Row],[Aktueller Kurs]]*aktuelleAnleihen[[#This Row],[Anteile]]/aktuelleAnleihen[[#This Row],[Aktueller Wechselkurs]]+aktuelleAnleihen[[#This Row],[Stückzinsen]]</f>
        <v>1330.9041095890411</v>
      </c>
      <c r="G19" s="8">
        <f>aktuelleAnleihen[[#This Row],[Kursdifferenz]]*aktuelleAnleihen[[#This Row],[Anteile]]*aktuelleAnleihen[[#This Row],[Stückelung]]/aktuelleAnleihen[[#This Row],[Wechselkurs am Kauftag]]</f>
        <v>-99.999999999999872</v>
      </c>
      <c r="H19" s="8">
        <f>aktuelleAnleihen[[#This Row],[Stückzinsen]]-aktuelleAnleihen[[#This Row],[Stückzinsen am Kauftag]]+aktuelleAnleihen[[#This Row],[Zinszahlungen]]</f>
        <v>21.369909589041093</v>
      </c>
      <c r="I19" s="8">
        <f>aktuelleAnleihen[[#This Row],[Gewinn gesamt]]-aktuelleAnleihen[[#This Row],[Gewinn aus Kursänderung]]-aktuelleAnleihen[[#This Row],[Gewinn aus Zinsen]]</f>
        <v>-1.4921397450962104E-13</v>
      </c>
      <c r="J19" s="7">
        <f>aktuelleAnleihen[[#This Row],[Gewinn gesamt]]/aktuelleAnleihen[[#This Row],[Kaufpreis]]</f>
        <v>-5.5784450218347964E-2</v>
      </c>
      <c r="K19" s="3">
        <f>aktuelleAnleihen[[#This Row],[Verkaufspreis]]-aktuelleAnleihen[[#This Row],[Kaufpreis]]+aktuelleAnleihen[[#This Row],[Zinszahlungen]]</f>
        <v>-78.630090410958928</v>
      </c>
      <c r="L19" s="4">
        <v>1409.5342000000001</v>
      </c>
      <c r="M19" s="7">
        <v>0.7</v>
      </c>
      <c r="N19" s="61">
        <v>1</v>
      </c>
      <c r="O19" s="1">
        <v>1</v>
      </c>
      <c r="P19" s="1" t="s">
        <v>925</v>
      </c>
      <c r="Q19" s="30">
        <v>45385</v>
      </c>
      <c r="R19" s="1">
        <v>2</v>
      </c>
      <c r="S19" s="1">
        <v>1000</v>
      </c>
      <c r="T19" s="9">
        <v>45356</v>
      </c>
      <c r="U19" s="1">
        <v>1</v>
      </c>
      <c r="V19" s="62">
        <f>aktuelleAnleihen[[#This Row],[Stückelung]]*aktuelleAnleihen[[#This Row],[Anteile]]*aktuelleAnleihen[[#This Row],[Coupon]]/aktuelleAnleihen[[#This Row],[Aktueller Wechselkurs]]*($AC$1-aktuelleAnleihen[[#This Row],[Letzte Zinszahlung]])/365</f>
        <v>30.904109589041095</v>
      </c>
      <c r="W19" s="4">
        <v>9.5342000000000002</v>
      </c>
      <c r="X19" s="120" t="s">
        <v>56</v>
      </c>
      <c r="Y19" s="120" t="s">
        <v>81</v>
      </c>
      <c r="Z19" s="1" t="s">
        <v>833</v>
      </c>
      <c r="AA19" s="1" t="s">
        <v>834</v>
      </c>
      <c r="AB19" s="3">
        <f>SUMIF('Zinszahlungen Anleihen'!K:K,aktuelleAnleihen[[#This Row],[ISIN]],'Zinszahlungen Anleihen'!D:D)</f>
        <v>0</v>
      </c>
      <c r="AE19" s="10"/>
      <c r="AF19" s="1"/>
      <c r="AJ19" s="1"/>
      <c r="AN19" s="1"/>
      <c r="AQ19" s="1"/>
    </row>
    <row r="20" spans="1:43" x14ac:dyDescent="0.2">
      <c r="A20" s="1" t="s">
        <v>359</v>
      </c>
      <c r="B20" s="1" t="s">
        <v>2</v>
      </c>
      <c r="C20" s="7">
        <v>8.6820000000000008E-2</v>
      </c>
      <c r="D20" s="7">
        <v>0.89950000000000008</v>
      </c>
      <c r="E20" s="7">
        <f>aktuelleAnleihen[[#This Row],[Aktueller Kurs]]-aktuelleAnleihen[[#This Row],[Kaufkurs]]</f>
        <v>-4.9099999999999921E-2</v>
      </c>
      <c r="F20" s="8">
        <f>aktuelleAnleihen[[#This Row],[Stückelung]]*aktuelleAnleihen[[#This Row],[Aktueller Kurs]]*aktuelleAnleihen[[#This Row],[Anteile]]/aktuelleAnleihen[[#This Row],[Aktueller Wechselkurs]]+aktuelleAnleihen[[#This Row],[Stückzinsen]]</f>
        <v>1823.2620273972605</v>
      </c>
      <c r="G20" s="8">
        <f>aktuelleAnleihen[[#This Row],[Kursdifferenz]]*aktuelleAnleihen[[#This Row],[Anteile]]*aktuelleAnleihen[[#This Row],[Stückelung]]/aktuelleAnleihen[[#This Row],[Wechselkurs am Kauftag]]</f>
        <v>-98.199999999999847</v>
      </c>
      <c r="H20" s="8">
        <f>aktuelleAnleihen[[#This Row],[Stückzinsen]]-aktuelleAnleihen[[#This Row],[Stückzinsen am Kauftag]]+aktuelleAnleihen[[#This Row],[Zinszahlungen]]</f>
        <v>31.041127397260283</v>
      </c>
      <c r="I20" s="8">
        <f>aktuelleAnleihen[[#This Row],[Gewinn gesamt]]-aktuelleAnleihen[[#This Row],[Gewinn aus Kursänderung]]-aktuelleAnleihen[[#This Row],[Gewinn aus Zinsen]]</f>
        <v>8.5265128291212022E-14</v>
      </c>
      <c r="J20" s="7">
        <f>aktuelleAnleihen[[#This Row],[Gewinn gesamt]]/aktuelleAnleihen[[#This Row],[Kaufpreis]]</f>
        <v>-3.4728410122487688E-2</v>
      </c>
      <c r="K20" s="3">
        <f>aktuelleAnleihen[[#This Row],[Verkaufspreis]]-aktuelleAnleihen[[#This Row],[Kaufpreis]]+aktuelleAnleihen[[#This Row],[Zinszahlungen]]</f>
        <v>-67.158872602739478</v>
      </c>
      <c r="L20" s="4">
        <v>1933.8308999999999</v>
      </c>
      <c r="M20" s="7">
        <v>0.9486</v>
      </c>
      <c r="N20" s="61">
        <v>1</v>
      </c>
      <c r="O20" s="1">
        <v>1</v>
      </c>
      <c r="P20" s="1" t="s">
        <v>925</v>
      </c>
      <c r="Q20" s="30">
        <v>45385</v>
      </c>
      <c r="R20" s="1">
        <v>2</v>
      </c>
      <c r="S20" s="1">
        <v>1000</v>
      </c>
      <c r="T20" s="9">
        <v>45399</v>
      </c>
      <c r="U20" s="1">
        <v>4</v>
      </c>
      <c r="V20" s="62">
        <f>aktuelleAnleihen[[#This Row],[Stückelung]]*aktuelleAnleihen[[#This Row],[Anteile]]*aktuelleAnleihen[[#This Row],[Coupon]]/aktuelleAnleihen[[#This Row],[Aktueller Wechselkurs]]*($AC$1-aktuelleAnleihen[[#This Row],[Letzte Zinszahlung]])/365</f>
        <v>24.262027397260276</v>
      </c>
      <c r="W20" s="4">
        <v>36.630899999999997</v>
      </c>
      <c r="X20" s="120" t="s">
        <v>35</v>
      </c>
      <c r="Y20" s="120" t="s">
        <v>39</v>
      </c>
      <c r="Z20" s="1" t="s">
        <v>360</v>
      </c>
      <c r="AA20" s="1" t="s">
        <v>361</v>
      </c>
      <c r="AB20" s="3">
        <f>SUMIF('Zinszahlungen Anleihen'!K:K,aktuelleAnleihen[[#This Row],[ISIN]],'Zinszahlungen Anleihen'!D:D)</f>
        <v>43.410000000000004</v>
      </c>
      <c r="AE20" s="10"/>
      <c r="AF20" s="1"/>
      <c r="AJ20" s="1"/>
      <c r="AN20" s="1"/>
      <c r="AQ20" s="1"/>
    </row>
    <row r="21" spans="1:43" x14ac:dyDescent="0.2">
      <c r="A21" s="1" t="s">
        <v>1137</v>
      </c>
      <c r="B21" s="1" t="s">
        <v>4</v>
      </c>
      <c r="C21" s="7">
        <v>9.7500000000000003E-2</v>
      </c>
      <c r="D21" s="7">
        <v>0.5756</v>
      </c>
      <c r="E21" s="7">
        <f>aktuelleAnleihen[[#This Row],[Aktueller Kurs]]-aktuelleAnleihen[[#This Row],[Kaufkurs]]</f>
        <v>-4.8399999999999999E-2</v>
      </c>
      <c r="F21" s="8">
        <f>aktuelleAnleihen[[#This Row],[Stückelung]]*aktuelleAnleihen[[#This Row],[Aktueller Kurs]]*aktuelleAnleihen[[#This Row],[Anteile]]/aktuelleAnleihen[[#This Row],[Aktueller Wechselkurs]]+aktuelleAnleihen[[#This Row],[Stückzinsen]]</f>
        <v>1066.8303475409507</v>
      </c>
      <c r="G21" s="8">
        <f>aktuelleAnleihen[[#This Row],[Kursdifferenz]]*aktuelleAnleihen[[#This Row],[Anteile]]*aktuelleAnleihen[[#This Row],[Stückelung]]/aktuelleAnleihen[[#This Row],[Wechselkurs am Kauftag]]</f>
        <v>-90.273244427865336</v>
      </c>
      <c r="H21" s="8">
        <f>aktuelleAnleihen[[#This Row],[Stückzinsen]]-aktuelleAnleihen[[#This Row],[Stückzinsen am Kauftag]]+aktuelleAnleihen[[#This Row],[Zinszahlungen]]</f>
        <v>17.798302251722248</v>
      </c>
      <c r="I21" s="8">
        <f>aktuelleAnleihen[[#This Row],[Gewinn gesamt]]-aktuelleAnleihen[[#This Row],[Gewinn aus Kursänderung]]-aktuelleAnleihen[[#This Row],[Gewinn aus Zinsen]]</f>
        <v>-16.560598139391999</v>
      </c>
      <c r="J21" s="7">
        <f>aktuelleAnleihen[[#This Row],[Gewinn gesamt]]/aktuelleAnleihen[[#This Row],[Kaufpreis]]</f>
        <v>-7.1482205519174016E-2</v>
      </c>
      <c r="K21" s="3">
        <f>aktuelleAnleihen[[#This Row],[Verkaufspreis]]-aktuelleAnleihen[[#This Row],[Kaufpreis]]+aktuelleAnleihen[[#This Row],[Zinszahlungen]]</f>
        <v>-89.035540315535087</v>
      </c>
      <c r="L21" s="4">
        <v>1245.5623000000001</v>
      </c>
      <c r="M21" s="7">
        <v>0.624</v>
      </c>
      <c r="N21" s="61">
        <v>1.0723</v>
      </c>
      <c r="O21" s="1">
        <v>1.0891</v>
      </c>
      <c r="P21" s="1" t="s">
        <v>887</v>
      </c>
      <c r="Q21" s="30">
        <v>45412</v>
      </c>
      <c r="R21" s="1">
        <v>2</v>
      </c>
      <c r="S21" s="1">
        <v>1000</v>
      </c>
      <c r="T21" s="9">
        <v>45430</v>
      </c>
      <c r="U21" s="1">
        <v>2</v>
      </c>
      <c r="V21" s="62">
        <f>aktuelleAnleihen[[#This Row],[Stückelung]]*aktuelleAnleihen[[#This Row],[Anteile]]*aktuelleAnleihen[[#This Row],[Coupon]]/aktuelleAnleihen[[#This Row],[Aktueller Wechselkurs]]*($AC$1-aktuelleAnleihen[[#This Row],[Letzte Zinszahlung]])/365</f>
        <v>9.8107901082079838</v>
      </c>
      <c r="W21" s="4">
        <v>81.7089</v>
      </c>
      <c r="X21" s="120" t="s">
        <v>986</v>
      </c>
      <c r="Y21" s="120" t="s">
        <v>39</v>
      </c>
      <c r="Z21" s="1" t="s">
        <v>1138</v>
      </c>
      <c r="AA21" s="1" t="s">
        <v>1139</v>
      </c>
      <c r="AB21" s="3">
        <f>SUMIF('Zinszahlungen Anleihen'!K:K,aktuelleAnleihen[[#This Row],[ISIN]],'Zinszahlungen Anleihen'!D:D)</f>
        <v>89.696412143514266</v>
      </c>
      <c r="AE21" s="10"/>
      <c r="AF21" s="1"/>
      <c r="AJ21" s="1"/>
      <c r="AN21" s="1"/>
      <c r="AQ21" s="1"/>
    </row>
    <row r="22" spans="1:43" x14ac:dyDescent="0.2">
      <c r="A22" s="1" t="s">
        <v>293</v>
      </c>
      <c r="B22" s="1" t="s">
        <v>2</v>
      </c>
      <c r="C22" s="7">
        <v>9.375E-2</v>
      </c>
      <c r="D22" s="7">
        <v>1.0038</v>
      </c>
      <c r="E22" s="7">
        <f>aktuelleAnleihen[[#This Row],[Aktueller Kurs]]-aktuelleAnleihen[[#This Row],[Kaufkurs]]</f>
        <v>-4.0200000000000014E-2</v>
      </c>
      <c r="F22" s="8">
        <f>aktuelleAnleihen[[#This Row],[Stückelung]]*aktuelleAnleihen[[#This Row],[Aktueller Kurs]]*aktuelleAnleihen[[#This Row],[Anteile]]/aktuelleAnleihen[[#This Row],[Aktueller Wechselkurs]]+aktuelleAnleihen[[#This Row],[Stückzinsen]]</f>
        <v>2081.5726027397263</v>
      </c>
      <c r="G22" s="8">
        <f>aktuelleAnleihen[[#This Row],[Kursdifferenz]]*aktuelleAnleihen[[#This Row],[Anteile]]*aktuelleAnleihen[[#This Row],[Stückelung]]/aktuelleAnleihen[[#This Row],[Wechselkurs am Kauftag]]</f>
        <v>-80.400000000000034</v>
      </c>
      <c r="H22" s="8">
        <f>aktuelleAnleihen[[#This Row],[Stückzinsen]]-aktuelleAnleihen[[#This Row],[Stückzinsen am Kauftag]]+aktuelleAnleihen[[#This Row],[Zinszahlungen]]</f>
        <v>33.390402739726028</v>
      </c>
      <c r="I22" s="8">
        <f>aktuelleAnleihen[[#This Row],[Gewinn gesamt]]-aktuelleAnleihen[[#This Row],[Gewinn aus Kursänderung]]-aktuelleAnleihen[[#This Row],[Gewinn aus Zinsen]]</f>
        <v>5.1159076974727213E-13</v>
      </c>
      <c r="J22" s="7">
        <f>aktuelleAnleihen[[#This Row],[Gewinn gesamt]]/aktuelleAnleihen[[#This Row],[Kaufpreis]]</f>
        <v>-2.2084933934086972E-2</v>
      </c>
      <c r="K22" s="3">
        <f>aktuelleAnleihen[[#This Row],[Verkaufspreis]]-aktuelleAnleihen[[#This Row],[Kaufpreis]]+aktuelleAnleihen[[#This Row],[Zinszahlungen]]</f>
        <v>-47.009597260273495</v>
      </c>
      <c r="L22" s="4">
        <v>2128.5821999999998</v>
      </c>
      <c r="M22" s="7">
        <v>1.044</v>
      </c>
      <c r="N22" s="61">
        <v>1</v>
      </c>
      <c r="O22" s="1">
        <v>1</v>
      </c>
      <c r="P22" s="1" t="s">
        <v>925</v>
      </c>
      <c r="Q22" s="30">
        <v>45385</v>
      </c>
      <c r="R22" s="1">
        <v>2</v>
      </c>
      <c r="S22" s="1">
        <v>1000</v>
      </c>
      <c r="T22" s="9">
        <v>45306</v>
      </c>
      <c r="U22" s="1">
        <v>2</v>
      </c>
      <c r="V22" s="62">
        <f>aktuelleAnleihen[[#This Row],[Stückelung]]*aktuelleAnleihen[[#This Row],[Anteile]]*aktuelleAnleihen[[#This Row],[Coupon]]/aktuelleAnleihen[[#This Row],[Aktueller Wechselkurs]]*($AC$1-aktuelleAnleihen[[#This Row],[Letzte Zinszahlung]])/365</f>
        <v>73.972602739726028</v>
      </c>
      <c r="W22" s="4">
        <v>40.5822</v>
      </c>
      <c r="X22" s="120" t="s">
        <v>56</v>
      </c>
      <c r="Y22" s="120" t="s">
        <v>61</v>
      </c>
      <c r="Z22" s="1" t="s">
        <v>294</v>
      </c>
      <c r="AA22" s="1" t="s">
        <v>295</v>
      </c>
      <c r="AB22" s="3">
        <f>SUMIF('Zinszahlungen Anleihen'!K:K,aktuelleAnleihen[[#This Row],[ISIN]],'Zinszahlungen Anleihen'!D:D)</f>
        <v>0</v>
      </c>
      <c r="AE22" s="10"/>
      <c r="AF22" s="1"/>
      <c r="AJ22" s="1"/>
      <c r="AN22" s="1"/>
      <c r="AQ22" s="1"/>
    </row>
    <row r="23" spans="1:43" x14ac:dyDescent="0.2">
      <c r="A23" s="1" t="s">
        <v>820</v>
      </c>
      <c r="B23" s="1" t="s">
        <v>7</v>
      </c>
      <c r="C23" s="7">
        <v>6.1249999999999999E-2</v>
      </c>
      <c r="D23" s="7">
        <v>1.1914</v>
      </c>
      <c r="E23" s="7">
        <f>aktuelleAnleihen[[#This Row],[Aktueller Kurs]]-aktuelleAnleihen[[#This Row],[Kaufkurs]]</f>
        <v>-4.0100000000000025E-2</v>
      </c>
      <c r="F23" s="8">
        <f>aktuelleAnleihen[[#This Row],[Stückelung]]*aktuelleAnleihen[[#This Row],[Aktueller Kurs]]*aktuelleAnleihen[[#This Row],[Anteile]]/aktuelleAnleihen[[#This Row],[Aktueller Wechselkurs]]+aktuelleAnleihen[[#This Row],[Stückzinsen]]</f>
        <v>2495.5671232876716</v>
      </c>
      <c r="G23" s="8">
        <f>aktuelleAnleihen[[#This Row],[Kursdifferenz]]*aktuelleAnleihen[[#This Row],[Anteile]]*aktuelleAnleihen[[#This Row],[Stückelung]]/aktuelleAnleihen[[#This Row],[Wechselkurs am Kauftag]]</f>
        <v>-80.200000000000045</v>
      </c>
      <c r="H23" s="8">
        <f>aktuelleAnleihen[[#This Row],[Stückzinsen]]-aktuelleAnleihen[[#This Row],[Stückzinsen am Kauftag]]+aktuelleAnleihen[[#This Row],[Zinszahlungen]]</f>
        <v>21.815023287671238</v>
      </c>
      <c r="I23" s="8">
        <f>aktuelleAnleihen[[#This Row],[Gewinn gesamt]]-aktuelleAnleihen[[#This Row],[Gewinn aus Kursänderung]]-aktuelleAnleihen[[#This Row],[Gewinn aus Zinsen]]</f>
        <v>4.5474735088646412E-13</v>
      </c>
      <c r="J23" s="7">
        <f>aktuelleAnleihen[[#This Row],[Gewinn gesamt]]/aktuelleAnleihen[[#This Row],[Kaufpreis]]</f>
        <v>-2.2860638894648164E-2</v>
      </c>
      <c r="K23" s="3">
        <f>aktuelleAnleihen[[#This Row],[Verkaufspreis]]-aktuelleAnleihen[[#This Row],[Kaufpreis]]+aktuelleAnleihen[[#This Row],[Zinszahlungen]]</f>
        <v>-58.384976712328353</v>
      </c>
      <c r="L23" s="4">
        <v>2553.9521</v>
      </c>
      <c r="M23" s="7">
        <v>1.2315</v>
      </c>
      <c r="N23" s="61">
        <v>1</v>
      </c>
      <c r="O23" s="1">
        <v>1</v>
      </c>
      <c r="P23" s="1" t="s">
        <v>925</v>
      </c>
      <c r="Q23" s="30">
        <v>45385</v>
      </c>
      <c r="R23" s="1">
        <v>2</v>
      </c>
      <c r="S23" s="1">
        <v>1000</v>
      </c>
      <c r="T23" s="9">
        <v>45114</v>
      </c>
      <c r="U23" s="1">
        <v>1</v>
      </c>
      <c r="V23" s="62">
        <f>aktuelleAnleihen[[#This Row],[Stückelung]]*aktuelleAnleihen[[#This Row],[Anteile]]*aktuelleAnleihen[[#This Row],[Coupon]]/aktuelleAnleihen[[#This Row],[Aktueller Wechselkurs]]*($AC$1-aktuelleAnleihen[[#This Row],[Letzte Zinszahlung]])/365</f>
        <v>112.76712328767124</v>
      </c>
      <c r="W23" s="4">
        <v>90.952100000000002</v>
      </c>
      <c r="X23" s="120" t="s">
        <v>51</v>
      </c>
      <c r="Y23" s="120" t="s">
        <v>39</v>
      </c>
      <c r="Z23" s="1" t="s">
        <v>821</v>
      </c>
      <c r="AA23" s="1" t="s">
        <v>822</v>
      </c>
      <c r="AB23" s="3">
        <f>SUMIF('Zinszahlungen Anleihen'!K:K,aktuelleAnleihen[[#This Row],[ISIN]],'Zinszahlungen Anleihen'!D:D)</f>
        <v>0</v>
      </c>
      <c r="AE23" s="10"/>
      <c r="AF23" s="1"/>
      <c r="AJ23" s="1"/>
      <c r="AN23" s="1"/>
      <c r="AQ23" s="1"/>
    </row>
    <row r="24" spans="1:43" x14ac:dyDescent="0.2">
      <c r="A24" s="1" t="s">
        <v>1101</v>
      </c>
      <c r="B24" s="1" t="s">
        <v>0</v>
      </c>
      <c r="C24" s="7">
        <v>0.1</v>
      </c>
      <c r="D24" s="7">
        <v>0.59549999999999992</v>
      </c>
      <c r="E24" s="7">
        <f>aktuelleAnleihen[[#This Row],[Aktueller Kurs]]-aktuelleAnleihen[[#This Row],[Kaufkurs]]</f>
        <v>-4.2400000000000104E-2</v>
      </c>
      <c r="F24" s="8">
        <f>aktuelleAnleihen[[#This Row],[Stückelung]]*aktuelleAnleihen[[#This Row],[Aktueller Kurs]]*aktuelleAnleihen[[#This Row],[Anteile]]/aktuelleAnleihen[[#This Row],[Aktueller Wechselkurs]]+aktuelleAnleihen[[#This Row],[Stückzinsen]]</f>
        <v>1108.1538985941638</v>
      </c>
      <c r="G24" s="8">
        <f>aktuelleAnleihen[[#This Row],[Kursdifferenz]]*aktuelleAnleihen[[#This Row],[Anteile]]*aktuelleAnleihen[[#This Row],[Stückelung]]/aktuelleAnleihen[[#This Row],[Wechselkurs am Kauftag]]</f>
        <v>-79.082346358295453</v>
      </c>
      <c r="H24" s="8">
        <f>aktuelleAnleihen[[#This Row],[Stückzinsen]]-aktuelleAnleihen[[#This Row],[Stückzinsen am Kauftag]]+aktuelleAnleihen[[#This Row],[Zinszahlungen]]</f>
        <v>19.577292825417548</v>
      </c>
      <c r="I24" s="8">
        <f>aktuelleAnleihen[[#This Row],[Gewinn gesamt]]-aktuelleAnleihen[[#This Row],[Gewinn aus Kursänderung]]-aktuelleAnleihen[[#This Row],[Gewinn aus Zinsen]]</f>
        <v>-17.133160849491137</v>
      </c>
      <c r="J24" s="7">
        <f>aktuelleAnleihen[[#This Row],[Gewinn gesamt]]/aktuelleAnleihen[[#This Row],[Kaufpreis]]</f>
        <v>-6.2248279589633471E-2</v>
      </c>
      <c r="K24" s="3">
        <f>aktuelleAnleihen[[#This Row],[Verkaufspreis]]-aktuelleAnleihen[[#This Row],[Kaufpreis]]+aktuelleAnleihen[[#This Row],[Zinszahlungen]]</f>
        <v>-76.638214382369043</v>
      </c>
      <c r="L24" s="4">
        <v>1231.17</v>
      </c>
      <c r="M24" s="7">
        <v>0.63790000000000002</v>
      </c>
      <c r="N24" s="61">
        <v>1.0723</v>
      </c>
      <c r="O24" s="1">
        <v>1.0891</v>
      </c>
      <c r="P24" s="1" t="s">
        <v>887</v>
      </c>
      <c r="Q24" s="30">
        <v>45412</v>
      </c>
      <c r="R24" s="1">
        <v>2</v>
      </c>
      <c r="S24" s="1">
        <v>1000</v>
      </c>
      <c r="T24" s="9">
        <v>45421</v>
      </c>
      <c r="U24" s="1">
        <v>4</v>
      </c>
      <c r="V24" s="62">
        <f>aktuelleAnleihen[[#This Row],[Stückelung]]*aktuelleAnleihen[[#This Row],[Anteile]]*aktuelleAnleihen[[#This Row],[Coupon]]/aktuelleAnleihen[[#This Row],[Aktueller Wechselkurs]]*($AC$1-aktuelleAnleihen[[#This Row],[Letzte Zinszahlung]])/365</f>
        <v>14.590405801950336</v>
      </c>
      <c r="W24" s="4">
        <v>41.390999999999998</v>
      </c>
      <c r="X24" s="120" t="s">
        <v>995</v>
      </c>
      <c r="Y24" s="120" t="s">
        <v>52</v>
      </c>
      <c r="Z24" s="1" t="s">
        <v>1102</v>
      </c>
      <c r="AA24" s="1" t="s">
        <v>1103</v>
      </c>
      <c r="AB24" s="3">
        <f>SUMIF('Zinszahlungen Anleihen'!K:K,aktuelleAnleihen[[#This Row],[ISIN]],'Zinszahlungen Anleihen'!D:D)</f>
        <v>46.37788702346721</v>
      </c>
      <c r="AE24" s="10"/>
      <c r="AF24" s="1"/>
      <c r="AJ24" s="1"/>
      <c r="AN24" s="1"/>
      <c r="AQ24" s="1"/>
    </row>
    <row r="25" spans="1:43" x14ac:dyDescent="0.2">
      <c r="A25" s="1" t="s">
        <v>1034</v>
      </c>
      <c r="B25" s="1" t="s">
        <v>3</v>
      </c>
      <c r="C25" s="7">
        <v>0.11</v>
      </c>
      <c r="D25" s="7">
        <v>0.97899999999999998</v>
      </c>
      <c r="E25" s="7">
        <f>aktuelleAnleihen[[#This Row],[Aktueller Kurs]]-aktuelleAnleihen[[#This Row],[Kaufkurs]]</f>
        <v>-4.2200000000000126E-2</v>
      </c>
      <c r="F25" s="8">
        <f>aktuelleAnleihen[[#This Row],[Stückelung]]*aktuelleAnleihen[[#This Row],[Aktueller Kurs]]*aktuelleAnleihen[[#This Row],[Anteile]]/aktuelleAnleihen[[#This Row],[Aktueller Wechselkurs]]+aktuelleAnleihen[[#This Row],[Stückzinsen]]</f>
        <v>1802.2421428778068</v>
      </c>
      <c r="G25" s="8">
        <f>aktuelleAnleihen[[#This Row],[Kursdifferenz]]*aktuelleAnleihen[[#This Row],[Anteile]]*aktuelleAnleihen[[#This Row],[Stückelung]]/aktuelleAnleihen[[#This Row],[Wechselkurs am Kauftag]]</f>
        <v>-78.709316422643141</v>
      </c>
      <c r="H25" s="8">
        <f>aktuelleAnleihen[[#This Row],[Stückzinsen]]-aktuelleAnleihen[[#This Row],[Stückzinsen am Kauftag]]+aktuelleAnleihen[[#This Row],[Zinszahlungen]]</f>
        <v>20.520446886981944</v>
      </c>
      <c r="I25" s="8">
        <f>aktuelleAnleihen[[#This Row],[Gewinn gesamt]]-aktuelleAnleihen[[#This Row],[Gewinn aus Kursänderung]]-aktuelleAnleihen[[#This Row],[Gewinn aus Zinsen]]</f>
        <v>-28.166774184279902</v>
      </c>
      <c r="J25" s="7">
        <f>aktuelleAnleihen[[#This Row],[Gewinn gesamt]]/aktuelleAnleihen[[#This Row],[Kaufpreis]]</f>
        <v>-4.3391961188435475E-2</v>
      </c>
      <c r="K25" s="3">
        <f>aktuelleAnleihen[[#This Row],[Verkaufspreis]]-aktuelleAnleihen[[#This Row],[Kaufpreis]]+aktuelleAnleihen[[#This Row],[Zinszahlungen]]</f>
        <v>-86.355643719941099</v>
      </c>
      <c r="L25" s="4">
        <v>1990.13</v>
      </c>
      <c r="M25" s="7">
        <v>1.0212000000000001</v>
      </c>
      <c r="N25" s="61">
        <v>1.0723</v>
      </c>
      <c r="O25" s="1">
        <v>1.0891</v>
      </c>
      <c r="P25" s="1" t="s">
        <v>887</v>
      </c>
      <c r="Q25" s="30">
        <v>45412</v>
      </c>
      <c r="R25" s="1">
        <v>2000</v>
      </c>
      <c r="S25" s="1">
        <v>1</v>
      </c>
      <c r="T25" s="9">
        <v>45442</v>
      </c>
      <c r="U25" s="1">
        <v>2</v>
      </c>
      <c r="V25" s="62">
        <f>aktuelleAnleihen[[#This Row],[Stückelung]]*aktuelleAnleihen[[#This Row],[Anteile]]*aktuelleAnleihen[[#This Row],[Coupon]]/aktuelleAnleihen[[#This Row],[Aktueller Wechselkurs]]*($AC$1-aktuelleAnleihen[[#This Row],[Letzte Zinszahlung]])/365</f>
        <v>4.4274334847297565</v>
      </c>
      <c r="W25" s="4">
        <v>85.4392</v>
      </c>
      <c r="X25" s="120" t="s">
        <v>65</v>
      </c>
      <c r="Y25" s="120" t="s">
        <v>39</v>
      </c>
      <c r="Z25" s="1" t="s">
        <v>1035</v>
      </c>
      <c r="AA25" s="1" t="s">
        <v>1036</v>
      </c>
      <c r="AB25" s="3">
        <f>SUMIF('Zinszahlungen Anleihen'!K:K,aktuelleAnleihen[[#This Row],[ISIN]],'Zinszahlungen Anleihen'!D:D)</f>
        <v>101.53221340225218</v>
      </c>
      <c r="AE25" s="10"/>
      <c r="AF25" s="1"/>
      <c r="AJ25" s="1"/>
      <c r="AN25" s="1"/>
      <c r="AQ25" s="1"/>
    </row>
    <row r="26" spans="1:43" x14ac:dyDescent="0.2">
      <c r="A26" s="1" t="s">
        <v>522</v>
      </c>
      <c r="B26" s="1" t="s">
        <v>3</v>
      </c>
      <c r="C26" s="7">
        <v>7.7499999999999999E-2</v>
      </c>
      <c r="D26" s="7">
        <v>0.93120000000000003</v>
      </c>
      <c r="E26" s="7">
        <f>aktuelleAnleihen[[#This Row],[Aktueller Kurs]]-aktuelleAnleihen[[#This Row],[Kaufkurs]]</f>
        <v>-3.5799999999999943E-2</v>
      </c>
      <c r="F26" s="8">
        <f>aktuelleAnleihen[[#This Row],[Stückelung]]*aktuelleAnleihen[[#This Row],[Aktueller Kurs]]*aktuelleAnleihen[[#This Row],[Anteile]]/aktuelleAnleihen[[#This Row],[Aktueller Wechselkurs]]+aktuelleAnleihen[[#This Row],[Stückzinsen]]</f>
        <v>1930.345205479452</v>
      </c>
      <c r="G26" s="8">
        <f>aktuelleAnleihen[[#This Row],[Kursdifferenz]]*aktuelleAnleihen[[#This Row],[Anteile]]*aktuelleAnleihen[[#This Row],[Stückelung]]/aktuelleAnleihen[[#This Row],[Wechselkurs am Kauftag]]</f>
        <v>-71.599999999999881</v>
      </c>
      <c r="H26" s="8">
        <f>aktuelleAnleihen[[#This Row],[Stückzinsen]]-aktuelleAnleihen[[#This Row],[Stückzinsen am Kauftag]]+aktuelleAnleihen[[#This Row],[Zinszahlungen]]</f>
        <v>27.602705479452055</v>
      </c>
      <c r="I26" s="8">
        <f>aktuelleAnleihen[[#This Row],[Gewinn gesamt]]-aktuelleAnleihen[[#This Row],[Gewinn aus Kursänderung]]-aktuelleAnleihen[[#This Row],[Gewinn aus Zinsen]]</f>
        <v>-1.1368683772161603E-13</v>
      </c>
      <c r="J26" s="7">
        <f>aktuelleAnleihen[[#This Row],[Gewinn gesamt]]/aktuelleAnleihen[[#This Row],[Kaufpreis]]</f>
        <v>-2.2284529923530461E-2</v>
      </c>
      <c r="K26" s="3">
        <f>aktuelleAnleihen[[#This Row],[Verkaufspreis]]-aktuelleAnleihen[[#This Row],[Kaufpreis]]+aktuelleAnleihen[[#This Row],[Zinszahlungen]]</f>
        <v>-43.997294520547939</v>
      </c>
      <c r="L26" s="4">
        <v>1974.3425</v>
      </c>
      <c r="M26" s="7">
        <v>0.96699999999999997</v>
      </c>
      <c r="N26" s="61">
        <v>1</v>
      </c>
      <c r="O26" s="1">
        <v>1</v>
      </c>
      <c r="P26" s="1" t="s">
        <v>925</v>
      </c>
      <c r="Q26" s="30">
        <v>45385</v>
      </c>
      <c r="R26" s="1">
        <v>2</v>
      </c>
      <c r="S26" s="1">
        <v>1000</v>
      </c>
      <c r="T26" s="9">
        <v>45290</v>
      </c>
      <c r="U26" s="1">
        <v>2</v>
      </c>
      <c r="V26" s="62">
        <f>aktuelleAnleihen[[#This Row],[Stückelung]]*aktuelleAnleihen[[#This Row],[Anteile]]*aktuelleAnleihen[[#This Row],[Coupon]]/aktuelleAnleihen[[#This Row],[Aktueller Wechselkurs]]*($AC$1-aktuelleAnleihen[[#This Row],[Letzte Zinszahlung]])/365</f>
        <v>67.945205479452056</v>
      </c>
      <c r="W26" s="4">
        <v>40.342500000000001</v>
      </c>
      <c r="X26" s="120" t="s">
        <v>102</v>
      </c>
      <c r="Y26" s="120" t="s">
        <v>81</v>
      </c>
      <c r="Z26" s="1" t="s">
        <v>523</v>
      </c>
      <c r="AA26" s="1" t="s">
        <v>524</v>
      </c>
      <c r="AB26" s="3">
        <f>SUMIF('Zinszahlungen Anleihen'!K:K,aktuelleAnleihen[[#This Row],[ISIN]],'Zinszahlungen Anleihen'!D:D)</f>
        <v>0</v>
      </c>
      <c r="AE26" s="10"/>
      <c r="AF26" s="1"/>
      <c r="AJ26" s="1"/>
      <c r="AN26" s="1"/>
      <c r="AQ26" s="1"/>
    </row>
    <row r="27" spans="1:43" x14ac:dyDescent="0.2">
      <c r="A27" s="1" t="s">
        <v>396</v>
      </c>
      <c r="B27" s="1" t="s">
        <v>10</v>
      </c>
      <c r="C27" s="7">
        <v>8.3930000000000005E-2</v>
      </c>
      <c r="D27" s="7">
        <v>0.94969999999999999</v>
      </c>
      <c r="E27" s="7">
        <f>aktuelleAnleihen[[#This Row],[Aktueller Kurs]]-aktuelleAnleihen[[#This Row],[Kaufkurs]]</f>
        <v>-3.3100000000000018E-2</v>
      </c>
      <c r="F27" s="8">
        <f>aktuelleAnleihen[[#This Row],[Stückelung]]*aktuelleAnleihen[[#This Row],[Aktueller Kurs]]*aktuelleAnleihen[[#This Row],[Anteile]]/aktuelleAnleihen[[#This Row],[Aktueller Wechselkurs]]+aktuelleAnleihen[[#This Row],[Stückzinsen]]</f>
        <v>1931.1324383561646</v>
      </c>
      <c r="G27" s="8">
        <f>aktuelleAnleihen[[#This Row],[Kursdifferenz]]*aktuelleAnleihen[[#This Row],[Anteile]]*aktuelleAnleihen[[#This Row],[Stückelung]]/aktuelleAnleihen[[#This Row],[Wechselkurs am Kauftag]]</f>
        <v>-66.200000000000031</v>
      </c>
      <c r="H27" s="8">
        <f>aktuelleAnleihen[[#This Row],[Stückzinsen]]-aktuelleAnleihen[[#This Row],[Stückzinsen am Kauftag]]+aktuelleAnleihen[[#This Row],[Zinszahlungen]]</f>
        <v>29.892838356164383</v>
      </c>
      <c r="I27" s="8">
        <f>aktuelleAnleihen[[#This Row],[Gewinn gesamt]]-aktuelleAnleihen[[#This Row],[Gewinn aus Kursänderung]]-aktuelleAnleihen[[#This Row],[Gewinn aus Zinsen]]</f>
        <v>3.0553337637684308E-13</v>
      </c>
      <c r="J27" s="7">
        <f>aktuelleAnleihen[[#This Row],[Gewinn gesamt]]/aktuelleAnleihen[[#This Row],[Kaufpreis]]</f>
        <v>-1.8454015891433386E-2</v>
      </c>
      <c r="K27" s="3">
        <f>aktuelleAnleihen[[#This Row],[Verkaufspreis]]-aktuelleAnleihen[[#This Row],[Kaufpreis]]+aktuelleAnleihen[[#This Row],[Zinszahlungen]]</f>
        <v>-36.307161643835343</v>
      </c>
      <c r="L27" s="4">
        <v>1967.4395999999999</v>
      </c>
      <c r="M27" s="7">
        <v>0.98280000000000001</v>
      </c>
      <c r="N27" s="61">
        <v>1</v>
      </c>
      <c r="O27" s="1">
        <v>1</v>
      </c>
      <c r="P27" s="1" t="s">
        <v>925</v>
      </c>
      <c r="Q27" s="30">
        <v>45385</v>
      </c>
      <c r="R27" s="1">
        <v>2</v>
      </c>
      <c r="S27" s="1">
        <v>1000</v>
      </c>
      <c r="T27" s="9">
        <v>45381</v>
      </c>
      <c r="U27" s="1">
        <v>4</v>
      </c>
      <c r="V27" s="62">
        <f>aktuelleAnleihen[[#This Row],[Stückelung]]*aktuelleAnleihen[[#This Row],[Anteile]]*aktuelleAnleihen[[#This Row],[Coupon]]/aktuelleAnleihen[[#This Row],[Aktueller Wechselkurs]]*($AC$1-aktuelleAnleihen[[#This Row],[Letzte Zinszahlung]])/365</f>
        <v>31.732438356164383</v>
      </c>
      <c r="W27" s="4">
        <v>1.8395999999999999</v>
      </c>
      <c r="X27" s="120" t="s">
        <v>170</v>
      </c>
      <c r="Y27" s="120" t="s">
        <v>44</v>
      </c>
      <c r="Z27" s="1" t="s">
        <v>397</v>
      </c>
      <c r="AA27" s="1" t="s">
        <v>398</v>
      </c>
      <c r="AB27" s="3">
        <f>SUMIF('Zinszahlungen Anleihen'!K:K,aktuelleAnleihen[[#This Row],[ISIN]],'Zinszahlungen Anleihen'!D:D)</f>
        <v>0</v>
      </c>
      <c r="AE27" s="10"/>
      <c r="AF27" s="1"/>
      <c r="AJ27" s="1"/>
      <c r="AN27" s="1"/>
      <c r="AQ27" s="1"/>
    </row>
    <row r="28" spans="1:43" x14ac:dyDescent="0.2">
      <c r="A28" s="1" t="s">
        <v>751</v>
      </c>
      <c r="B28" s="1" t="s">
        <v>4</v>
      </c>
      <c r="C28" s="7">
        <v>6.5000000000000002E-2</v>
      </c>
      <c r="D28" s="7">
        <v>0.6</v>
      </c>
      <c r="E28" s="7">
        <f>aktuelleAnleihen[[#This Row],[Aktueller Kurs]]-aktuelleAnleihen[[#This Row],[Kaufkurs]]</f>
        <v>-3.0000000000000027E-2</v>
      </c>
      <c r="F28" s="8">
        <f>aktuelleAnleihen[[#This Row],[Stückelung]]*aktuelleAnleihen[[#This Row],[Aktueller Kurs]]*aktuelleAnleihen[[#This Row],[Anteile]]/aktuelleAnleihen[[#This Row],[Aktueller Wechselkurs]]+aktuelleAnleihen[[#This Row],[Stückzinsen]]</f>
        <v>1205.3424657534247</v>
      </c>
      <c r="G28" s="8">
        <f>aktuelleAnleihen[[#This Row],[Kursdifferenz]]*aktuelleAnleihen[[#This Row],[Anteile]]*aktuelleAnleihen[[#This Row],[Stückelung]]/aktuelleAnleihen[[#This Row],[Wechselkurs am Kauftag]]</f>
        <v>-60.000000000000057</v>
      </c>
      <c r="H28" s="8">
        <f>aktuelleAnleihen[[#This Row],[Stückzinsen]]-aktuelleAnleihen[[#This Row],[Stückzinsen am Kauftag]]+aktuelleAnleihen[[#This Row],[Zinszahlungen]]</f>
        <v>23.595865753424658</v>
      </c>
      <c r="I28" s="8">
        <f>aktuelleAnleihen[[#This Row],[Gewinn gesamt]]-aktuelleAnleihen[[#This Row],[Gewinn aus Kursänderung]]-aktuelleAnleihen[[#This Row],[Gewinn aus Zinsen]]</f>
        <v>1.3145040611561853E-13</v>
      </c>
      <c r="J28" s="7">
        <f>aktuelleAnleihen[[#This Row],[Gewinn gesamt]]/aktuelleAnleihen[[#This Row],[Kaufpreis]]</f>
        <v>-2.8569143717217114E-2</v>
      </c>
      <c r="K28" s="3">
        <f>aktuelleAnleihen[[#This Row],[Verkaufspreis]]-aktuelleAnleihen[[#This Row],[Kaufpreis]]+aktuelleAnleihen[[#This Row],[Zinszahlungen]]</f>
        <v>-36.404134246575268</v>
      </c>
      <c r="L28" s="4">
        <v>1274.2465999999999</v>
      </c>
      <c r="M28" s="7">
        <v>0.63</v>
      </c>
      <c r="N28" s="61">
        <v>1</v>
      </c>
      <c r="O28" s="1">
        <v>1</v>
      </c>
      <c r="P28" s="1" t="s">
        <v>925</v>
      </c>
      <c r="Q28" s="30">
        <v>45385</v>
      </c>
      <c r="R28" s="1">
        <v>2</v>
      </c>
      <c r="S28" s="1">
        <v>1000</v>
      </c>
      <c r="T28" s="9">
        <v>45435</v>
      </c>
      <c r="U28" s="1">
        <v>4</v>
      </c>
      <c r="V28" s="62">
        <f>aktuelleAnleihen[[#This Row],[Stückelung]]*aktuelleAnleihen[[#This Row],[Anteile]]*aktuelleAnleihen[[#This Row],[Coupon]]/aktuelleAnleihen[[#This Row],[Aktueller Wechselkurs]]*($AC$1-aktuelleAnleihen[[#This Row],[Letzte Zinszahlung]])/365</f>
        <v>5.3424657534246576</v>
      </c>
      <c r="W28" s="4">
        <v>14.246600000000001</v>
      </c>
      <c r="X28" s="120" t="s">
        <v>51</v>
      </c>
      <c r="Y28" s="120" t="s">
        <v>61</v>
      </c>
      <c r="Z28" s="1" t="s">
        <v>752</v>
      </c>
      <c r="AA28" s="1" t="s">
        <v>753</v>
      </c>
      <c r="AB28" s="3">
        <f>SUMIF('Zinszahlungen Anleihen'!K:K,aktuelleAnleihen[[#This Row],[ISIN]],'Zinszahlungen Anleihen'!D:D)</f>
        <v>32.5</v>
      </c>
      <c r="AE28" s="10"/>
      <c r="AF28" s="1"/>
      <c r="AH28" s="7"/>
      <c r="AJ28" s="1"/>
      <c r="AN28" s="1"/>
      <c r="AQ28" s="1"/>
    </row>
    <row r="29" spans="1:43" x14ac:dyDescent="0.2">
      <c r="A29" s="1" t="s">
        <v>708</v>
      </c>
      <c r="B29" s="1" t="s">
        <v>11</v>
      </c>
      <c r="C29" s="7">
        <v>6.7500000000000004E-2</v>
      </c>
      <c r="D29" s="7">
        <v>0.23419999999999999</v>
      </c>
      <c r="E29" s="7">
        <f>aktuelleAnleihen[[#This Row],[Aktueller Kurs]]-aktuelleAnleihen[[#This Row],[Kaufkurs]]</f>
        <v>-2.5800000000000017E-2</v>
      </c>
      <c r="F29" s="8">
        <f>aktuelleAnleihen[[#This Row],[Stückelung]]*aktuelleAnleihen[[#This Row],[Aktueller Kurs]]*aktuelleAnleihen[[#This Row],[Anteile]]/aktuelleAnleihen[[#This Row],[Aktueller Wechselkurs]]+aktuelleAnleihen[[#This Row],[Stückzinsen]]</f>
        <v>598.96164383561643</v>
      </c>
      <c r="G29" s="8">
        <f>aktuelleAnleihen[[#This Row],[Kursdifferenz]]*aktuelleAnleihen[[#This Row],[Anteile]]*aktuelleAnleihen[[#This Row],[Stückelung]]/aktuelleAnleihen[[#This Row],[Wechselkurs am Kauftag]]</f>
        <v>-51.600000000000037</v>
      </c>
      <c r="H29" s="8">
        <f>aktuelleAnleihen[[#This Row],[Stückzinsen]]-aktuelleAnleihen[[#This Row],[Stückzinsen am Kauftag]]+aktuelleAnleihen[[#This Row],[Zinszahlungen]]</f>
        <v>24.041143835616452</v>
      </c>
      <c r="I29" s="8">
        <f>aktuelleAnleihen[[#This Row],[Gewinn gesamt]]-aktuelleAnleihen[[#This Row],[Gewinn aus Kursänderung]]-aktuelleAnleihen[[#This Row],[Gewinn aus Zinsen]]</f>
        <v>4.2632564145606011E-14</v>
      </c>
      <c r="J29" s="7">
        <f>aktuelleAnleihen[[#This Row],[Gewinn gesamt]]/aktuelleAnleihen[[#This Row],[Kaufpreis]]</f>
        <v>-4.3987157905261746E-2</v>
      </c>
      <c r="K29" s="3">
        <f>aktuelleAnleihen[[#This Row],[Verkaufspreis]]-aktuelleAnleihen[[#This Row],[Kaufpreis]]+aktuelleAnleihen[[#This Row],[Zinszahlungen]]</f>
        <v>-27.558856164383542</v>
      </c>
      <c r="L29" s="4">
        <v>626.52049999999997</v>
      </c>
      <c r="M29" s="7">
        <v>0.26</v>
      </c>
      <c r="N29" s="61">
        <v>1</v>
      </c>
      <c r="O29" s="1">
        <v>1</v>
      </c>
      <c r="P29" s="1" t="s">
        <v>925</v>
      </c>
      <c r="Q29" s="30">
        <v>45385</v>
      </c>
      <c r="R29" s="1">
        <v>2</v>
      </c>
      <c r="S29" s="1">
        <v>1000</v>
      </c>
      <c r="T29" s="9">
        <v>45097</v>
      </c>
      <c r="U29" s="1">
        <v>1</v>
      </c>
      <c r="V29" s="62">
        <f>aktuelleAnleihen[[#This Row],[Stückelung]]*aktuelleAnleihen[[#This Row],[Anteile]]*aktuelleAnleihen[[#This Row],[Coupon]]/aktuelleAnleihen[[#This Row],[Aktueller Wechselkurs]]*($AC$1-aktuelleAnleihen[[#This Row],[Letzte Zinszahlung]])/365</f>
        <v>130.56164383561645</v>
      </c>
      <c r="W29" s="4">
        <v>106.5205</v>
      </c>
      <c r="X29" s="120" t="s">
        <v>709</v>
      </c>
      <c r="Y29" s="120" t="s">
        <v>39</v>
      </c>
      <c r="Z29" s="1" t="s">
        <v>710</v>
      </c>
      <c r="AA29" s="1" t="s">
        <v>711</v>
      </c>
      <c r="AB29" s="3">
        <f>SUMIF('Zinszahlungen Anleihen'!K:K,aktuelleAnleihen[[#This Row],[ISIN]],'Zinszahlungen Anleihen'!D:D)</f>
        <v>0</v>
      </c>
      <c r="AE29" s="10"/>
      <c r="AF29" s="1"/>
      <c r="AH29" s="7"/>
      <c r="AJ29" s="1"/>
      <c r="AN29" s="1"/>
      <c r="AQ29" s="1"/>
    </row>
    <row r="30" spans="1:43" x14ac:dyDescent="0.2">
      <c r="A30" s="1" t="s">
        <v>548</v>
      </c>
      <c r="B30" s="1" t="s">
        <v>2</v>
      </c>
      <c r="C30" s="7">
        <v>7.4999999999999997E-2</v>
      </c>
      <c r="D30" s="7">
        <v>1.0649999999999999</v>
      </c>
      <c r="E30" s="7">
        <f>aktuelleAnleihen[[#This Row],[Aktueller Kurs]]-aktuelleAnleihen[[#This Row],[Kaufkurs]]</f>
        <v>-2.5000000000000133E-2</v>
      </c>
      <c r="F30" s="8">
        <f>aktuelleAnleihen[[#This Row],[Stückelung]]*aktuelleAnleihen[[#This Row],[Aktueller Kurs]]*aktuelleAnleihen[[#This Row],[Anteile]]/aktuelleAnleihen[[#This Row],[Aktueller Wechselkurs]]+aktuelleAnleihen[[#This Row],[Stückzinsen]]</f>
        <v>2159.5890410958905</v>
      </c>
      <c r="G30" s="8">
        <f>aktuelleAnleihen[[#This Row],[Kursdifferenz]]*aktuelleAnleihen[[#This Row],[Anteile]]*aktuelleAnleihen[[#This Row],[Stückelung]]/aktuelleAnleihen[[#This Row],[Wechselkurs am Kauftag]]</f>
        <v>-50.00000000000027</v>
      </c>
      <c r="H30" s="8">
        <f>aktuelleAnleihen[[#This Row],[Stückzinsen]]-aktuelleAnleihen[[#This Row],[Stückzinsen am Kauftag]]+aktuelleAnleihen[[#This Row],[Zinszahlungen]]</f>
        <v>26.712341095890412</v>
      </c>
      <c r="I30" s="8">
        <f>aktuelleAnleihen[[#This Row],[Gewinn gesamt]]-aktuelleAnleihen[[#This Row],[Gewinn aus Kursänderung]]-aktuelleAnleihen[[#This Row],[Gewinn aus Zinsen]]</f>
        <v>5.3645976549887564E-13</v>
      </c>
      <c r="J30" s="7">
        <f>aktuelleAnleihen[[#This Row],[Gewinn gesamt]]/aktuelleAnleihen[[#This Row],[Kaufpreis]]</f>
        <v>-1.0668334544094646E-2</v>
      </c>
      <c r="K30" s="3">
        <f>aktuelleAnleihen[[#This Row],[Verkaufspreis]]-aktuelleAnleihen[[#This Row],[Kaufpreis]]+aktuelleAnleihen[[#This Row],[Zinszahlungen]]</f>
        <v>-23.287658904109321</v>
      </c>
      <c r="L30" s="4">
        <v>2182.8766999999998</v>
      </c>
      <c r="M30" s="7">
        <v>1.0900000000000001</v>
      </c>
      <c r="N30" s="61">
        <v>1</v>
      </c>
      <c r="O30" s="1">
        <v>1</v>
      </c>
      <c r="P30" s="1" t="s">
        <v>925</v>
      </c>
      <c r="Q30" s="30">
        <v>45385</v>
      </c>
      <c r="R30" s="1">
        <v>2</v>
      </c>
      <c r="S30" s="1">
        <v>1000</v>
      </c>
      <c r="T30" s="9">
        <v>45378</v>
      </c>
      <c r="U30" s="1">
        <v>2</v>
      </c>
      <c r="V30" s="62">
        <f>aktuelleAnleihen[[#This Row],[Stückelung]]*aktuelleAnleihen[[#This Row],[Anteile]]*aktuelleAnleihen[[#This Row],[Coupon]]/aktuelleAnleihen[[#This Row],[Aktueller Wechselkurs]]*($AC$1-aktuelleAnleihen[[#This Row],[Letzte Zinszahlung]])/365</f>
        <v>29.589041095890412</v>
      </c>
      <c r="W30" s="4">
        <v>2.8767</v>
      </c>
      <c r="X30" s="120" t="s">
        <v>56</v>
      </c>
      <c r="Y30" s="120" t="s">
        <v>39</v>
      </c>
      <c r="Z30" s="1" t="s">
        <v>549</v>
      </c>
      <c r="AA30" s="1" t="s">
        <v>550</v>
      </c>
      <c r="AB30" s="3">
        <f>SUMIF('Zinszahlungen Anleihen'!K:K,aktuelleAnleihen[[#This Row],[ISIN]],'Zinszahlungen Anleihen'!D:D)</f>
        <v>0</v>
      </c>
      <c r="AE30" s="10"/>
      <c r="AF30" s="1"/>
      <c r="AH30" s="7"/>
      <c r="AJ30" s="1"/>
      <c r="AN30" s="1"/>
      <c r="AQ30" s="1"/>
    </row>
    <row r="31" spans="1:43" x14ac:dyDescent="0.2">
      <c r="A31" s="1" t="s">
        <v>641</v>
      </c>
      <c r="B31" s="1" t="s">
        <v>3</v>
      </c>
      <c r="C31" s="7">
        <v>7.0000000000000007E-2</v>
      </c>
      <c r="D31" s="7">
        <v>1.02</v>
      </c>
      <c r="E31" s="7">
        <f>aktuelleAnleihen[[#This Row],[Aktueller Kurs]]-aktuelleAnleihen[[#This Row],[Kaufkurs]]</f>
        <v>-2.4999999999999911E-2</v>
      </c>
      <c r="F31" s="8">
        <f>aktuelleAnleihen[[#This Row],[Stückelung]]*aktuelleAnleihen[[#This Row],[Aktueller Kurs]]*aktuelleAnleihen[[#This Row],[Anteile]]/aktuelleAnleihen[[#This Row],[Aktueller Wechselkurs]]+aktuelleAnleihen[[#This Row],[Stückzinsen]]</f>
        <v>2110.1917808219177</v>
      </c>
      <c r="G31" s="8">
        <f>aktuelleAnleihen[[#This Row],[Kursdifferenz]]*aktuelleAnleihen[[#This Row],[Anteile]]*aktuelleAnleihen[[#This Row],[Stückelung]]/aktuelleAnleihen[[#This Row],[Wechselkurs am Kauftag]]</f>
        <v>-49.999999999999822</v>
      </c>
      <c r="H31" s="8">
        <f>aktuelleAnleihen[[#This Row],[Stückzinsen]]-aktuelleAnleihen[[#This Row],[Stückzinsen am Kauftag]]+aktuelleAnleihen[[#This Row],[Zinszahlungen]]</f>
        <v>24.931480821917802</v>
      </c>
      <c r="I31" s="8">
        <f>aktuelleAnleihen[[#This Row],[Gewinn gesamt]]-aktuelleAnleihen[[#This Row],[Gewinn aus Kursänderung]]-aktuelleAnleihen[[#This Row],[Gewinn aus Zinsen]]</f>
        <v>-1.4921397450962104E-13</v>
      </c>
      <c r="J31" s="7">
        <f>aktuelleAnleihen[[#This Row],[Gewinn gesamt]]/aktuelleAnleihen[[#This Row],[Kaufpreis]]</f>
        <v>-1.1740263788017869E-2</v>
      </c>
      <c r="K31" s="3">
        <f>aktuelleAnleihen[[#This Row],[Verkaufspreis]]-aktuelleAnleihen[[#This Row],[Kaufpreis]]+aktuelleAnleihen[[#This Row],[Zinszahlungen]]</f>
        <v>-25.06851917808217</v>
      </c>
      <c r="L31" s="4">
        <v>2135.2602999999999</v>
      </c>
      <c r="M31" s="7">
        <v>1.0449999999999999</v>
      </c>
      <c r="N31" s="61">
        <v>1</v>
      </c>
      <c r="O31" s="1">
        <v>1</v>
      </c>
      <c r="P31" s="1" t="s">
        <v>925</v>
      </c>
      <c r="Q31" s="30">
        <v>45385</v>
      </c>
      <c r="R31" s="1">
        <v>2</v>
      </c>
      <c r="S31" s="1">
        <v>1000</v>
      </c>
      <c r="T31" s="9">
        <v>45267</v>
      </c>
      <c r="U31" s="1">
        <v>1</v>
      </c>
      <c r="V31" s="62">
        <f>aktuelleAnleihen[[#This Row],[Stückelung]]*aktuelleAnleihen[[#This Row],[Anteile]]*aktuelleAnleihen[[#This Row],[Coupon]]/aktuelleAnleihen[[#This Row],[Aktueller Wechselkurs]]*($AC$1-aktuelleAnleihen[[#This Row],[Letzte Zinszahlung]])/365</f>
        <v>70.191780821917803</v>
      </c>
      <c r="W31" s="4">
        <v>45.260300000000001</v>
      </c>
      <c r="X31" s="120" t="s">
        <v>56</v>
      </c>
      <c r="Y31" s="120" t="s">
        <v>39</v>
      </c>
      <c r="Z31" s="1" t="s">
        <v>642</v>
      </c>
      <c r="AA31" s="1" t="s">
        <v>643</v>
      </c>
      <c r="AB31" s="3">
        <f>SUMIF('Zinszahlungen Anleihen'!K:K,aktuelleAnleihen[[#This Row],[ISIN]],'Zinszahlungen Anleihen'!D:D)</f>
        <v>0</v>
      </c>
      <c r="AE31" s="10"/>
      <c r="AF31" s="1"/>
      <c r="AH31" s="7"/>
      <c r="AJ31" s="1"/>
      <c r="AN31" s="1"/>
      <c r="AQ31" s="1"/>
    </row>
    <row r="32" spans="1:43" x14ac:dyDescent="0.2">
      <c r="A32" s="1" t="s">
        <v>660</v>
      </c>
      <c r="B32" s="1" t="s">
        <v>10</v>
      </c>
      <c r="C32" s="7">
        <v>7.0000000000000007E-2</v>
      </c>
      <c r="D32" s="7">
        <v>1.0515000000000001</v>
      </c>
      <c r="E32" s="7">
        <f>aktuelleAnleihen[[#This Row],[Aktueller Kurs]]-aktuelleAnleihen[[#This Row],[Kaufkurs]]</f>
        <v>-2.3499999999999854E-2</v>
      </c>
      <c r="F32" s="8">
        <f>aktuelleAnleihen[[#This Row],[Stückelung]]*aktuelleAnleihen[[#This Row],[Aktueller Kurs]]*aktuelleAnleihen[[#This Row],[Anteile]]/aktuelleAnleihen[[#This Row],[Aktueller Wechselkurs]]+aktuelleAnleihen[[#This Row],[Stückzinsen]]</f>
        <v>2230.3424657534247</v>
      </c>
      <c r="G32" s="8">
        <f>aktuelleAnleihen[[#This Row],[Kursdifferenz]]*aktuelleAnleihen[[#This Row],[Anteile]]*aktuelleAnleihen[[#This Row],[Stückelung]]/aktuelleAnleihen[[#This Row],[Wechselkurs am Kauftag]]</f>
        <v>-46.999999999999709</v>
      </c>
      <c r="H32" s="8">
        <f>aktuelleAnleihen[[#This Row],[Stückzinsen]]-aktuelleAnleihen[[#This Row],[Stückzinsen am Kauftag]]+aktuelleAnleihen[[#This Row],[Zinszahlungen]]</f>
        <v>24.931465753424661</v>
      </c>
      <c r="I32" s="8">
        <f>aktuelleAnleihen[[#This Row],[Gewinn gesamt]]-aktuelleAnleihen[[#This Row],[Gewinn aus Kursänderung]]-aktuelleAnleihen[[#This Row],[Gewinn aus Zinsen]]</f>
        <v>-3.3395508580724709E-13</v>
      </c>
      <c r="J32" s="7">
        <f>aktuelleAnleihen[[#This Row],[Gewinn gesamt]]/aktuelleAnleihen[[#This Row],[Kaufpreis]]</f>
        <v>-9.7977386216704602E-3</v>
      </c>
      <c r="K32" s="3">
        <f>aktuelleAnleihen[[#This Row],[Verkaufspreis]]-aktuelleAnleihen[[#This Row],[Kaufpreis]]+aktuelleAnleihen[[#This Row],[Zinszahlungen]]</f>
        <v>-22.068534246575382</v>
      </c>
      <c r="L32" s="4">
        <v>2252.4110000000001</v>
      </c>
      <c r="M32" s="7">
        <v>1.075</v>
      </c>
      <c r="N32" s="61">
        <v>1</v>
      </c>
      <c r="O32" s="1">
        <v>1</v>
      </c>
      <c r="P32" s="1" t="s">
        <v>925</v>
      </c>
      <c r="Q32" s="30">
        <v>45385</v>
      </c>
      <c r="R32" s="1">
        <v>2</v>
      </c>
      <c r="S32" s="1">
        <v>1000</v>
      </c>
      <c r="T32" s="9">
        <v>45118</v>
      </c>
      <c r="U32" s="1">
        <v>1</v>
      </c>
      <c r="V32" s="62">
        <f>aktuelleAnleihen[[#This Row],[Stückelung]]*aktuelleAnleihen[[#This Row],[Anteile]]*aktuelleAnleihen[[#This Row],[Coupon]]/aktuelleAnleihen[[#This Row],[Aktueller Wechselkurs]]*($AC$1-aktuelleAnleihen[[#This Row],[Letzte Zinszahlung]])/365</f>
        <v>127.34246575342466</v>
      </c>
      <c r="W32" s="4">
        <v>102.411</v>
      </c>
      <c r="X32" s="120" t="s">
        <v>56</v>
      </c>
      <c r="Y32" s="120" t="s">
        <v>438</v>
      </c>
      <c r="Z32" s="1" t="s">
        <v>661</v>
      </c>
      <c r="AA32" s="1" t="s">
        <v>662</v>
      </c>
      <c r="AB32" s="3">
        <f>SUMIF('Zinszahlungen Anleihen'!K:K,aktuelleAnleihen[[#This Row],[ISIN]],'Zinszahlungen Anleihen'!D:D)</f>
        <v>0</v>
      </c>
      <c r="AE32" s="10"/>
      <c r="AF32" s="1"/>
      <c r="AH32" s="7"/>
      <c r="AJ32" s="1"/>
      <c r="AN32" s="1"/>
      <c r="AQ32" s="1"/>
    </row>
    <row r="33" spans="1:43" x14ac:dyDescent="0.2">
      <c r="A33" s="1" t="s">
        <v>1519</v>
      </c>
      <c r="B33" s="1" t="s">
        <v>8</v>
      </c>
      <c r="C33" s="7">
        <v>9.6250000000000002E-2</v>
      </c>
      <c r="D33" s="7">
        <v>0.92125000000000001</v>
      </c>
      <c r="E33" s="7">
        <f>aktuelleAnleihen[[#This Row],[Aktueller Kurs]]-aktuelleAnleihen[[#This Row],[Kaufkurs]]</f>
        <v>-2.5050000000000017E-2</v>
      </c>
      <c r="F33" s="8">
        <f>aktuelleAnleihen[[#This Row],[Stückelung]]*aktuelleAnleihen[[#This Row],[Aktueller Kurs]]*aktuelleAnleihen[[#This Row],[Anteile]]/aktuelleAnleihen[[#This Row],[Aktueller Wechselkurs]]+aktuelleAnleihen[[#This Row],[Stückzinsen]]</f>
        <v>1761.495919088653</v>
      </c>
      <c r="G33" s="8">
        <f>aktuelleAnleihen[[#This Row],[Kursdifferenz]]*aktuelleAnleihen[[#This Row],[Anteile]]*aktuelleAnleihen[[#This Row],[Stückelung]]/aktuelleAnleihen[[#This Row],[Wechselkurs am Kauftag]]</f>
        <v>-46.721999440455129</v>
      </c>
      <c r="H33" s="8">
        <f>aktuelleAnleihen[[#This Row],[Stückzinsen]]-aktuelleAnleihen[[#This Row],[Stückzinsen am Kauftag]]+aktuelleAnleihen[[#This Row],[Zinszahlungen]]</f>
        <v>17.597277384493665</v>
      </c>
      <c r="I33" s="8">
        <f>aktuelleAnleihen[[#This Row],[Gewinn gesamt]]-aktuelleAnleihen[[#This Row],[Gewinn aus Kursänderung]]-aktuelleAnleihen[[#This Row],[Gewinn aus Zinsen]]</f>
        <v>-26.505258855385584</v>
      </c>
      <c r="J33" s="7">
        <f>aktuelleAnleihen[[#This Row],[Gewinn gesamt]]/aktuelleAnleihen[[#This Row],[Kaufpreis]]</f>
        <v>-3.0614268890970651E-2</v>
      </c>
      <c r="K33" s="3">
        <f>aktuelleAnleihen[[#This Row],[Verkaufspreis]]-aktuelleAnleihen[[#This Row],[Kaufpreis]]+aktuelleAnleihen[[#This Row],[Zinszahlungen]]</f>
        <v>-55.629980911347047</v>
      </c>
      <c r="L33" s="4">
        <v>1817.1259</v>
      </c>
      <c r="M33" s="7">
        <v>0.94630000000000003</v>
      </c>
      <c r="N33" s="61">
        <v>1.0723</v>
      </c>
      <c r="O33" s="1">
        <v>1.0891</v>
      </c>
      <c r="P33" s="1" t="s">
        <v>887</v>
      </c>
      <c r="Q33" s="30">
        <v>45412</v>
      </c>
      <c r="R33" s="1">
        <v>2</v>
      </c>
      <c r="S33" s="1">
        <v>1000</v>
      </c>
      <c r="T33" s="9">
        <v>45306</v>
      </c>
      <c r="U33" s="1">
        <v>2</v>
      </c>
      <c r="V33" s="62">
        <f>aktuelleAnleihen[[#This Row],[Stückelung]]*aktuelleAnleihen[[#This Row],[Anteile]]*aktuelleAnleihen[[#This Row],[Coupon]]/aktuelleAnleihen[[#This Row],[Aktueller Wechselkurs]]*($AC$1-aktuelleAnleihen[[#This Row],[Letzte Zinszahlung]])/365</f>
        <v>69.732077384493664</v>
      </c>
      <c r="W33" s="4">
        <v>52.134799999999998</v>
      </c>
      <c r="X33" s="120" t="s">
        <v>35</v>
      </c>
      <c r="Y33" s="120" t="s">
        <v>1011</v>
      </c>
      <c r="Z33" s="1" t="s">
        <v>1520</v>
      </c>
      <c r="AA33" s="1" t="s">
        <v>1521</v>
      </c>
      <c r="AB33" s="3">
        <f>SUMIF('Zinszahlungen Anleihen'!K:K,aktuelleAnleihen[[#This Row],[ISIN]],'Zinszahlungen Anleihen'!D:D)</f>
        <v>0</v>
      </c>
      <c r="AE33" s="10"/>
      <c r="AF33" s="1"/>
      <c r="AH33" s="7"/>
      <c r="AJ33" s="1"/>
      <c r="AN33" s="1"/>
      <c r="AQ33" s="1"/>
    </row>
    <row r="34" spans="1:43" x14ac:dyDescent="0.2">
      <c r="A34" s="1" t="s">
        <v>1001</v>
      </c>
      <c r="B34" s="1" t="s">
        <v>11</v>
      </c>
      <c r="C34" s="7">
        <v>0.11749999999999999</v>
      </c>
      <c r="D34" s="7">
        <v>0.16619999999999999</v>
      </c>
      <c r="E34" s="7">
        <f>aktuelleAnleihen[[#This Row],[Aktueller Kurs]]-aktuelleAnleihen[[#This Row],[Kaufkurs]]</f>
        <v>-2.3200000000000026E-2</v>
      </c>
      <c r="F34" s="8">
        <f>aktuelleAnleihen[[#This Row],[Stückelung]]*aktuelleAnleihen[[#This Row],[Aktueller Kurs]]*aktuelleAnleihen[[#This Row],[Anteile]]/aktuelleAnleihen[[#This Row],[Aktueller Wechselkurs]]+aktuelleAnleihen[[#This Row],[Stückzinsen]]</f>
        <v>332.99079420861511</v>
      </c>
      <c r="G34" s="8">
        <f>aktuelleAnleihen[[#This Row],[Kursdifferenz]]*aktuelleAnleihen[[#This Row],[Anteile]]*aktuelleAnleihen[[#This Row],[Stückelung]]/aktuelleAnleihen[[#This Row],[Wechselkurs am Kauftag]]</f>
        <v>-43.271472535671037</v>
      </c>
      <c r="H34" s="8">
        <f>aktuelleAnleihen[[#This Row],[Stückzinsen]]-aktuelleAnleihen[[#This Row],[Stückzinsen am Kauftag]]+aktuelleAnleihen[[#This Row],[Zinszahlungen]]</f>
        <v>22.380860703886455</v>
      </c>
      <c r="I34" s="8">
        <f>aktuelleAnleihen[[#This Row],[Gewinn gesamt]]-aktuelleAnleihen[[#This Row],[Gewinn aus Kursänderung]]-aktuelleAnleihen[[#This Row],[Gewinn aus Zinsen]]</f>
        <v>-4.7817939596003214</v>
      </c>
      <c r="J34" s="7">
        <f>aktuelleAnleihen[[#This Row],[Gewinn gesamt]]/aktuelleAnleihen[[#This Row],[Kaufpreis]]</f>
        <v>-7.1578031399332026E-2</v>
      </c>
      <c r="K34" s="3">
        <f>aktuelleAnleihen[[#This Row],[Verkaufspreis]]-aktuelleAnleihen[[#This Row],[Kaufpreis]]+aktuelleAnleihen[[#This Row],[Zinszahlungen]]</f>
        <v>-25.672405791384904</v>
      </c>
      <c r="L34" s="4">
        <v>358.66320000000002</v>
      </c>
      <c r="M34" s="7">
        <v>0.18940000000000001</v>
      </c>
      <c r="N34" s="61">
        <v>1.0723</v>
      </c>
      <c r="O34" s="1">
        <v>1.0891</v>
      </c>
      <c r="P34" s="1" t="s">
        <v>887</v>
      </c>
      <c r="Q34" s="30">
        <v>45412</v>
      </c>
      <c r="R34" s="1">
        <v>20</v>
      </c>
      <c r="S34" s="1">
        <v>100</v>
      </c>
      <c r="T34" s="9">
        <v>45403</v>
      </c>
      <c r="U34" s="1">
        <v>2</v>
      </c>
      <c r="V34" s="62">
        <f>aktuelleAnleihen[[#This Row],[Stückelung]]*aktuelleAnleihen[[#This Row],[Anteile]]*aktuelleAnleihen[[#This Row],[Coupon]]/aktuelleAnleihen[[#This Row],[Aktueller Wechselkurs]]*($AC$1-aktuelleAnleihen[[#This Row],[Letzte Zinszahlung]])/365</f>
        <v>27.784660703886455</v>
      </c>
      <c r="W34" s="4">
        <v>5.4038000000000004</v>
      </c>
      <c r="X34" s="120" t="s">
        <v>1002</v>
      </c>
      <c r="Y34" s="120" t="s">
        <v>61</v>
      </c>
      <c r="Z34" s="1" t="s">
        <v>1015</v>
      </c>
      <c r="AA34" s="1" t="s">
        <v>1016</v>
      </c>
      <c r="AB34" s="3">
        <f>SUMIF('Zinszahlungen Anleihen'!K:K,aktuelleAnleihen[[#This Row],[ISIN]],'Zinszahlungen Anleihen'!D:D)</f>
        <v>0</v>
      </c>
      <c r="AE34" s="10"/>
      <c r="AF34" s="1"/>
      <c r="AH34" s="7"/>
      <c r="AJ34" s="1"/>
      <c r="AN34" s="1"/>
      <c r="AQ34" s="1"/>
    </row>
    <row r="35" spans="1:43" x14ac:dyDescent="0.2">
      <c r="A35" s="1" t="s">
        <v>426</v>
      </c>
      <c r="B35" s="1" t="s">
        <v>8</v>
      </c>
      <c r="C35" s="7">
        <v>8.1250000000000003E-2</v>
      </c>
      <c r="D35" s="7">
        <v>1.3344</v>
      </c>
      <c r="E35" s="7">
        <f>aktuelleAnleihen[[#This Row],[Aktueller Kurs]]-aktuelleAnleihen[[#This Row],[Kaufkurs]]</f>
        <v>-2.1500000000000075E-2</v>
      </c>
      <c r="F35" s="8">
        <f>aktuelleAnleihen[[#This Row],[Stückelung]]*aktuelleAnleihen[[#This Row],[Aktueller Kurs]]*aktuelleAnleihen[[#This Row],[Anteile]]/aktuelleAnleihen[[#This Row],[Aktueller Wechselkurs]]+aktuelleAnleihen[[#This Row],[Stückzinsen]]</f>
        <v>2727.1219178082192</v>
      </c>
      <c r="G35" s="8">
        <f>aktuelleAnleihen[[#This Row],[Kursdifferenz]]*aktuelleAnleihen[[#This Row],[Anteile]]*aktuelleAnleihen[[#This Row],[Stückelung]]/aktuelleAnleihen[[#This Row],[Wechselkurs am Kauftag]]</f>
        <v>-43.000000000000149</v>
      </c>
      <c r="H35" s="8">
        <f>aktuelleAnleihen[[#This Row],[Stückzinsen]]-aktuelleAnleihen[[#This Row],[Stückzinsen am Kauftag]]+aktuelleAnleihen[[#This Row],[Zinszahlungen]]</f>
        <v>28.938317808219175</v>
      </c>
      <c r="I35" s="8">
        <f>aktuelleAnleihen[[#This Row],[Gewinn gesamt]]-aktuelleAnleihen[[#This Row],[Gewinn aus Kursänderung]]-aktuelleAnleihen[[#This Row],[Gewinn aus Zinsen]]</f>
        <v>3.5527136788005009E-13</v>
      </c>
      <c r="J35" s="7">
        <f>aktuelleAnleihen[[#This Row],[Gewinn gesamt]]/aktuelleAnleihen[[#This Row],[Kaufpreis]]</f>
        <v>-5.1297848826253808E-3</v>
      </c>
      <c r="K35" s="3">
        <f>aktuelleAnleihen[[#This Row],[Verkaufspreis]]-aktuelleAnleihen[[#This Row],[Kaufpreis]]+aktuelleAnleihen[[#This Row],[Zinszahlungen]]</f>
        <v>-14.061682191780619</v>
      </c>
      <c r="L35" s="4">
        <v>2741.1835999999998</v>
      </c>
      <c r="M35" s="7">
        <v>1.3559000000000001</v>
      </c>
      <c r="N35" s="61">
        <v>1</v>
      </c>
      <c r="O35" s="1">
        <v>1</v>
      </c>
      <c r="P35" s="1" t="s">
        <v>925</v>
      </c>
      <c r="Q35" s="30">
        <v>45385</v>
      </c>
      <c r="R35" s="1">
        <v>2</v>
      </c>
      <c r="S35" s="1">
        <v>1000</v>
      </c>
      <c r="T35" s="9">
        <v>45319</v>
      </c>
      <c r="U35" s="1">
        <v>1</v>
      </c>
      <c r="V35" s="62">
        <f>aktuelleAnleihen[[#This Row],[Stückelung]]*aktuelleAnleihen[[#This Row],[Anteile]]*aktuelleAnleihen[[#This Row],[Coupon]]/aktuelleAnleihen[[#This Row],[Aktueller Wechselkurs]]*($AC$1-aktuelleAnleihen[[#This Row],[Letzte Zinszahlung]])/365</f>
        <v>58.321917808219176</v>
      </c>
      <c r="W35" s="4">
        <v>29.383600000000001</v>
      </c>
      <c r="X35" s="120" t="s">
        <v>102</v>
      </c>
      <c r="Y35" s="120" t="s">
        <v>39</v>
      </c>
      <c r="Z35" s="1" t="s">
        <v>427</v>
      </c>
      <c r="AA35" s="1" t="s">
        <v>428</v>
      </c>
      <c r="AB35" s="3">
        <f>SUMIF('Zinszahlungen Anleihen'!K:K,aktuelleAnleihen[[#This Row],[ISIN]],'Zinszahlungen Anleihen'!D:D)</f>
        <v>0</v>
      </c>
      <c r="AE35" s="10"/>
      <c r="AF35" s="1"/>
      <c r="AH35" s="7"/>
      <c r="AJ35" s="1"/>
      <c r="AN35" s="1"/>
      <c r="AQ35" s="1"/>
    </row>
    <row r="36" spans="1:43" x14ac:dyDescent="0.2">
      <c r="A36" s="1" t="s">
        <v>326</v>
      </c>
      <c r="B36" s="1" t="s">
        <v>1</v>
      </c>
      <c r="C36" s="7">
        <v>0.09</v>
      </c>
      <c r="D36" s="7">
        <v>1.01762</v>
      </c>
      <c r="E36" s="7">
        <f>aktuelleAnleihen[[#This Row],[Aktueller Kurs]]-aktuelleAnleihen[[#This Row],[Kaufkurs]]</f>
        <v>-2.1379999999999955E-2</v>
      </c>
      <c r="F36" s="8">
        <f>aktuelleAnleihen[[#This Row],[Stückelung]]*aktuelleAnleihen[[#This Row],[Aktueller Kurs]]*aktuelleAnleihen[[#This Row],[Anteile]]/aktuelleAnleihen[[#This Row],[Aktueller Wechselkurs]]+aktuelleAnleihen[[#This Row],[Stückzinsen]]</f>
        <v>2076.6646575342465</v>
      </c>
      <c r="G36" s="8">
        <f>aktuelleAnleihen[[#This Row],[Kursdifferenz]]*aktuelleAnleihen[[#This Row],[Anteile]]*aktuelleAnleihen[[#This Row],[Stückelung]]/aktuelleAnleihen[[#This Row],[Wechselkurs am Kauftag]]</f>
        <v>-42.759999999999906</v>
      </c>
      <c r="H36" s="8">
        <f>aktuelleAnleihen[[#This Row],[Stückzinsen]]-aktuelleAnleihen[[#This Row],[Stückzinsen am Kauftag]]+aktuelleAnleihen[[#This Row],[Zinszahlungen]]</f>
        <v>32.054757534246576</v>
      </c>
      <c r="I36" s="8">
        <f>aktuelleAnleihen[[#This Row],[Gewinn gesamt]]-aktuelleAnleihen[[#This Row],[Gewinn aus Kursänderung]]-aktuelleAnleihen[[#This Row],[Gewinn aus Zinsen]]</f>
        <v>-2.7000623958883807E-13</v>
      </c>
      <c r="J36" s="7">
        <f>aktuelleAnleihen[[#This Row],[Gewinn gesamt]]/aktuelleAnleihen[[#This Row],[Kaufpreis]]</f>
        <v>-5.1285794941057635E-3</v>
      </c>
      <c r="K36" s="3">
        <f>aktuelleAnleihen[[#This Row],[Verkaufspreis]]-aktuelleAnleihen[[#This Row],[Kaufpreis]]+aktuelleAnleihen[[#This Row],[Zinszahlungen]]</f>
        <v>-10.705242465753599</v>
      </c>
      <c r="L36" s="4">
        <v>2087.3699000000001</v>
      </c>
      <c r="M36" s="7">
        <v>1.0389999999999999</v>
      </c>
      <c r="N36" s="61">
        <v>1</v>
      </c>
      <c r="O36" s="1">
        <v>1</v>
      </c>
      <c r="P36" s="1" t="s">
        <v>925</v>
      </c>
      <c r="Q36" s="30">
        <v>45385</v>
      </c>
      <c r="R36" s="1">
        <v>2</v>
      </c>
      <c r="S36" s="1">
        <v>1000</v>
      </c>
      <c r="T36" s="9">
        <v>45366</v>
      </c>
      <c r="U36" s="1">
        <v>2</v>
      </c>
      <c r="V36" s="62">
        <f>aktuelleAnleihen[[#This Row],[Stückelung]]*aktuelleAnleihen[[#This Row],[Anteile]]*aktuelleAnleihen[[#This Row],[Coupon]]/aktuelleAnleihen[[#This Row],[Aktueller Wechselkurs]]*($AC$1-aktuelleAnleihen[[#This Row],[Letzte Zinszahlung]])/365</f>
        <v>41.424657534246577</v>
      </c>
      <c r="W36" s="4">
        <v>9.3698999999999995</v>
      </c>
      <c r="X36" s="120" t="s">
        <v>51</v>
      </c>
      <c r="Y36" s="120" t="s">
        <v>91</v>
      </c>
      <c r="Z36" s="1" t="s">
        <v>327</v>
      </c>
      <c r="AA36" s="1" t="s">
        <v>328</v>
      </c>
      <c r="AB36" s="3">
        <f>SUMIF('Zinszahlungen Anleihen'!K:K,aktuelleAnleihen[[#This Row],[ISIN]],'Zinszahlungen Anleihen'!D:D)</f>
        <v>0</v>
      </c>
      <c r="AE36" s="10"/>
      <c r="AF36" s="1"/>
      <c r="AH36" s="7"/>
      <c r="AJ36" s="1"/>
      <c r="AN36" s="1"/>
      <c r="AQ36" s="1"/>
    </row>
    <row r="37" spans="1:43" x14ac:dyDescent="0.2">
      <c r="A37" s="1" t="s">
        <v>138</v>
      </c>
      <c r="B37" s="1" t="s">
        <v>4</v>
      </c>
      <c r="C37" s="7">
        <v>0.12</v>
      </c>
      <c r="D37" s="7">
        <v>1.0348999999999999</v>
      </c>
      <c r="E37" s="7">
        <f>aktuelleAnleihen[[#This Row],[Aktueller Kurs]]-aktuelleAnleihen[[#This Row],[Kaufkurs]]</f>
        <v>-2.1300000000000097E-2</v>
      </c>
      <c r="F37" s="8">
        <f>aktuelleAnleihen[[#This Row],[Stückelung]]*aktuelleAnleihen[[#This Row],[Aktueller Kurs]]*aktuelleAnleihen[[#This Row],[Anteile]]/aktuelleAnleihen[[#This Row],[Aktueller Wechselkurs]]+aktuelleAnleihen[[#This Row],[Stückzinsen]]</f>
        <v>2175.0054794520547</v>
      </c>
      <c r="G37" s="8">
        <f>aktuelleAnleihen[[#This Row],[Kursdifferenz]]*aktuelleAnleihen[[#This Row],[Anteile]]*aktuelleAnleihen[[#This Row],[Stückelung]]/aktuelleAnleihen[[#This Row],[Wechselkurs am Kauftag]]</f>
        <v>-42.600000000000193</v>
      </c>
      <c r="H37" s="8">
        <f>aktuelleAnleihen[[#This Row],[Stückzinsen]]-aktuelleAnleihen[[#This Row],[Stückzinsen am Kauftag]]+aktuelleAnleihen[[#This Row],[Zinszahlungen]]</f>
        <v>47.342479452054789</v>
      </c>
      <c r="I37" s="8">
        <f>aktuelleAnleihen[[#This Row],[Gewinn gesamt]]-aktuelleAnleihen[[#This Row],[Gewinn aus Kursänderung]]-aktuelleAnleihen[[#This Row],[Gewinn aus Zinsen]]</f>
        <v>1.9895196601282805E-13</v>
      </c>
      <c r="J37" s="7">
        <f>aktuelleAnleihen[[#This Row],[Gewinn gesamt]]/aktuelleAnleihen[[#This Row],[Kaufpreis]]</f>
        <v>2.1852095584981154E-3</v>
      </c>
      <c r="K37" s="3">
        <f>aktuelleAnleihen[[#This Row],[Verkaufspreis]]-aktuelleAnleihen[[#This Row],[Kaufpreis]]+aktuelleAnleihen[[#This Row],[Zinszahlungen]]</f>
        <v>4.7424794520547948</v>
      </c>
      <c r="L37" s="4">
        <v>2170.2629999999999</v>
      </c>
      <c r="M37" s="7">
        <v>1.0562</v>
      </c>
      <c r="N37" s="61">
        <v>1</v>
      </c>
      <c r="O37" s="1">
        <v>1</v>
      </c>
      <c r="P37" s="1" t="s">
        <v>925</v>
      </c>
      <c r="Q37" s="30">
        <v>45378</v>
      </c>
      <c r="R37" s="1">
        <v>2</v>
      </c>
      <c r="S37" s="1">
        <v>1000</v>
      </c>
      <c r="T37" s="9">
        <v>45290</v>
      </c>
      <c r="U37" s="1">
        <v>2</v>
      </c>
      <c r="V37" s="62">
        <f>aktuelleAnleihen[[#This Row],[Stückelung]]*aktuelleAnleihen[[#This Row],[Anteile]]*aktuelleAnleihen[[#This Row],[Coupon]]/aktuelleAnleihen[[#This Row],[Aktueller Wechselkurs]]*($AC$1-aktuelleAnleihen[[#This Row],[Letzte Zinszahlung]])/365</f>
        <v>105.20547945205479</v>
      </c>
      <c r="W37" s="4">
        <v>57.863</v>
      </c>
      <c r="X37" s="120" t="s">
        <v>98</v>
      </c>
      <c r="Y37" s="120" t="s">
        <v>39</v>
      </c>
      <c r="Z37" s="1" t="s">
        <v>139</v>
      </c>
      <c r="AA37" s="1" t="s">
        <v>140</v>
      </c>
      <c r="AB37" s="3">
        <f>SUMIF('Zinszahlungen Anleihen'!K:K,aktuelleAnleihen[[#This Row],[ISIN]],'Zinszahlungen Anleihen'!D:D)</f>
        <v>0</v>
      </c>
      <c r="AE37" s="10"/>
      <c r="AF37" s="1"/>
      <c r="AH37" s="7"/>
      <c r="AJ37" s="1"/>
      <c r="AN37" s="1"/>
      <c r="AQ37" s="1"/>
    </row>
    <row r="38" spans="1:43" x14ac:dyDescent="0.2">
      <c r="A38" s="1" t="s">
        <v>817</v>
      </c>
      <c r="B38" s="1" t="s">
        <v>4</v>
      </c>
      <c r="C38" s="7">
        <v>6.1249999999999999E-2</v>
      </c>
      <c r="D38" s="7">
        <v>1.1899</v>
      </c>
      <c r="E38" s="7">
        <f>aktuelleAnleihen[[#This Row],[Aktueller Kurs]]-aktuelleAnleihen[[#This Row],[Kaufkurs]]</f>
        <v>-2.0800000000000152E-2</v>
      </c>
      <c r="F38" s="8">
        <f>aktuelleAnleihen[[#This Row],[Stückelung]]*aktuelleAnleihen[[#This Row],[Aktueller Kurs]]*aktuelleAnleihen[[#This Row],[Anteile]]/aktuelleAnleihen[[#This Row],[Aktueller Wechselkurs]]+aktuelleAnleihen[[#This Row],[Stückzinsen]]</f>
        <v>2445.2452054794517</v>
      </c>
      <c r="G38" s="8">
        <f>aktuelleAnleihen[[#This Row],[Kursdifferenz]]*aktuelleAnleihen[[#This Row],[Anteile]]*aktuelleAnleihen[[#This Row],[Stückelung]]/aktuelleAnleihen[[#This Row],[Wechselkurs am Kauftag]]</f>
        <v>-41.600000000000307</v>
      </c>
      <c r="H38" s="8">
        <f>aktuelleAnleihen[[#This Row],[Stückzinsen]]-aktuelleAnleihen[[#This Row],[Stückzinsen am Kauftag]]+aktuelleAnleihen[[#This Row],[Zinszahlungen]]</f>
        <v>21.815105479452058</v>
      </c>
      <c r="I38" s="8">
        <f>aktuelleAnleihen[[#This Row],[Gewinn gesamt]]-aktuelleAnleihen[[#This Row],[Gewinn aus Kursänderung]]-aktuelleAnleihen[[#This Row],[Gewinn aus Zinsen]]</f>
        <v>-2.8421709430404007E-14</v>
      </c>
      <c r="J38" s="7">
        <f>aktuelleAnleihen[[#This Row],[Gewinn gesamt]]/aktuelleAnleihen[[#This Row],[Kaufpreis]]</f>
        <v>-8.0262283696041995E-3</v>
      </c>
      <c r="K38" s="3">
        <f>aktuelleAnleihen[[#This Row],[Verkaufspreis]]-aktuelleAnleihen[[#This Row],[Kaufpreis]]+aktuelleAnleihen[[#This Row],[Zinszahlungen]]</f>
        <v>-19.784894520548278</v>
      </c>
      <c r="L38" s="4">
        <v>2465.0300999999999</v>
      </c>
      <c r="M38" s="7">
        <v>1.2107000000000001</v>
      </c>
      <c r="N38" s="61">
        <v>1</v>
      </c>
      <c r="O38" s="1">
        <v>1</v>
      </c>
      <c r="P38" s="1" t="s">
        <v>925</v>
      </c>
      <c r="Q38" s="30">
        <v>45385</v>
      </c>
      <c r="R38" s="1">
        <v>2</v>
      </c>
      <c r="S38" s="1">
        <v>1000</v>
      </c>
      <c r="T38" s="9">
        <v>45255</v>
      </c>
      <c r="U38" s="1">
        <v>1</v>
      </c>
      <c r="V38" s="62">
        <f>aktuelleAnleihen[[#This Row],[Stückelung]]*aktuelleAnleihen[[#This Row],[Anteile]]*aktuelleAnleihen[[#This Row],[Coupon]]/aktuelleAnleihen[[#This Row],[Aktueller Wechselkurs]]*($AC$1-aktuelleAnleihen[[#This Row],[Letzte Zinszahlung]])/365</f>
        <v>65.445205479452056</v>
      </c>
      <c r="W38" s="4">
        <v>43.630099999999999</v>
      </c>
      <c r="X38" s="120" t="s">
        <v>102</v>
      </c>
      <c r="Y38" s="120" t="s">
        <v>61</v>
      </c>
      <c r="Z38" s="1" t="s">
        <v>818</v>
      </c>
      <c r="AA38" s="1" t="s">
        <v>819</v>
      </c>
      <c r="AB38" s="3">
        <f>SUMIF('Zinszahlungen Anleihen'!K:K,aktuelleAnleihen[[#This Row],[ISIN]],'Zinszahlungen Anleihen'!D:D)</f>
        <v>0</v>
      </c>
      <c r="AE38" s="10"/>
      <c r="AF38" s="1"/>
      <c r="AH38" s="7"/>
      <c r="AJ38" s="1"/>
      <c r="AN38" s="1"/>
      <c r="AQ38" s="1"/>
    </row>
    <row r="39" spans="1:43" x14ac:dyDescent="0.2">
      <c r="A39" s="1" t="s">
        <v>486</v>
      </c>
      <c r="B39" s="1" t="s">
        <v>6</v>
      </c>
      <c r="C39" s="7">
        <v>7.8750000000000001E-2</v>
      </c>
      <c r="D39" s="7">
        <v>1.1111</v>
      </c>
      <c r="E39" s="7">
        <f>aktuelleAnleihen[[#This Row],[Aktueller Kurs]]-aktuelleAnleihen[[#This Row],[Kaufkurs]]</f>
        <v>-2.0599999999999952E-2</v>
      </c>
      <c r="F39" s="8">
        <f>aktuelleAnleihen[[#This Row],[Stückelung]]*aktuelleAnleihen[[#This Row],[Aktueller Kurs]]*aktuelleAnleihen[[#This Row],[Anteile]]/aktuelleAnleihen[[#This Row],[Aktueller Wechselkurs]]+aktuelleAnleihen[[#This Row],[Stückzinsen]]</f>
        <v>2258.4465753424656</v>
      </c>
      <c r="G39" s="8">
        <f>aktuelleAnleihen[[#This Row],[Kursdifferenz]]*aktuelleAnleihen[[#This Row],[Anteile]]*aktuelleAnleihen[[#This Row],[Stückelung]]/aktuelleAnleihen[[#This Row],[Wechselkurs am Kauftag]]</f>
        <v>-41.199999999999903</v>
      </c>
      <c r="H39" s="8">
        <f>aktuelleAnleihen[[#This Row],[Stückzinsen]]-aktuelleAnleihen[[#This Row],[Stückzinsen am Kauftag]]+aktuelleAnleihen[[#This Row],[Zinszahlungen]]</f>
        <v>28.047975342465755</v>
      </c>
      <c r="I39" s="8">
        <f>aktuelleAnleihen[[#This Row],[Gewinn gesamt]]-aktuelleAnleihen[[#This Row],[Gewinn aus Kursänderung]]-aktuelleAnleihen[[#This Row],[Gewinn aus Zinsen]]</f>
        <v>-3.5527136788005009E-14</v>
      </c>
      <c r="J39" s="7">
        <f>aktuelleAnleihen[[#This Row],[Gewinn gesamt]]/aktuelleAnleihen[[#This Row],[Kaufpreis]]</f>
        <v>-5.789766139816333E-3</v>
      </c>
      <c r="K39" s="3">
        <f>aktuelleAnleihen[[#This Row],[Verkaufspreis]]-aktuelleAnleihen[[#This Row],[Kaufpreis]]+aktuelleAnleihen[[#This Row],[Zinszahlungen]]</f>
        <v>-13.152024657534184</v>
      </c>
      <c r="L39" s="4">
        <v>2271.5985999999998</v>
      </c>
      <c r="M39" s="7">
        <v>1.1316999999999999</v>
      </c>
      <c r="N39" s="61">
        <v>1</v>
      </c>
      <c r="O39" s="1">
        <v>1</v>
      </c>
      <c r="P39" s="1" t="s">
        <v>925</v>
      </c>
      <c r="Q39" s="30">
        <v>45385</v>
      </c>
      <c r="R39" s="1">
        <v>2</v>
      </c>
      <c r="S39" s="1">
        <v>1000</v>
      </c>
      <c r="T39" s="9">
        <v>45366</v>
      </c>
      <c r="U39" s="1">
        <v>2</v>
      </c>
      <c r="V39" s="62">
        <f>aktuelleAnleihen[[#This Row],[Stückelung]]*aktuelleAnleihen[[#This Row],[Anteile]]*aktuelleAnleihen[[#This Row],[Coupon]]/aktuelleAnleihen[[#This Row],[Aktueller Wechselkurs]]*($AC$1-aktuelleAnleihen[[#This Row],[Letzte Zinszahlung]])/365</f>
        <v>36.246575342465754</v>
      </c>
      <c r="W39" s="4">
        <v>8.1986000000000008</v>
      </c>
      <c r="X39" s="120" t="s">
        <v>51</v>
      </c>
      <c r="Y39" s="120" t="s">
        <v>44</v>
      </c>
      <c r="Z39" s="1" t="s">
        <v>487</v>
      </c>
      <c r="AA39" s="1" t="s">
        <v>488</v>
      </c>
      <c r="AB39" s="3">
        <f>SUMIF('Zinszahlungen Anleihen'!K:K,aktuelleAnleihen[[#This Row],[ISIN]],'Zinszahlungen Anleihen'!D:D)</f>
        <v>0</v>
      </c>
      <c r="AE39" s="10"/>
      <c r="AF39" s="1"/>
      <c r="AH39" s="7"/>
      <c r="AJ39" s="1"/>
      <c r="AN39" s="1"/>
      <c r="AQ39" s="1"/>
    </row>
    <row r="40" spans="1:43" x14ac:dyDescent="0.2">
      <c r="A40" s="1" t="s">
        <v>1076</v>
      </c>
      <c r="B40" s="1" t="s">
        <v>8</v>
      </c>
      <c r="C40" s="7">
        <v>0.10249999999999999</v>
      </c>
      <c r="D40" s="7">
        <v>0.93054999999999999</v>
      </c>
      <c r="E40" s="7">
        <f>aktuelleAnleihen[[#This Row],[Aktueller Kurs]]-aktuelleAnleihen[[#This Row],[Kaufkurs]]</f>
        <v>-2.1850000000000036E-2</v>
      </c>
      <c r="F40" s="8">
        <f>aktuelleAnleihen[[#This Row],[Stückelung]]*aktuelleAnleihen[[#This Row],[Aktueller Kurs]]*aktuelleAnleihen[[#This Row],[Anteile]]/aktuelleAnleihen[[#This Row],[Aktueller Wechselkurs]]+aktuelleAnleihen[[#This Row],[Stückzinsen]]</f>
        <v>1783.1022976115758</v>
      </c>
      <c r="G40" s="8">
        <f>aktuelleAnleihen[[#This Row],[Kursdifferenz]]*aktuelleAnleihen[[#This Row],[Anteile]]*aktuelleAnleihen[[#This Row],[Stückelung]]/aktuelleAnleihen[[#This Row],[Wechselkurs am Kauftag]]</f>
        <v>-40.75352047001779</v>
      </c>
      <c r="H40" s="8">
        <f>aktuelleAnleihen[[#This Row],[Stückzinsen]]-aktuelleAnleihen[[#This Row],[Stückzinsen am Kauftag]]+aktuelleAnleihen[[#This Row],[Zinszahlungen]]</f>
        <v>18.740034357512741</v>
      </c>
      <c r="I40" s="8">
        <f>aktuelleAnleihen[[#This Row],[Gewinn gesamt]]-aktuelleAnleihen[[#This Row],[Gewinn aus Kursänderung]]-aktuelleAnleihen[[#This Row],[Gewinn aus Zinsen]]</f>
        <v>-26.772916275919172</v>
      </c>
      <c r="J40" s="7">
        <f>aktuelleAnleihen[[#This Row],[Gewinn gesamt]]/aktuelleAnleihen[[#This Row],[Kaufpreis]]</f>
        <v>-2.6631750274142867E-2</v>
      </c>
      <c r="K40" s="3">
        <f>aktuelleAnleihen[[#This Row],[Verkaufspreis]]-aktuelleAnleihen[[#This Row],[Kaufpreis]]+aktuelleAnleihen[[#This Row],[Zinszahlungen]]</f>
        <v>-48.786402388424221</v>
      </c>
      <c r="L40" s="4">
        <v>1831.8887</v>
      </c>
      <c r="M40" s="7">
        <v>0.95240000000000002</v>
      </c>
      <c r="N40" s="61">
        <v>1.0723</v>
      </c>
      <c r="O40" s="1">
        <v>1.0891</v>
      </c>
      <c r="P40" s="1" t="s">
        <v>887</v>
      </c>
      <c r="Q40" s="30">
        <v>45412</v>
      </c>
      <c r="R40" s="1">
        <v>2</v>
      </c>
      <c r="S40" s="1">
        <v>1000</v>
      </c>
      <c r="T40" s="9">
        <v>45306</v>
      </c>
      <c r="U40" s="1">
        <v>2</v>
      </c>
      <c r="V40" s="62">
        <f>aktuelleAnleihen[[#This Row],[Stückelung]]*aktuelleAnleihen[[#This Row],[Anteile]]*aktuelleAnleihen[[#This Row],[Coupon]]/aktuelleAnleihen[[#This Row],[Aktueller Wechselkurs]]*($AC$1-aktuelleAnleihen[[#This Row],[Letzte Zinszahlung]])/365</f>
        <v>74.26013435751274</v>
      </c>
      <c r="W40" s="4">
        <v>55.520099999999999</v>
      </c>
      <c r="X40" s="120" t="s">
        <v>276</v>
      </c>
      <c r="Y40" s="120" t="s">
        <v>39</v>
      </c>
      <c r="Z40" s="1" t="s">
        <v>1077</v>
      </c>
      <c r="AA40" s="1" t="s">
        <v>1078</v>
      </c>
      <c r="AB40" s="3">
        <f>SUMIF('Zinszahlungen Anleihen'!K:K,aktuelleAnleihen[[#This Row],[ISIN]],'Zinszahlungen Anleihen'!D:D)</f>
        <v>0</v>
      </c>
      <c r="AE40" s="10"/>
      <c r="AF40" s="1"/>
      <c r="AH40" s="7"/>
      <c r="AJ40" s="1"/>
      <c r="AN40" s="1"/>
      <c r="AQ40" s="1"/>
    </row>
    <row r="41" spans="1:43" x14ac:dyDescent="0.2">
      <c r="A41" s="1" t="s">
        <v>1393</v>
      </c>
      <c r="B41" s="1" t="s">
        <v>1</v>
      </c>
      <c r="C41" s="7">
        <v>8.7499999999999994E-2</v>
      </c>
      <c r="D41" s="7">
        <v>0.95789999999999997</v>
      </c>
      <c r="E41" s="7">
        <f>aktuelleAnleihen[[#This Row],[Aktueller Kurs]]-aktuelleAnleihen[[#This Row],[Kaufkurs]]</f>
        <v>-2.1800000000000042E-2</v>
      </c>
      <c r="F41" s="8">
        <f>aktuelleAnleihen[[#This Row],[Stückelung]]*aktuelleAnleihen[[#This Row],[Aktueller Kurs]]*aktuelleAnleihen[[#This Row],[Anteile]]/aktuelleAnleihen[[#This Row],[Aktueller Wechselkurs]]+aktuelleAnleihen[[#This Row],[Stückzinsen]]</f>
        <v>1796.0462515863924</v>
      </c>
      <c r="G41" s="8">
        <f>aktuelleAnleihen[[#This Row],[Kursdifferenz]]*aktuelleAnleihen[[#This Row],[Anteile]]*aktuelleAnleihen[[#This Row],[Stückelung]]/aktuelleAnleihen[[#This Row],[Wechselkurs am Kauftag]]</f>
        <v>-40.660262986104705</v>
      </c>
      <c r="H41" s="8">
        <f>aktuelleAnleihen[[#This Row],[Stückzinsen]]-aktuelleAnleihen[[#This Row],[Stückzinsen am Kauftag]]+aktuelleAnleihen[[#This Row],[Zinszahlungen]]</f>
        <v>16.411431946322406</v>
      </c>
      <c r="I41" s="8">
        <f>aktuelleAnleihen[[#This Row],[Gewinn gesamt]]-aktuelleAnleihen[[#This Row],[Gewinn aus Kursänderung]]-aktuelleAnleihen[[#This Row],[Gewinn aus Zinsen]]</f>
        <v>-27.559817373825371</v>
      </c>
      <c r="J41" s="7">
        <f>aktuelleAnleihen[[#This Row],[Gewinn gesamt]]/aktuelleAnleihen[[#This Row],[Kaufpreis]]</f>
        <v>-2.8037184312257241E-2</v>
      </c>
      <c r="K41" s="3">
        <f>aktuelleAnleihen[[#This Row],[Verkaufspreis]]-aktuelleAnleihen[[#This Row],[Kaufpreis]]+aktuelleAnleihen[[#This Row],[Zinszahlungen]]</f>
        <v>-51.808648413607671</v>
      </c>
      <c r="L41" s="4">
        <v>1847.8549</v>
      </c>
      <c r="M41" s="7">
        <v>0.97970000000000002</v>
      </c>
      <c r="N41" s="61">
        <v>1.0723</v>
      </c>
      <c r="O41" s="1">
        <v>1.0891</v>
      </c>
      <c r="P41" s="1" t="s">
        <v>887</v>
      </c>
      <c r="Q41" s="30">
        <v>45412</v>
      </c>
      <c r="R41" s="1">
        <v>2</v>
      </c>
      <c r="S41" s="1">
        <v>1000</v>
      </c>
      <c r="T41" s="9">
        <v>45366</v>
      </c>
      <c r="U41" s="1">
        <v>2</v>
      </c>
      <c r="V41" s="62">
        <f>aktuelleAnleihen[[#This Row],[Stückelung]]*aktuelleAnleihen[[#This Row],[Anteile]]*aktuelleAnleihen[[#This Row],[Coupon]]/aktuelleAnleihen[[#This Row],[Aktueller Wechselkurs]]*($AC$1-aktuelleAnleihen[[#This Row],[Letzte Zinszahlung]])/365</f>
        <v>36.979131946322404</v>
      </c>
      <c r="W41" s="4">
        <v>20.567699999999999</v>
      </c>
      <c r="X41" s="120" t="s">
        <v>276</v>
      </c>
      <c r="Y41" s="120" t="s">
        <v>39</v>
      </c>
      <c r="Z41" s="1" t="s">
        <v>1394</v>
      </c>
      <c r="AA41" s="1" t="s">
        <v>1395</v>
      </c>
      <c r="AB41" s="3">
        <f>SUMIF('Zinszahlungen Anleihen'!K:K,aktuelleAnleihen[[#This Row],[ISIN]],'Zinszahlungen Anleihen'!D:D)</f>
        <v>0</v>
      </c>
      <c r="AE41" s="10"/>
      <c r="AF41" s="1"/>
      <c r="AH41" s="7"/>
      <c r="AJ41" s="1"/>
      <c r="AN41" s="1"/>
      <c r="AQ41" s="1"/>
    </row>
    <row r="42" spans="1:43" x14ac:dyDescent="0.2">
      <c r="A42" s="1" t="s">
        <v>144</v>
      </c>
      <c r="B42" s="1" t="s">
        <v>1</v>
      </c>
      <c r="C42" s="7">
        <v>0.12</v>
      </c>
      <c r="D42" s="7">
        <v>1.1200000000000001</v>
      </c>
      <c r="E42" s="7">
        <f>aktuelleAnleihen[[#This Row],[Aktueller Kurs]]-aktuelleAnleihen[[#This Row],[Kaufkurs]]</f>
        <v>-1.9999999999999796E-2</v>
      </c>
      <c r="F42" s="8">
        <f>aktuelleAnleihen[[#This Row],[Stückelung]]*aktuelleAnleihen[[#This Row],[Aktueller Kurs]]*aktuelleAnleihen[[#This Row],[Anteile]]/aktuelleAnleihen[[#This Row],[Aktueller Wechselkurs]]+aktuelleAnleihen[[#This Row],[Stückzinsen]]</f>
        <v>2297.205479452055</v>
      </c>
      <c r="G42" s="8">
        <f>aktuelleAnleihen[[#This Row],[Kursdifferenz]]*aktuelleAnleihen[[#This Row],[Anteile]]*aktuelleAnleihen[[#This Row],[Stückelung]]/aktuelleAnleihen[[#This Row],[Wechselkurs am Kauftag]]</f>
        <v>-39.999999999999588</v>
      </c>
      <c r="H42" s="8">
        <f>aktuelleAnleihen[[#This Row],[Stückzinsen]]-aktuelleAnleihen[[#This Row],[Stückzinsen am Kauftag]]+aktuelleAnleihen[[#This Row],[Zinszahlungen]]</f>
        <v>47.342479452054796</v>
      </c>
      <c r="I42" s="8">
        <f>aktuelleAnleihen[[#This Row],[Gewinn gesamt]]-aktuelleAnleihen[[#This Row],[Gewinn aus Kursänderung]]-aktuelleAnleihen[[#This Row],[Gewinn aus Zinsen]]</f>
        <v>0</v>
      </c>
      <c r="J42" s="7">
        <f>aktuelleAnleihen[[#This Row],[Gewinn gesamt]]/aktuelleAnleihen[[#This Row],[Kaufpreis]]</f>
        <v>3.2065147356218075E-3</v>
      </c>
      <c r="K42" s="3">
        <f>aktuelleAnleihen[[#This Row],[Verkaufspreis]]-aktuelleAnleihen[[#This Row],[Kaufpreis]]+aktuelleAnleihen[[#This Row],[Zinszahlungen]]</f>
        <v>7.3424794520551586</v>
      </c>
      <c r="L42" s="4">
        <v>2289.8629999999998</v>
      </c>
      <c r="M42" s="7">
        <v>1.1399999999999999</v>
      </c>
      <c r="N42" s="61">
        <v>1</v>
      </c>
      <c r="O42" s="1">
        <v>1</v>
      </c>
      <c r="P42" s="1" t="s">
        <v>925</v>
      </c>
      <c r="Q42" s="30">
        <v>45378</v>
      </c>
      <c r="R42" s="1">
        <v>2000</v>
      </c>
      <c r="S42" s="1">
        <v>1</v>
      </c>
      <c r="T42" s="9">
        <v>45363</v>
      </c>
      <c r="U42" s="1">
        <v>4</v>
      </c>
      <c r="V42" s="62">
        <f>aktuelleAnleihen[[#This Row],[Stückelung]]*aktuelleAnleihen[[#This Row],[Anteile]]*aktuelleAnleihen[[#This Row],[Coupon]]/aktuelleAnleihen[[#This Row],[Aktueller Wechselkurs]]*($AC$1-aktuelleAnleihen[[#This Row],[Letzte Zinszahlung]])/365</f>
        <v>57.205479452054796</v>
      </c>
      <c r="W42" s="4">
        <v>9.8629999999999995</v>
      </c>
      <c r="X42" s="120" t="s">
        <v>51</v>
      </c>
      <c r="Y42" s="120" t="s">
        <v>39</v>
      </c>
      <c r="Z42" s="1" t="s">
        <v>145</v>
      </c>
      <c r="AA42" s="1" t="s">
        <v>146</v>
      </c>
      <c r="AB42" s="3">
        <f>SUMIF('Zinszahlungen Anleihen'!K:K,aktuelleAnleihen[[#This Row],[ISIN]],'Zinszahlungen Anleihen'!D:D)</f>
        <v>0</v>
      </c>
      <c r="AE42" s="10"/>
      <c r="AF42" s="1"/>
      <c r="AH42" s="7"/>
      <c r="AJ42" s="1"/>
      <c r="AN42" s="1"/>
      <c r="AQ42" s="1"/>
    </row>
    <row r="43" spans="1:43" x14ac:dyDescent="0.2">
      <c r="A43" s="1" t="s">
        <v>688</v>
      </c>
      <c r="B43" s="1" t="s">
        <v>11</v>
      </c>
      <c r="C43" s="7">
        <v>6.6250000000000003E-2</v>
      </c>
      <c r="D43" s="7">
        <v>0.7802</v>
      </c>
      <c r="E43" s="7">
        <f>aktuelleAnleihen[[#This Row],[Aktueller Kurs]]-aktuelleAnleihen[[#This Row],[Kaufkurs]]</f>
        <v>-1.980000000000004E-2</v>
      </c>
      <c r="F43" s="8">
        <f>aktuelleAnleihen[[#This Row],[Stückelung]]*aktuelleAnleihen[[#This Row],[Aktueller Kurs]]*aktuelleAnleihen[[#This Row],[Anteile]]/aktuelleAnleihen[[#This Row],[Aktueller Wechselkurs]]+aktuelleAnleihen[[#This Row],[Stückzinsen]]</f>
        <v>1588.3520547945207</v>
      </c>
      <c r="G43" s="8">
        <f>aktuelleAnleihen[[#This Row],[Kursdifferenz]]*aktuelleAnleihen[[#This Row],[Anteile]]*aktuelleAnleihen[[#This Row],[Stückelung]]/aktuelleAnleihen[[#This Row],[Wechselkurs am Kauftag]]</f>
        <v>-39.60000000000008</v>
      </c>
      <c r="H43" s="8">
        <f>aktuelleAnleihen[[#This Row],[Stückzinsen]]-aktuelleAnleihen[[#This Row],[Stückzinsen am Kauftag]]+aktuelleAnleihen[[#This Row],[Zinszahlungen]]</f>
        <v>23.595854794520548</v>
      </c>
      <c r="I43" s="8">
        <f>aktuelleAnleihen[[#This Row],[Gewinn gesamt]]-aktuelleAnleihen[[#This Row],[Gewinn aus Kursänderung]]-aktuelleAnleihen[[#This Row],[Gewinn aus Zinsen]]</f>
        <v>2.4158453015843406E-13</v>
      </c>
      <c r="J43" s="7">
        <f>aktuelleAnleihen[[#This Row],[Gewinn gesamt]]/aktuelleAnleihen[[#This Row],[Kaufpreis]]</f>
        <v>-9.9754313945240401E-3</v>
      </c>
      <c r="K43" s="3">
        <f>aktuelleAnleihen[[#This Row],[Verkaufspreis]]-aktuelleAnleihen[[#This Row],[Kaufpreis]]+aktuelleAnleihen[[#This Row],[Zinszahlungen]]</f>
        <v>-16.00414520547929</v>
      </c>
      <c r="L43" s="4">
        <v>1604.3561999999999</v>
      </c>
      <c r="M43" s="7">
        <v>0.8</v>
      </c>
      <c r="N43" s="61">
        <v>1</v>
      </c>
      <c r="O43" s="1">
        <v>1</v>
      </c>
      <c r="P43" s="1" t="s">
        <v>925</v>
      </c>
      <c r="Q43" s="30">
        <v>45385</v>
      </c>
      <c r="R43" s="1">
        <v>2</v>
      </c>
      <c r="S43" s="1">
        <v>1000</v>
      </c>
      <c r="T43" s="9">
        <v>45373</v>
      </c>
      <c r="U43" s="1">
        <v>1</v>
      </c>
      <c r="V43" s="62">
        <f>aktuelleAnleihen[[#This Row],[Stückelung]]*aktuelleAnleihen[[#This Row],[Anteile]]*aktuelleAnleihen[[#This Row],[Coupon]]/aktuelleAnleihen[[#This Row],[Aktueller Wechselkurs]]*($AC$1-aktuelleAnleihen[[#This Row],[Letzte Zinszahlung]])/365</f>
        <v>27.952054794520549</v>
      </c>
      <c r="W43" s="4">
        <v>4.3562000000000003</v>
      </c>
      <c r="X43" s="120" t="s">
        <v>689</v>
      </c>
      <c r="Y43" s="120" t="s">
        <v>268</v>
      </c>
      <c r="Z43" s="1" t="s">
        <v>723</v>
      </c>
      <c r="AA43" s="1" t="s">
        <v>724</v>
      </c>
      <c r="AB43" s="3">
        <f>SUMIF('Zinszahlungen Anleihen'!K:K,aktuelleAnleihen[[#This Row],[ISIN]],'Zinszahlungen Anleihen'!D:D)</f>
        <v>0</v>
      </c>
      <c r="AE43" s="10"/>
      <c r="AF43" s="1"/>
      <c r="AH43" s="7"/>
      <c r="AJ43" s="1"/>
      <c r="AN43" s="1"/>
      <c r="AQ43" s="1"/>
    </row>
    <row r="44" spans="1:43" x14ac:dyDescent="0.2">
      <c r="A44" s="1" t="s">
        <v>1803</v>
      </c>
      <c r="B44" s="1" t="s">
        <v>3</v>
      </c>
      <c r="C44" s="7">
        <v>7.0000000000000007E-2</v>
      </c>
      <c r="D44" s="7">
        <v>0.93269999999999997</v>
      </c>
      <c r="E44" s="7">
        <f>aktuelleAnleihen[[#This Row],[Aktueller Kurs]]-aktuelleAnleihen[[#This Row],[Kaufkurs]]</f>
        <v>-3.9399999999999991E-2</v>
      </c>
      <c r="F44" s="8">
        <f>aktuelleAnleihen[[#This Row],[Stückelung]]*aktuelleAnleihen[[#This Row],[Aktueller Kurs]]*aktuelleAnleihen[[#This Row],[Anteile]]/aktuelleAnleihen[[#This Row],[Aktueller Wechselkurs]]+aktuelleAnleihen[[#This Row],[Stückzinsen]]</f>
        <v>938.64520547945199</v>
      </c>
      <c r="G44" s="8">
        <f>aktuelleAnleihen[[#This Row],[Kursdifferenz]]*aktuelleAnleihen[[#This Row],[Anteile]]*aktuelleAnleihen[[#This Row],[Stückelung]]/aktuelleAnleihen[[#This Row],[Wechselkurs am Kauftag]]</f>
        <v>-39.399999999999991</v>
      </c>
      <c r="H44" s="8">
        <f>aktuelleAnleihen[[#This Row],[Stückzinsen]]-aktuelleAnleihen[[#This Row],[Stückzinsen am Kauftag]]+aktuelleAnleihen[[#This Row],[Zinszahlungen]]</f>
        <v>3.0685054794520545</v>
      </c>
      <c r="I44" s="8">
        <f>aktuelleAnleihen[[#This Row],[Gewinn gesamt]]-aktuelleAnleihen[[#This Row],[Gewinn aus Kursänderung]]-aktuelleAnleihen[[#This Row],[Gewinn aus Zinsen]]</f>
        <v>-1.2567724638756772E-13</v>
      </c>
      <c r="J44" s="7">
        <f>aktuelleAnleihen[[#This Row],[Gewinn gesamt]]/aktuelleAnleihen[[#This Row],[Kaufpreis]]</f>
        <v>-3.7263961816265005E-2</v>
      </c>
      <c r="K44" s="3">
        <f>aktuelleAnleihen[[#This Row],[Verkaufspreis]]-aktuelleAnleihen[[#This Row],[Kaufpreis]]+aktuelleAnleihen[[#This Row],[Zinszahlungen]]</f>
        <v>-36.331494520548063</v>
      </c>
      <c r="L44" s="4">
        <v>974.97670000000005</v>
      </c>
      <c r="M44" s="7">
        <v>0.97209999999999996</v>
      </c>
      <c r="N44" s="61">
        <v>1</v>
      </c>
      <c r="O44" s="1">
        <v>1</v>
      </c>
      <c r="P44" s="1" t="s">
        <v>925</v>
      </c>
      <c r="Q44" s="30">
        <v>45434</v>
      </c>
      <c r="R44" s="1">
        <v>1</v>
      </c>
      <c r="S44" s="1">
        <v>1000</v>
      </c>
      <c r="T44" s="9">
        <v>45419</v>
      </c>
      <c r="U44" s="1">
        <v>1</v>
      </c>
      <c r="V44" s="62">
        <f>aktuelleAnleihen[[#This Row],[Stückelung]]*aktuelleAnleihen[[#This Row],[Anteile]]*aktuelleAnleihen[[#This Row],[Coupon]]/aktuelleAnleihen[[#This Row],[Aktueller Wechselkurs]]*($AC$1-aktuelleAnleihen[[#This Row],[Letzte Zinszahlung]])/365</f>
        <v>5.9452054794520546</v>
      </c>
      <c r="W44" s="4">
        <v>2.8767</v>
      </c>
      <c r="X44" s="120" t="s">
        <v>35</v>
      </c>
      <c r="Y44" s="120" t="s">
        <v>109</v>
      </c>
      <c r="Z44" s="1" t="s">
        <v>1804</v>
      </c>
      <c r="AA44" s="1" t="s">
        <v>1805</v>
      </c>
      <c r="AB44" s="3">
        <f>SUMIF('Zinszahlungen Anleihen'!K:K,aktuelleAnleihen[[#This Row],[ISIN]],'Zinszahlungen Anleihen'!D:D)</f>
        <v>0</v>
      </c>
      <c r="AE44" s="10"/>
      <c r="AF44" s="1"/>
      <c r="AH44" s="7"/>
      <c r="AJ44" s="1"/>
      <c r="AN44" s="1"/>
      <c r="AQ44" s="1"/>
    </row>
    <row r="45" spans="1:43" x14ac:dyDescent="0.2">
      <c r="A45" s="1" t="s">
        <v>823</v>
      </c>
      <c r="B45" s="1" t="s">
        <v>10</v>
      </c>
      <c r="C45" s="7">
        <v>6.1249999999999999E-2</v>
      </c>
      <c r="D45" s="7">
        <v>0.96560000000000001</v>
      </c>
      <c r="E45" s="7">
        <f>aktuelleAnleihen[[#This Row],[Aktueller Kurs]]-aktuelleAnleihen[[#This Row],[Kaufkurs]]</f>
        <v>-1.8900000000000028E-2</v>
      </c>
      <c r="F45" s="8">
        <f>aktuelleAnleihen[[#This Row],[Stückelung]]*aktuelleAnleihen[[#This Row],[Aktueller Kurs]]*aktuelleAnleihen[[#This Row],[Anteile]]/aktuelleAnleihen[[#This Row],[Aktueller Wechselkurs]]+aktuelleAnleihen[[#This Row],[Stückzinsen]]</f>
        <v>1938.9191780821918</v>
      </c>
      <c r="G45" s="8">
        <f>aktuelleAnleihen[[#This Row],[Kursdifferenz]]*aktuelleAnleihen[[#This Row],[Anteile]]*aktuelleAnleihen[[#This Row],[Stückelung]]/aktuelleAnleihen[[#This Row],[Wechselkurs am Kauftag]]</f>
        <v>-37.800000000000054</v>
      </c>
      <c r="H45" s="8">
        <f>aktuelleAnleihen[[#This Row],[Stückzinsen]]-aktuelleAnleihen[[#This Row],[Stückzinsen am Kauftag]]+aktuelleAnleihen[[#This Row],[Zinszahlungen]]</f>
        <v>21.982878082191782</v>
      </c>
      <c r="I45" s="8">
        <f>aktuelleAnleihen[[#This Row],[Gewinn gesamt]]-aktuelleAnleihen[[#This Row],[Gewinn aus Kursänderung]]-aktuelleAnleihen[[#This Row],[Gewinn aus Zinsen]]</f>
        <v>6.3948846218409017E-14</v>
      </c>
      <c r="J45" s="7">
        <f>aktuelleAnleihen[[#This Row],[Gewinn gesamt]]/aktuelleAnleihen[[#This Row],[Kaufpreis]]</f>
        <v>-7.8458479196055093E-3</v>
      </c>
      <c r="K45" s="3">
        <f>aktuelleAnleihen[[#This Row],[Verkaufspreis]]-aktuelleAnleihen[[#This Row],[Kaufpreis]]+aktuelleAnleihen[[#This Row],[Zinszahlungen]]</f>
        <v>-15.817121917808208</v>
      </c>
      <c r="L45" s="4">
        <v>2015.9863</v>
      </c>
      <c r="M45" s="7">
        <v>0.98450000000000004</v>
      </c>
      <c r="N45" s="61">
        <v>1</v>
      </c>
      <c r="O45" s="1">
        <v>1</v>
      </c>
      <c r="P45" s="1" t="s">
        <v>925</v>
      </c>
      <c r="Q45" s="30">
        <v>45385</v>
      </c>
      <c r="R45" s="1">
        <v>2</v>
      </c>
      <c r="S45" s="1">
        <v>1000</v>
      </c>
      <c r="T45" s="9">
        <v>45427</v>
      </c>
      <c r="U45" s="1">
        <v>2</v>
      </c>
      <c r="V45" s="62">
        <f>aktuelleAnleihen[[#This Row],[Stückelung]]*aktuelleAnleihen[[#This Row],[Anteile]]*aktuelleAnleihen[[#This Row],[Coupon]]/aktuelleAnleihen[[#This Row],[Aktueller Wechselkurs]]*($AC$1-aktuelleAnleihen[[#This Row],[Letzte Zinszahlung]])/365</f>
        <v>7.7191780821917808</v>
      </c>
      <c r="W45" s="4">
        <v>46.9863</v>
      </c>
      <c r="X45" s="120" t="s">
        <v>170</v>
      </c>
      <c r="Y45" s="120" t="s">
        <v>44</v>
      </c>
      <c r="Z45" s="1" t="s">
        <v>824</v>
      </c>
      <c r="AA45" s="1" t="s">
        <v>825</v>
      </c>
      <c r="AB45" s="3">
        <f>SUMIF('Zinszahlungen Anleihen'!K:K,aktuelleAnleihen[[#This Row],[ISIN]],'Zinszahlungen Anleihen'!D:D)</f>
        <v>61.25</v>
      </c>
      <c r="AE45" s="10"/>
      <c r="AF45" s="1"/>
      <c r="AH45" s="7"/>
      <c r="AJ45" s="1"/>
      <c r="AN45" s="1"/>
      <c r="AQ45" s="1"/>
    </row>
    <row r="46" spans="1:43" x14ac:dyDescent="0.2">
      <c r="A46" s="1" t="s">
        <v>796</v>
      </c>
      <c r="B46" s="1" t="s">
        <v>11</v>
      </c>
      <c r="C46" s="7">
        <v>6.25E-2</v>
      </c>
      <c r="D46" s="7">
        <v>1.18655</v>
      </c>
      <c r="E46" s="7">
        <f>aktuelleAnleihen[[#This Row],[Aktueller Kurs]]-aktuelleAnleihen[[#This Row],[Kaufkurs]]</f>
        <v>-1.8750000000000044E-2</v>
      </c>
      <c r="F46" s="8">
        <f>aktuelleAnleihen[[#This Row],[Stückelung]]*aktuelleAnleihen[[#This Row],[Aktueller Kurs]]*aktuelleAnleihen[[#This Row],[Anteile]]/aktuelleAnleihen[[#This Row],[Aktueller Wechselkurs]]+aktuelleAnleihen[[#This Row],[Stückzinsen]]</f>
        <v>2426.1821917808224</v>
      </c>
      <c r="G46" s="8">
        <f>aktuelleAnleihen[[#This Row],[Kursdifferenz]]*aktuelleAnleihen[[#This Row],[Anteile]]*aktuelleAnleihen[[#This Row],[Stückelung]]/aktuelleAnleihen[[#This Row],[Wechselkurs am Kauftag]]</f>
        <v>-37.500000000000092</v>
      </c>
      <c r="H46" s="8">
        <f>aktuelleAnleihen[[#This Row],[Stückzinsen]]-aktuelleAnleihen[[#This Row],[Stückzinsen am Kauftag]]+aktuelleAnleihen[[#This Row],[Zinszahlungen]]</f>
        <v>22.260291780821916</v>
      </c>
      <c r="I46" s="8">
        <f>aktuelleAnleihen[[#This Row],[Gewinn gesamt]]-aktuelleAnleihen[[#This Row],[Gewinn aus Kursänderung]]-aktuelleAnleihen[[#This Row],[Gewinn aus Zinsen]]</f>
        <v>8.0291329140891321E-13</v>
      </c>
      <c r="J46" s="7">
        <f>aktuelleAnleihen[[#This Row],[Gewinn gesamt]]/aktuelleAnleihen[[#This Row],[Kaufpreis]]</f>
        <v>-6.2421444729308662E-3</v>
      </c>
      <c r="K46" s="3">
        <f>aktuelleAnleihen[[#This Row],[Verkaufspreis]]-aktuelleAnleihen[[#This Row],[Kaufpreis]]+aktuelleAnleihen[[#This Row],[Zinszahlungen]]</f>
        <v>-15.239708219177373</v>
      </c>
      <c r="L46" s="4">
        <v>2441.4218999999998</v>
      </c>
      <c r="M46" s="7">
        <v>1.2053</v>
      </c>
      <c r="N46" s="61">
        <v>1</v>
      </c>
      <c r="O46" s="1">
        <v>1</v>
      </c>
      <c r="P46" s="1" t="s">
        <v>925</v>
      </c>
      <c r="Q46" s="30">
        <v>45385</v>
      </c>
      <c r="R46" s="1">
        <v>200000</v>
      </c>
      <c r="S46" s="1">
        <v>0.01</v>
      </c>
      <c r="T46" s="9">
        <v>45295</v>
      </c>
      <c r="U46" s="1">
        <v>1</v>
      </c>
      <c r="V46" s="62">
        <f>aktuelleAnleihen[[#This Row],[Stückelung]]*aktuelleAnleihen[[#This Row],[Anteile]]*aktuelleAnleihen[[#This Row],[Coupon]]/aktuelleAnleihen[[#This Row],[Aktueller Wechselkurs]]*($AC$1-aktuelleAnleihen[[#This Row],[Letzte Zinszahlung]])/365</f>
        <v>53.082191780821915</v>
      </c>
      <c r="W46" s="4">
        <v>30.821899999999999</v>
      </c>
      <c r="X46" s="120" t="s">
        <v>56</v>
      </c>
      <c r="Y46" s="120" t="s">
        <v>61</v>
      </c>
      <c r="Z46" s="1" t="s">
        <v>797</v>
      </c>
      <c r="AA46" s="1" t="s">
        <v>798</v>
      </c>
      <c r="AB46" s="3">
        <f>SUMIF('Zinszahlungen Anleihen'!K:K,aktuelleAnleihen[[#This Row],[ISIN]],'Zinszahlungen Anleihen'!D:D)</f>
        <v>0</v>
      </c>
      <c r="AE46" s="10"/>
      <c r="AF46" s="1"/>
      <c r="AH46" s="7"/>
      <c r="AJ46" s="1"/>
      <c r="AN46" s="1"/>
      <c r="AQ46" s="1"/>
    </row>
    <row r="47" spans="1:43" x14ac:dyDescent="0.2">
      <c r="A47" s="1" t="s">
        <v>763</v>
      </c>
      <c r="B47" s="1" t="s">
        <v>8</v>
      </c>
      <c r="C47" s="7">
        <v>6.5000000000000002E-2</v>
      </c>
      <c r="D47" s="7">
        <v>1.0523400000000001</v>
      </c>
      <c r="E47" s="7">
        <f>aktuelleAnleihen[[#This Row],[Aktueller Kurs]]-aktuelleAnleihen[[#This Row],[Kaufkurs]]</f>
        <v>-1.7959999999999976E-2</v>
      </c>
      <c r="F47" s="8">
        <f>aktuelleAnleihen[[#This Row],[Stückelung]]*aktuelleAnleihen[[#This Row],[Aktueller Kurs]]*aktuelleAnleihen[[#This Row],[Anteile]]/aktuelleAnleihen[[#This Row],[Aktueller Wechselkurs]]+aktuelleAnleihen[[#This Row],[Stückzinsen]]</f>
        <v>2106.81698630137</v>
      </c>
      <c r="G47" s="8">
        <f>aktuelleAnleihen[[#This Row],[Kursdifferenz]]*aktuelleAnleihen[[#This Row],[Anteile]]*aktuelleAnleihen[[#This Row],[Stückelung]]/aktuelleAnleihen[[#This Row],[Wechselkurs am Kauftag]]</f>
        <v>-35.919999999999952</v>
      </c>
      <c r="H47" s="8">
        <f>aktuelleAnleihen[[#This Row],[Stückzinsen]]-aktuelleAnleihen[[#This Row],[Stückzinsen am Kauftag]]+aktuelleAnleihen[[#This Row],[Zinszahlungen]]</f>
        <v>22.794486301369858</v>
      </c>
      <c r="I47" s="8">
        <f>aktuelleAnleihen[[#This Row],[Gewinn gesamt]]-aktuelleAnleihen[[#This Row],[Gewinn aus Kursänderung]]-aktuelleAnleihen[[#This Row],[Gewinn aus Zinsen]]</f>
        <v>-3.5527136788005009E-14</v>
      </c>
      <c r="J47" s="7">
        <f>aktuelleAnleihen[[#This Row],[Gewinn gesamt]]/aktuelleAnleihen[[#This Row],[Kaufpreis]]</f>
        <v>-5.8337107275542059E-3</v>
      </c>
      <c r="K47" s="3">
        <f>aktuelleAnleihen[[#This Row],[Verkaufspreis]]-aktuelleAnleihen[[#This Row],[Kaufpreis]]+aktuelleAnleihen[[#This Row],[Zinszahlungen]]</f>
        <v>-13.12551369863013</v>
      </c>
      <c r="L47" s="4">
        <v>2249.9425000000001</v>
      </c>
      <c r="M47" s="7">
        <v>1.0703</v>
      </c>
      <c r="N47" s="61">
        <v>1</v>
      </c>
      <c r="O47" s="1">
        <v>1</v>
      </c>
      <c r="P47" s="1" t="s">
        <v>925</v>
      </c>
      <c r="Q47" s="30">
        <v>45385</v>
      </c>
      <c r="R47" s="1">
        <v>2</v>
      </c>
      <c r="S47" s="1">
        <v>1000</v>
      </c>
      <c r="T47" s="9">
        <v>45444</v>
      </c>
      <c r="U47" s="1">
        <v>1</v>
      </c>
      <c r="V47" s="62">
        <f>aktuelleAnleihen[[#This Row],[Stückelung]]*aktuelleAnleihen[[#This Row],[Anteile]]*aktuelleAnleihen[[#This Row],[Coupon]]/aktuelleAnleihen[[#This Row],[Aktueller Wechselkurs]]*($AC$1-aktuelleAnleihen[[#This Row],[Letzte Zinszahlung]])/365</f>
        <v>2.1369863013698631</v>
      </c>
      <c r="W47" s="4">
        <v>109.3425</v>
      </c>
      <c r="X47" s="120" t="s">
        <v>75</v>
      </c>
      <c r="Y47" s="120" t="s">
        <v>52</v>
      </c>
      <c r="Z47" s="1" t="s">
        <v>764</v>
      </c>
      <c r="AA47" s="1" t="s">
        <v>765</v>
      </c>
      <c r="AB47" s="3">
        <f>SUMIF('Zinszahlungen Anleihen'!K:K,aktuelleAnleihen[[#This Row],[ISIN]],'Zinszahlungen Anleihen'!D:D)</f>
        <v>130</v>
      </c>
      <c r="AE47" s="10"/>
      <c r="AF47" s="1"/>
      <c r="AH47" s="7"/>
      <c r="AJ47" s="1"/>
      <c r="AN47" s="1"/>
      <c r="AQ47" s="1"/>
    </row>
    <row r="48" spans="1:43" x14ac:dyDescent="0.2">
      <c r="A48" s="1" t="s">
        <v>560</v>
      </c>
      <c r="B48" s="1" t="s">
        <v>8</v>
      </c>
      <c r="C48" s="7">
        <v>7.4999999999999997E-2</v>
      </c>
      <c r="D48" s="7">
        <v>1.2789999999999999</v>
      </c>
      <c r="E48" s="7">
        <f>aktuelleAnleihen[[#This Row],[Aktueller Kurs]]-aktuelleAnleihen[[#This Row],[Kaufkurs]]</f>
        <v>-1.7100000000000115E-2</v>
      </c>
      <c r="F48" s="8">
        <f>aktuelleAnleihen[[#This Row],[Stückelung]]*aktuelleAnleihen[[#This Row],[Aktueller Kurs]]*aktuelleAnleihen[[#This Row],[Anteile]]/aktuelleAnleihen[[#This Row],[Aktueller Wechselkurs]]+aktuelleAnleihen[[#This Row],[Stückzinsen]]</f>
        <v>2613.4794520547944</v>
      </c>
      <c r="G48" s="8">
        <f>aktuelleAnleihen[[#This Row],[Kursdifferenz]]*aktuelleAnleihen[[#This Row],[Anteile]]*aktuelleAnleihen[[#This Row],[Stückelung]]/aktuelleAnleihen[[#This Row],[Wechselkurs am Kauftag]]</f>
        <v>-34.20000000000023</v>
      </c>
      <c r="H48" s="8">
        <f>aktuelleAnleihen[[#This Row],[Stückzinsen]]-aktuelleAnleihen[[#This Row],[Stückzinsen am Kauftag]]+aktuelleAnleihen[[#This Row],[Zinszahlungen]]</f>
        <v>26.712352054794522</v>
      </c>
      <c r="I48" s="8">
        <f>aktuelleAnleihen[[#This Row],[Gewinn gesamt]]-aktuelleAnleihen[[#This Row],[Gewinn aus Kursänderung]]-aktuelleAnleihen[[#This Row],[Gewinn aus Zinsen]]</f>
        <v>2.2737367544323206E-13</v>
      </c>
      <c r="J48" s="7">
        <f>aktuelleAnleihen[[#This Row],[Gewinn gesamt]]/aktuelleAnleihen[[#This Row],[Kaufpreis]]</f>
        <v>-2.8568263772580289E-3</v>
      </c>
      <c r="K48" s="3">
        <f>aktuelleAnleihen[[#This Row],[Verkaufspreis]]-aktuelleAnleihen[[#This Row],[Kaufpreis]]+aktuelleAnleihen[[#This Row],[Zinszahlungen]]</f>
        <v>-7.4876479452054809</v>
      </c>
      <c r="L48" s="4">
        <v>2620.9670999999998</v>
      </c>
      <c r="M48" s="7">
        <v>1.2961</v>
      </c>
      <c r="N48" s="61">
        <v>1</v>
      </c>
      <c r="O48" s="1">
        <v>1</v>
      </c>
      <c r="P48" s="1" t="s">
        <v>925</v>
      </c>
      <c r="Q48" s="30">
        <v>45385</v>
      </c>
      <c r="R48" s="1">
        <v>2</v>
      </c>
      <c r="S48" s="1">
        <v>1000</v>
      </c>
      <c r="T48" s="9">
        <v>45315</v>
      </c>
      <c r="U48" s="1">
        <v>1</v>
      </c>
      <c r="V48" s="62">
        <f>aktuelleAnleihen[[#This Row],[Stückelung]]*aktuelleAnleihen[[#This Row],[Anteile]]*aktuelleAnleihen[[#This Row],[Coupon]]/aktuelleAnleihen[[#This Row],[Aktueller Wechselkurs]]*($AC$1-aktuelleAnleihen[[#This Row],[Letzte Zinszahlung]])/365</f>
        <v>55.479452054794521</v>
      </c>
      <c r="W48" s="4">
        <v>28.767099999999999</v>
      </c>
      <c r="X48" s="120" t="s">
        <v>51</v>
      </c>
      <c r="Y48" s="120" t="s">
        <v>57</v>
      </c>
      <c r="Z48" s="1" t="s">
        <v>561</v>
      </c>
      <c r="AA48" s="1" t="s">
        <v>562</v>
      </c>
      <c r="AB48" s="3">
        <f>SUMIF('Zinszahlungen Anleihen'!K:K,aktuelleAnleihen[[#This Row],[ISIN]],'Zinszahlungen Anleihen'!D:D)</f>
        <v>0</v>
      </c>
      <c r="AE48" s="10"/>
      <c r="AF48" s="1"/>
      <c r="AH48" s="7"/>
      <c r="AJ48" s="1"/>
      <c r="AN48" s="1"/>
      <c r="AQ48" s="1"/>
    </row>
    <row r="49" spans="1:43" x14ac:dyDescent="0.2">
      <c r="A49" s="1" t="s">
        <v>465</v>
      </c>
      <c r="B49" s="1" t="s">
        <v>10</v>
      </c>
      <c r="C49" s="7">
        <v>0.08</v>
      </c>
      <c r="D49" s="7">
        <v>0.69633999999999996</v>
      </c>
      <c r="E49" s="7">
        <f>aktuelleAnleihen[[#This Row],[Aktueller Kurs]]-aktuelleAnleihen[[#This Row],[Kaufkurs]]</f>
        <v>-1.5759999999999996E-2</v>
      </c>
      <c r="F49" s="8">
        <f>aktuelleAnleihen[[#This Row],[Stückelung]]*aktuelleAnleihen[[#This Row],[Aktueller Kurs]]*aktuelleAnleihen[[#This Row],[Anteile]]/aktuelleAnleihen[[#This Row],[Aktueller Wechselkurs]]+aktuelleAnleihen[[#This Row],[Stückzinsen]]</f>
        <v>1429.5019178082191</v>
      </c>
      <c r="G49" s="8">
        <f>aktuelleAnleihen[[#This Row],[Kursdifferenz]]*aktuelleAnleihen[[#This Row],[Anteile]]*aktuelleAnleihen[[#This Row],[Stückelung]]/aktuelleAnleihen[[#This Row],[Wechselkurs am Kauftag]]</f>
        <v>-31.519999999999992</v>
      </c>
      <c r="H49" s="8">
        <f>aktuelleAnleihen[[#This Row],[Stückzinsen]]-aktuelleAnleihen[[#This Row],[Stückzinsen am Kauftag]]+aktuelleAnleihen[[#This Row],[Zinszahlungen]]</f>
        <v>28.493117808219175</v>
      </c>
      <c r="I49" s="8">
        <f>aktuelleAnleihen[[#This Row],[Gewinn gesamt]]-aktuelleAnleihen[[#This Row],[Gewinn aus Kursänderung]]-aktuelleAnleihen[[#This Row],[Gewinn aus Zinsen]]</f>
        <v>-1.2434497875801753E-13</v>
      </c>
      <c r="J49" s="7">
        <f>aktuelleAnleihen[[#This Row],[Gewinn gesamt]]/aktuelleAnleihen[[#This Row],[Kaufpreis]]</f>
        <v>-2.1129642851026391E-3</v>
      </c>
      <c r="K49" s="3">
        <f>aktuelleAnleihen[[#This Row],[Verkaufspreis]]-aktuelleAnleihen[[#This Row],[Kaufpreis]]+aktuelleAnleihen[[#This Row],[Zinszahlungen]]</f>
        <v>-3.0268821917809419</v>
      </c>
      <c r="L49" s="4">
        <v>1432.5288</v>
      </c>
      <c r="M49" s="7">
        <v>0.71209999999999996</v>
      </c>
      <c r="N49" s="61">
        <v>1</v>
      </c>
      <c r="O49" s="1">
        <v>1</v>
      </c>
      <c r="P49" s="1" t="s">
        <v>925</v>
      </c>
      <c r="Q49" s="30">
        <v>45385</v>
      </c>
      <c r="R49" s="1">
        <v>2</v>
      </c>
      <c r="S49" s="1">
        <v>1000</v>
      </c>
      <c r="T49" s="9">
        <v>45366</v>
      </c>
      <c r="U49" s="1">
        <v>2</v>
      </c>
      <c r="V49" s="62">
        <f>aktuelleAnleihen[[#This Row],[Stückelung]]*aktuelleAnleihen[[#This Row],[Anteile]]*aktuelleAnleihen[[#This Row],[Coupon]]/aktuelleAnleihen[[#This Row],[Aktueller Wechselkurs]]*($AC$1-aktuelleAnleihen[[#This Row],[Letzte Zinszahlung]])/365</f>
        <v>36.821917808219176</v>
      </c>
      <c r="W49" s="4">
        <v>8.3287999999999993</v>
      </c>
      <c r="X49" s="120" t="s">
        <v>102</v>
      </c>
      <c r="Y49" s="120" t="s">
        <v>52</v>
      </c>
      <c r="Z49" s="1" t="s">
        <v>466</v>
      </c>
      <c r="AA49" s="1" t="s">
        <v>467</v>
      </c>
      <c r="AB49" s="3">
        <f>SUMIF('Zinszahlungen Anleihen'!K:K,aktuelleAnleihen[[#This Row],[ISIN]],'Zinszahlungen Anleihen'!D:D)</f>
        <v>0</v>
      </c>
      <c r="AE49" s="10"/>
      <c r="AF49" s="1"/>
      <c r="AH49" s="7"/>
      <c r="AJ49" s="1"/>
      <c r="AN49" s="1"/>
      <c r="AQ49" s="1"/>
    </row>
    <row r="50" spans="1:43" x14ac:dyDescent="0.2">
      <c r="A50" s="1" t="s">
        <v>650</v>
      </c>
      <c r="B50" s="1" t="s">
        <v>5</v>
      </c>
      <c r="C50" s="7">
        <v>7.0000000000000007E-2</v>
      </c>
      <c r="D50" s="7">
        <v>0.87</v>
      </c>
      <c r="E50" s="7">
        <f>aktuelleAnleihen[[#This Row],[Aktueller Kurs]]-aktuelleAnleihen[[#This Row],[Kaufkurs]]</f>
        <v>-1.5600000000000058E-2</v>
      </c>
      <c r="F50" s="8">
        <f>aktuelleAnleihen[[#This Row],[Stückelung]]*aktuelleAnleihen[[#This Row],[Aktueller Kurs]]*aktuelleAnleihen[[#This Row],[Anteile]]/aktuelleAnleihen[[#This Row],[Aktueller Wechselkurs]]+aktuelleAnleihen[[#This Row],[Stückzinsen]]</f>
        <v>1812.4931506849316</v>
      </c>
      <c r="G50" s="8">
        <f>aktuelleAnleihen[[#This Row],[Kursdifferenz]]*aktuelleAnleihen[[#This Row],[Anteile]]*aktuelleAnleihen[[#This Row],[Stückelung]]/aktuelleAnleihen[[#This Row],[Wechselkurs am Kauftag]]</f>
        <v>-31.200000000000117</v>
      </c>
      <c r="H50" s="8">
        <f>aktuelleAnleihen[[#This Row],[Stückzinsen]]-aktuelleAnleihen[[#This Row],[Stückzinsen am Kauftag]]+aktuelleAnleihen[[#This Row],[Zinszahlungen]]</f>
        <v>24.931550684931508</v>
      </c>
      <c r="I50" s="8">
        <f>aktuelleAnleihen[[#This Row],[Gewinn gesamt]]-aktuelleAnleihen[[#This Row],[Gewinn aus Kursänderung]]-aktuelleAnleihen[[#This Row],[Gewinn aus Zinsen]]</f>
        <v>1.7053025658242404E-13</v>
      </c>
      <c r="J50" s="7">
        <f>aktuelleAnleihen[[#This Row],[Gewinn gesamt]]/aktuelleAnleihen[[#This Row],[Kaufpreis]]</f>
        <v>-3.4465480880333287E-3</v>
      </c>
      <c r="K50" s="3">
        <f>aktuelleAnleihen[[#This Row],[Verkaufspreis]]-aktuelleAnleihen[[#This Row],[Kaufpreis]]+aktuelleAnleihen[[#This Row],[Zinszahlungen]]</f>
        <v>-6.2684493150684375</v>
      </c>
      <c r="L50" s="4">
        <v>1818.7616</v>
      </c>
      <c r="M50" s="7">
        <v>0.88560000000000005</v>
      </c>
      <c r="N50" s="61">
        <v>1</v>
      </c>
      <c r="O50" s="1">
        <v>1</v>
      </c>
      <c r="P50" s="1" t="s">
        <v>925</v>
      </c>
      <c r="Q50" s="30">
        <v>45385</v>
      </c>
      <c r="R50" s="1">
        <v>2</v>
      </c>
      <c r="S50" s="1">
        <v>1000</v>
      </c>
      <c r="T50" s="9">
        <v>45261</v>
      </c>
      <c r="U50" s="1">
        <v>1</v>
      </c>
      <c r="V50" s="62">
        <f>aktuelleAnleihen[[#This Row],[Stückelung]]*aktuelleAnleihen[[#This Row],[Anteile]]*aktuelleAnleihen[[#This Row],[Coupon]]/aktuelleAnleihen[[#This Row],[Aktueller Wechselkurs]]*($AC$1-aktuelleAnleihen[[#This Row],[Letzte Zinszahlung]])/365</f>
        <v>72.493150684931507</v>
      </c>
      <c r="W50" s="4">
        <v>47.561599999999999</v>
      </c>
      <c r="X50" s="120" t="s">
        <v>56</v>
      </c>
      <c r="Y50" s="120" t="s">
        <v>52</v>
      </c>
      <c r="Z50" s="1" t="s">
        <v>651</v>
      </c>
      <c r="AA50" s="1" t="s">
        <v>652</v>
      </c>
      <c r="AB50" s="3">
        <f>SUMIF('Zinszahlungen Anleihen'!K:K,aktuelleAnleihen[[#This Row],[ISIN]],'Zinszahlungen Anleihen'!D:D)</f>
        <v>0</v>
      </c>
      <c r="AE50" s="10"/>
      <c r="AF50" s="1"/>
      <c r="AH50" s="7"/>
      <c r="AJ50" s="1"/>
      <c r="AN50" s="1"/>
      <c r="AQ50" s="1"/>
    </row>
    <row r="51" spans="1:43" x14ac:dyDescent="0.2">
      <c r="A51" s="1" t="s">
        <v>1744</v>
      </c>
      <c r="B51" s="1" t="s">
        <v>10</v>
      </c>
      <c r="C51" s="7">
        <v>0.08</v>
      </c>
      <c r="D51" s="7">
        <v>0.93640000000000001</v>
      </c>
      <c r="E51" s="7">
        <f>aktuelleAnleihen[[#This Row],[Aktueller Kurs]]-aktuelleAnleihen[[#This Row],[Kaufkurs]]</f>
        <v>-1.6100000000000003E-2</v>
      </c>
      <c r="F51" s="8">
        <f>aktuelleAnleihen[[#This Row],[Stückelung]]*aktuelleAnleihen[[#This Row],[Aktueller Kurs]]*aktuelleAnleihen[[#This Row],[Anteile]]/aktuelleAnleihen[[#This Row],[Aktueller Wechselkurs]]+aktuelleAnleihen[[#This Row],[Stückzinsen]]</f>
        <v>1770.7017104735214</v>
      </c>
      <c r="G51" s="8">
        <f>aktuelleAnleihen[[#This Row],[Kursdifferenz]]*aktuelleAnleihen[[#This Row],[Anteile]]*aktuelleAnleihen[[#This Row],[Stückelung]]/aktuelleAnleihen[[#This Row],[Wechselkurs am Kauftag]]</f>
        <v>-30.028909820013059</v>
      </c>
      <c r="H51" s="8">
        <f>aktuelleAnleihen[[#This Row],[Stückzinsen]]-aktuelleAnleihen[[#This Row],[Stückzinsen am Kauftag]]+aktuelleAnleihen[[#This Row],[Zinszahlungen]]</f>
        <v>14.73353205097083</v>
      </c>
      <c r="I51" s="8">
        <f>aktuelleAnleihen[[#This Row],[Gewinn gesamt]]-aktuelleAnleihen[[#This Row],[Gewinn aus Kursänderung]]-aktuelleAnleihen[[#This Row],[Gewinn aus Zinsen]]</f>
        <v>-26.941211757436381</v>
      </c>
      <c r="J51" s="7">
        <f>aktuelleAnleihen[[#This Row],[Gewinn gesamt]]/aktuelleAnleihen[[#This Row],[Kaufpreis]]</f>
        <v>-2.3297312173546452E-2</v>
      </c>
      <c r="K51" s="3">
        <f>aktuelleAnleihen[[#This Row],[Verkaufspreis]]-aktuelleAnleihen[[#This Row],[Kaufpreis]]+aktuelleAnleihen[[#This Row],[Zinszahlungen]]</f>
        <v>-42.23658952647861</v>
      </c>
      <c r="L51" s="4">
        <v>1812.9383</v>
      </c>
      <c r="M51" s="7">
        <v>0.95250000000000001</v>
      </c>
      <c r="N51" s="61">
        <v>1.0723</v>
      </c>
      <c r="O51" s="1">
        <v>1.0891</v>
      </c>
      <c r="P51" s="1" t="s">
        <v>887</v>
      </c>
      <c r="Q51" s="30">
        <v>45412</v>
      </c>
      <c r="R51" s="1">
        <v>2</v>
      </c>
      <c r="S51" s="1">
        <v>1000</v>
      </c>
      <c r="T51" s="9">
        <v>45323</v>
      </c>
      <c r="U51" s="1">
        <v>2</v>
      </c>
      <c r="V51" s="62">
        <f>aktuelleAnleihen[[#This Row],[Stückelung]]*aktuelleAnleihen[[#This Row],[Anteile]]*aktuelleAnleihen[[#This Row],[Coupon]]/aktuelleAnleihen[[#This Row],[Aktueller Wechselkurs]]*($AC$1-aktuelleAnleihen[[#This Row],[Letzte Zinszahlung]])/365</f>
        <v>51.116732050970832</v>
      </c>
      <c r="W51" s="4">
        <v>36.383200000000002</v>
      </c>
      <c r="X51" s="120" t="s">
        <v>276</v>
      </c>
      <c r="Y51" s="120" t="s">
        <v>39</v>
      </c>
      <c r="Z51" s="1" t="s">
        <v>1745</v>
      </c>
      <c r="AA51" s="1" t="s">
        <v>1746</v>
      </c>
      <c r="AB51" s="3">
        <f>SUMIF('Zinszahlungen Anleihen'!K:K,aktuelleAnleihen[[#This Row],[ISIN]],'Zinszahlungen Anleihen'!D:D)</f>
        <v>0</v>
      </c>
      <c r="AE51" s="10"/>
      <c r="AF51" s="1"/>
      <c r="AH51" s="7"/>
      <c r="AJ51" s="1"/>
      <c r="AN51" s="1"/>
      <c r="AQ51" s="1"/>
    </row>
    <row r="52" spans="1:43" x14ac:dyDescent="0.2">
      <c r="A52" s="1" t="s">
        <v>1219</v>
      </c>
      <c r="B52" s="1" t="s">
        <v>4</v>
      </c>
      <c r="C52" s="7">
        <v>9.375E-2</v>
      </c>
      <c r="D52" s="7">
        <v>1.0217000000000001</v>
      </c>
      <c r="E52" s="7">
        <f>aktuelleAnleihen[[#This Row],[Aktueller Kurs]]-aktuelleAnleihen[[#This Row],[Kaufkurs]]</f>
        <v>-1.6000000000000014E-2</v>
      </c>
      <c r="F52" s="8">
        <f>aktuelleAnleihen[[#This Row],[Stückelung]]*aktuelleAnleihen[[#This Row],[Aktueller Kurs]]*aktuelleAnleihen[[#This Row],[Anteile]]/aktuelleAnleihen[[#This Row],[Aktueller Wechselkurs]]+aktuelleAnleihen[[#This Row],[Stückzinsen]]</f>
        <v>1879.0581138378682</v>
      </c>
      <c r="G52" s="8">
        <f>aktuelleAnleihen[[#This Row],[Kursdifferenz]]*aktuelleAnleihen[[#This Row],[Anteile]]*aktuelleAnleihen[[#This Row],[Stückelung]]/aktuelleAnleihen[[#This Row],[Wechselkurs am Kauftag]]</f>
        <v>-29.842394852186914</v>
      </c>
      <c r="H52" s="8">
        <f>aktuelleAnleihen[[#This Row],[Stückzinsen]]-aktuelleAnleihen[[#This Row],[Stückzinsen am Kauftag]]+aktuelleAnleihen[[#This Row],[Zinszahlungen]]</f>
        <v>16.889202652648962</v>
      </c>
      <c r="I52" s="8">
        <f>aktuelleAnleihen[[#This Row],[Gewinn gesamt]]-aktuelleAnleihen[[#This Row],[Gewinn aus Kursänderung]]-aktuelleAnleihen[[#This Row],[Gewinn aus Zinsen]]</f>
        <v>-29.395326918081878</v>
      </c>
      <c r="J52" s="7">
        <f>aktuelleAnleihen[[#This Row],[Gewinn gesamt]]/aktuelleAnleihen[[#This Row],[Kaufpreis]]</f>
        <v>-2.1091956634825163E-2</v>
      </c>
      <c r="K52" s="3">
        <f>aktuelleAnleihen[[#This Row],[Verkaufspreis]]-aktuelleAnleihen[[#This Row],[Kaufpreis]]+aktuelleAnleihen[[#This Row],[Zinszahlungen]]</f>
        <v>-42.34851911761983</v>
      </c>
      <c r="L52" s="4">
        <v>2007.8042</v>
      </c>
      <c r="M52" s="7">
        <v>1.0377000000000001</v>
      </c>
      <c r="N52" s="61">
        <v>1.0723</v>
      </c>
      <c r="O52" s="1">
        <v>1.0891</v>
      </c>
      <c r="P52" s="1" t="s">
        <v>887</v>
      </c>
      <c r="Q52" s="30">
        <v>45412</v>
      </c>
      <c r="R52" s="1">
        <v>2</v>
      </c>
      <c r="S52" s="1">
        <v>1000</v>
      </c>
      <c r="T52" s="9">
        <v>45444</v>
      </c>
      <c r="U52" s="1">
        <v>2</v>
      </c>
      <c r="V52" s="62">
        <f>aktuelleAnleihen[[#This Row],[Stückelung]]*aktuelleAnleihen[[#This Row],[Anteile]]*aktuelleAnleihen[[#This Row],[Coupon]]/aktuelleAnleihen[[#This Row],[Aktueller Wechselkurs]]*($AC$1-aktuelleAnleihen[[#This Row],[Letzte Zinszahlung]])/365</f>
        <v>2.8300356081369182</v>
      </c>
      <c r="W52" s="4">
        <v>72.338399999999993</v>
      </c>
      <c r="X52" s="120" t="s">
        <v>276</v>
      </c>
      <c r="Y52" s="120" t="s">
        <v>39</v>
      </c>
      <c r="Z52" s="1" t="s">
        <v>1220</v>
      </c>
      <c r="AA52" s="1" t="s">
        <v>1221</v>
      </c>
      <c r="AB52" s="3">
        <f>SUMIF('Zinszahlungen Anleihen'!K:K,aktuelleAnleihen[[#This Row],[ISIN]],'Zinszahlungen Anleihen'!D:D)</f>
        <v>86.39756704451203</v>
      </c>
      <c r="AE52" s="10"/>
      <c r="AF52" s="1"/>
      <c r="AH52" s="7"/>
      <c r="AJ52" s="1"/>
      <c r="AN52" s="1"/>
      <c r="AQ52" s="1"/>
    </row>
    <row r="53" spans="1:43" x14ac:dyDescent="0.2">
      <c r="A53" s="1" t="s">
        <v>112</v>
      </c>
      <c r="B53" s="1" t="s">
        <v>9</v>
      </c>
      <c r="C53" s="7">
        <v>0.11432</v>
      </c>
      <c r="D53" s="7">
        <v>0.92125000000000001</v>
      </c>
      <c r="E53" s="7">
        <f>aktuelleAnleihen[[#This Row],[Aktueller Kurs]]-aktuelleAnleihen[[#This Row],[Kaufkurs]]</f>
        <v>-1.4749999999999042E-2</v>
      </c>
      <c r="F53" s="8">
        <f>aktuelleAnleihen[[#This Row],[Stückelung]]*aktuelleAnleihen[[#This Row],[Aktueller Kurs]]*aktuelleAnleihen[[#This Row],[Anteile]]/aktuelleAnleihen[[#This Row],[Aktueller Wechselkurs]]+aktuelleAnleihen[[#This Row],[Stückzinsen]]</f>
        <v>1845.6320547945206</v>
      </c>
      <c r="G53" s="8">
        <f>aktuelleAnleihen[[#This Row],[Kursdifferenz]]*aktuelleAnleihen[[#This Row],[Anteile]]*aktuelleAnleihen[[#This Row],[Stückelung]]/aktuelleAnleihen[[#This Row],[Wechselkurs am Kauftag]]</f>
        <v>-29.499999999998082</v>
      </c>
      <c r="H53" s="8">
        <f>aktuelleAnleihen[[#This Row],[Stückzinsen]]-aktuelleAnleihen[[#This Row],[Stückzinsen am Kauftag]]+aktuelleAnleihen[[#This Row],[Zinszahlungen]]</f>
        <v>44.631754794520553</v>
      </c>
      <c r="I53" s="8">
        <f>aktuelleAnleihen[[#This Row],[Gewinn gesamt]]-aktuelleAnleihen[[#This Row],[Gewinn aus Kursänderung]]-aktuelleAnleihen[[#This Row],[Gewinn aus Zinsen]]</f>
        <v>-1.8474111129762605E-12</v>
      </c>
      <c r="J53" s="7">
        <f>aktuelleAnleihen[[#This Row],[Gewinn gesamt]]/aktuelleAnleihen[[#This Row],[Kaufpreis]]</f>
        <v>8.0161429440035493E-3</v>
      </c>
      <c r="K53" s="3">
        <f>aktuelleAnleihen[[#This Row],[Verkaufspreis]]-aktuelleAnleihen[[#This Row],[Kaufpreis]]+aktuelleAnleihen[[#This Row],[Zinszahlungen]]</f>
        <v>15.131754794520624</v>
      </c>
      <c r="L53" s="4">
        <v>1887.6603</v>
      </c>
      <c r="M53" s="7">
        <v>0.93599999999999905</v>
      </c>
      <c r="N53" s="61">
        <v>1</v>
      </c>
      <c r="O53" s="1">
        <v>1</v>
      </c>
      <c r="P53" s="1" t="s">
        <v>925</v>
      </c>
      <c r="Q53" s="30">
        <v>45378</v>
      </c>
      <c r="R53" s="1">
        <v>2</v>
      </c>
      <c r="S53" s="1">
        <v>1000</v>
      </c>
      <c r="T53" s="9">
        <v>45445</v>
      </c>
      <c r="U53" s="1">
        <v>4</v>
      </c>
      <c r="V53" s="62">
        <f>aktuelleAnleihen[[#This Row],[Stückelung]]*aktuelleAnleihen[[#This Row],[Anteile]]*aktuelleAnleihen[[#This Row],[Coupon]]/aktuelleAnleihen[[#This Row],[Aktueller Wechselkurs]]*($AC$1-aktuelleAnleihen[[#This Row],[Letzte Zinszahlung]])/365</f>
        <v>3.1320547945205481</v>
      </c>
      <c r="W53" s="4">
        <v>15.660299999999999</v>
      </c>
      <c r="X53" s="120" t="s">
        <v>56</v>
      </c>
      <c r="Y53" s="120" t="s">
        <v>52</v>
      </c>
      <c r="Z53" s="1" t="s">
        <v>113</v>
      </c>
      <c r="AA53" s="1" t="s">
        <v>114</v>
      </c>
      <c r="AB53" s="3">
        <f>SUMIF('Zinszahlungen Anleihen'!K:K,aktuelleAnleihen[[#This Row],[ISIN]],'Zinszahlungen Anleihen'!D:D)</f>
        <v>57.160000000000004</v>
      </c>
      <c r="AE53" s="10"/>
      <c r="AF53" s="1"/>
      <c r="AH53" s="7"/>
      <c r="AJ53" s="1"/>
      <c r="AN53" s="1"/>
      <c r="AQ53" s="1"/>
    </row>
    <row r="54" spans="1:43" x14ac:dyDescent="0.2">
      <c r="A54" s="1" t="s">
        <v>1747</v>
      </c>
      <c r="B54" s="1" t="s">
        <v>8</v>
      </c>
      <c r="C54" s="7">
        <v>0.08</v>
      </c>
      <c r="D54" s="7">
        <v>0.98385</v>
      </c>
      <c r="E54" s="7">
        <f>aktuelleAnleihen[[#This Row],[Aktueller Kurs]]-aktuelleAnleihen[[#This Row],[Kaufkurs]]</f>
        <v>-1.5650000000000053E-2</v>
      </c>
      <c r="F54" s="8">
        <f>aktuelleAnleihen[[#This Row],[Stückelung]]*aktuelleAnleihen[[#This Row],[Aktueller Kurs]]*aktuelleAnleihen[[#This Row],[Anteile]]/aktuelleAnleihen[[#This Row],[Aktueller Wechselkurs]]+aktuelleAnleihen[[#This Row],[Stückzinsen]]</f>
        <v>1852.2029626070539</v>
      </c>
      <c r="G54" s="8">
        <f>aktuelleAnleihen[[#This Row],[Kursdifferenz]]*aktuelleAnleihen[[#This Row],[Anteile]]*aktuelleAnleihen[[#This Row],[Stückelung]]/aktuelleAnleihen[[#This Row],[Wechselkurs am Kauftag]]</f>
        <v>-29.189592464795396</v>
      </c>
      <c r="H54" s="8">
        <f>aktuelleAnleihen[[#This Row],[Stückzinsen]]-aktuelleAnleihen[[#This Row],[Stückzinsen am Kauftag]]+aktuelleAnleihen[[#This Row],[Zinszahlungen]]</f>
        <v>14.821816706769322</v>
      </c>
      <c r="I54" s="8">
        <f>aktuelleAnleihen[[#This Row],[Gewinn gesamt]]-aktuelleAnleihen[[#This Row],[Gewinn aus Kursänderung]]-aktuelleAnleihen[[#This Row],[Gewinn aus Zinsen]]</f>
        <v>-28.306361634919949</v>
      </c>
      <c r="J54" s="7">
        <f>aktuelleAnleihen[[#This Row],[Gewinn gesamt]]/aktuelleAnleihen[[#This Row],[Kaufpreis]]</f>
        <v>-2.2520794300034563E-2</v>
      </c>
      <c r="K54" s="3">
        <f>aktuelleAnleihen[[#This Row],[Verkaufspreis]]-aktuelleAnleihen[[#This Row],[Kaufpreis]]+aktuelleAnleihen[[#This Row],[Zinszahlungen]]</f>
        <v>-42.674137392946022</v>
      </c>
      <c r="L54" s="4">
        <v>1894.8770999999999</v>
      </c>
      <c r="M54" s="7">
        <v>0.99950000000000006</v>
      </c>
      <c r="N54" s="61">
        <v>1.0723</v>
      </c>
      <c r="O54" s="1">
        <v>1.0891</v>
      </c>
      <c r="P54" s="1" t="s">
        <v>887</v>
      </c>
      <c r="Q54" s="30">
        <v>45412</v>
      </c>
      <c r="R54" s="1">
        <v>2</v>
      </c>
      <c r="S54" s="1">
        <v>1000</v>
      </c>
      <c r="T54" s="9">
        <v>45337</v>
      </c>
      <c r="U54" s="1">
        <v>2</v>
      </c>
      <c r="V54" s="62">
        <f>aktuelleAnleihen[[#This Row],[Stückelung]]*aktuelleAnleihen[[#This Row],[Anteile]]*aktuelleAnleihen[[#This Row],[Coupon]]/aktuelleAnleihen[[#This Row],[Aktueller Wechselkurs]]*($AC$1-aktuelleAnleihen[[#This Row],[Letzte Zinszahlung]])/365</f>
        <v>45.481816706769322</v>
      </c>
      <c r="W54" s="4">
        <v>30.66</v>
      </c>
      <c r="X54" s="120" t="s">
        <v>276</v>
      </c>
      <c r="Y54" s="120" t="s">
        <v>39</v>
      </c>
      <c r="Z54" s="1" t="s">
        <v>1748</v>
      </c>
      <c r="AA54" s="1" t="s">
        <v>1749</v>
      </c>
      <c r="AB54" s="3">
        <f>SUMIF('Zinszahlungen Anleihen'!K:K,aktuelleAnleihen[[#This Row],[ISIN]],'Zinszahlungen Anleihen'!D:D)</f>
        <v>0</v>
      </c>
      <c r="AE54" s="10"/>
      <c r="AF54" s="1"/>
      <c r="AH54" s="7"/>
      <c r="AJ54" s="1"/>
      <c r="AN54" s="1"/>
      <c r="AQ54" s="1"/>
    </row>
    <row r="55" spans="1:43" x14ac:dyDescent="0.2">
      <c r="A55" s="1" t="s">
        <v>776</v>
      </c>
      <c r="B55" s="1" t="s">
        <v>0</v>
      </c>
      <c r="C55" s="7">
        <v>6.5000000000000002E-2</v>
      </c>
      <c r="D55" s="7">
        <v>0.99809999999999999</v>
      </c>
      <c r="E55" s="7">
        <f>aktuelleAnleihen[[#This Row],[Aktueller Kurs]]-aktuelleAnleihen[[#This Row],[Kaufkurs]]</f>
        <v>-1.3000000000000123E-2</v>
      </c>
      <c r="F55" s="8">
        <f>aktuelleAnleihen[[#This Row],[Stückelung]]*aktuelleAnleihen[[#This Row],[Aktueller Kurs]]*aktuelleAnleihen[[#This Row],[Anteile]]/aktuelleAnleihen[[#This Row],[Aktueller Wechselkurs]]+aktuelleAnleihen[[#This Row],[Stückzinsen]]</f>
        <v>2028.6109589041096</v>
      </c>
      <c r="G55" s="8">
        <f>aktuelleAnleihen[[#This Row],[Kursdifferenz]]*aktuelleAnleihen[[#This Row],[Anteile]]*aktuelleAnleihen[[#This Row],[Stückelung]]/aktuelleAnleihen[[#This Row],[Wechselkurs am Kauftag]]</f>
        <v>-26.000000000000245</v>
      </c>
      <c r="H55" s="8">
        <f>aktuelleAnleihen[[#This Row],[Stückzinsen]]-aktuelleAnleihen[[#This Row],[Stückzinsen am Kauftag]]+aktuelleAnleihen[[#This Row],[Zinszahlungen]]</f>
        <v>23.150658904109591</v>
      </c>
      <c r="I55" s="8">
        <f>aktuelleAnleihen[[#This Row],[Gewinn gesamt]]-aktuelleAnleihen[[#This Row],[Gewinn aus Kursänderung]]-aktuelleAnleihen[[#This Row],[Gewinn aus Zinsen]]</f>
        <v>2.5934809855243657E-13</v>
      </c>
      <c r="J55" s="7">
        <f>aktuelleAnleihen[[#This Row],[Gewinn gesamt]]/aktuelleAnleihen[[#This Row],[Kaufpreis]]</f>
        <v>-1.4026073243421963E-3</v>
      </c>
      <c r="K55" s="3">
        <f>aktuelleAnleihen[[#This Row],[Verkaufspreis]]-aktuelleAnleihen[[#This Row],[Kaufpreis]]+aktuelleAnleihen[[#This Row],[Zinszahlungen]]</f>
        <v>-2.8493410958903951</v>
      </c>
      <c r="L55" s="4">
        <v>2031.4603</v>
      </c>
      <c r="M55" s="7">
        <v>1.0111000000000001</v>
      </c>
      <c r="N55" s="61">
        <v>1</v>
      </c>
      <c r="O55" s="1">
        <v>1</v>
      </c>
      <c r="P55" s="1" t="s">
        <v>925</v>
      </c>
      <c r="Q55" s="30">
        <v>45385</v>
      </c>
      <c r="R55" s="1">
        <v>2</v>
      </c>
      <c r="S55" s="1">
        <v>1000</v>
      </c>
      <c r="T55" s="9">
        <v>45359</v>
      </c>
      <c r="U55" s="1">
        <v>1</v>
      </c>
      <c r="V55" s="62">
        <f>aktuelleAnleihen[[#This Row],[Stückelung]]*aktuelleAnleihen[[#This Row],[Anteile]]*aktuelleAnleihen[[#This Row],[Coupon]]/aktuelleAnleihen[[#This Row],[Aktueller Wechselkurs]]*($AC$1-aktuelleAnleihen[[#This Row],[Letzte Zinszahlung]])/365</f>
        <v>32.410958904109592</v>
      </c>
      <c r="W55" s="4">
        <v>9.2603000000000009</v>
      </c>
      <c r="X55" s="120" t="s">
        <v>51</v>
      </c>
      <c r="Y55" s="120" t="s">
        <v>57</v>
      </c>
      <c r="Z55" s="1" t="s">
        <v>777</v>
      </c>
      <c r="AA55" s="1" t="s">
        <v>778</v>
      </c>
      <c r="AB55" s="3">
        <f>SUMIF('Zinszahlungen Anleihen'!K:K,aktuelleAnleihen[[#This Row],[ISIN]],'Zinszahlungen Anleihen'!D:D)</f>
        <v>0</v>
      </c>
      <c r="AE55" s="10"/>
      <c r="AF55" s="1"/>
      <c r="AH55" s="7"/>
      <c r="AJ55" s="1"/>
      <c r="AN55" s="1"/>
      <c r="AQ55" s="1"/>
    </row>
    <row r="56" spans="1:43" x14ac:dyDescent="0.2">
      <c r="A56" s="1" t="s">
        <v>1726</v>
      </c>
      <c r="B56" s="1" t="s">
        <v>10</v>
      </c>
      <c r="C56" s="7">
        <v>0.08</v>
      </c>
      <c r="D56" s="7">
        <v>0.92374999999999996</v>
      </c>
      <c r="E56" s="7">
        <f>aktuelleAnleihen[[#This Row],[Aktueller Kurs]]-aktuelleAnleihen[[#This Row],[Kaufkurs]]</f>
        <v>-1.375000000000004E-2</v>
      </c>
      <c r="F56" s="8">
        <f>aktuelleAnleihen[[#This Row],[Stückelung]]*aktuelleAnleihen[[#This Row],[Aktueller Kurs]]*aktuelleAnleihen[[#This Row],[Anteile]]/aktuelleAnleihen[[#This Row],[Aktueller Wechselkurs]]+aktuelleAnleihen[[#This Row],[Stückzinsen]]</f>
        <v>1741.8366050641287</v>
      </c>
      <c r="G56" s="8">
        <f>aktuelleAnleihen[[#This Row],[Kursdifferenz]]*aktuelleAnleihen[[#This Row],[Anteile]]*aktuelleAnleihen[[#This Row],[Stückelung]]/aktuelleAnleihen[[#This Row],[Wechselkurs am Kauftag]]</f>
        <v>-25.645808076098177</v>
      </c>
      <c r="H56" s="8">
        <f>aktuelleAnleihen[[#This Row],[Stückzinsen]]-aktuelleAnleihen[[#This Row],[Stückzinsen am Kauftag]]+aktuelleAnleihen[[#This Row],[Zinszahlungen]]</f>
        <v>14.821816706769322</v>
      </c>
      <c r="I56" s="8">
        <f>aktuelleAnleihen[[#This Row],[Gewinn gesamt]]-aktuelleAnleihen[[#This Row],[Gewinn aus Kursänderung]]-aktuelleAnleihen[[#This Row],[Gewinn aus Zinsen]]</f>
        <v>-26.57720356654259</v>
      </c>
      <c r="J56" s="7">
        <f>aktuelleAnleihen[[#This Row],[Gewinn gesamt]]/aktuelleAnleihen[[#This Row],[Kaufpreis]]</f>
        <v>-2.1020908467587324E-2</v>
      </c>
      <c r="K56" s="3">
        <f>aktuelleAnleihen[[#This Row],[Verkaufspreis]]-aktuelleAnleihen[[#This Row],[Kaufpreis]]+aktuelleAnleihen[[#This Row],[Zinszahlungen]]</f>
        <v>-37.401194935871445</v>
      </c>
      <c r="L56" s="4">
        <v>1779.2378000000001</v>
      </c>
      <c r="M56" s="7">
        <v>0.9375</v>
      </c>
      <c r="N56" s="61">
        <v>1.0723</v>
      </c>
      <c r="O56" s="1">
        <v>1.0891</v>
      </c>
      <c r="P56" s="1" t="s">
        <v>887</v>
      </c>
      <c r="Q56" s="30">
        <v>45412</v>
      </c>
      <c r="R56" s="1">
        <v>2</v>
      </c>
      <c r="S56" s="1">
        <v>1000</v>
      </c>
      <c r="T56" s="9">
        <v>45337</v>
      </c>
      <c r="U56" s="1">
        <v>2</v>
      </c>
      <c r="V56" s="62">
        <f>aktuelleAnleihen[[#This Row],[Stückelung]]*aktuelleAnleihen[[#This Row],[Anteile]]*aktuelleAnleihen[[#This Row],[Coupon]]/aktuelleAnleihen[[#This Row],[Aktueller Wechselkurs]]*($AC$1-aktuelleAnleihen[[#This Row],[Letzte Zinszahlung]])/365</f>
        <v>45.481816706769322</v>
      </c>
      <c r="W56" s="4">
        <v>30.66</v>
      </c>
      <c r="X56" s="120" t="s">
        <v>276</v>
      </c>
      <c r="Y56" s="120" t="s">
        <v>1011</v>
      </c>
      <c r="Z56" s="1" t="s">
        <v>1727</v>
      </c>
      <c r="AA56" s="1" t="s">
        <v>1728</v>
      </c>
      <c r="AB56" s="3">
        <f>SUMIF('Zinszahlungen Anleihen'!K:K,aktuelleAnleihen[[#This Row],[ISIN]],'Zinszahlungen Anleihen'!D:D)</f>
        <v>0</v>
      </c>
      <c r="AE56" s="10"/>
      <c r="AF56" s="1"/>
      <c r="AH56" s="7"/>
      <c r="AJ56" s="1"/>
      <c r="AN56" s="1"/>
      <c r="AQ56" s="1"/>
    </row>
    <row r="57" spans="1:43" x14ac:dyDescent="0.2">
      <c r="A57" s="1" t="s">
        <v>1788</v>
      </c>
      <c r="B57" s="1" t="s">
        <v>0</v>
      </c>
      <c r="C57" s="7">
        <v>0.14000000000000001</v>
      </c>
      <c r="D57" s="7">
        <v>0.98595999999999995</v>
      </c>
      <c r="E57" s="7">
        <f>aktuelleAnleihen[[#This Row],[Aktueller Kurs]]-aktuelleAnleihen[[#This Row],[Kaufkurs]]</f>
        <v>-1.2340000000000018E-2</v>
      </c>
      <c r="F57" s="8">
        <f>aktuelleAnleihen[[#This Row],[Stückelung]]*aktuelleAnleihen[[#This Row],[Aktueller Kurs]]*aktuelleAnleihen[[#This Row],[Anteile]]/aktuelleAnleihen[[#This Row],[Aktueller Wechselkurs]]+aktuelleAnleihen[[#This Row],[Stückzinsen]]</f>
        <v>1990.3309589041094</v>
      </c>
      <c r="G57" s="8">
        <f>aktuelleAnleihen[[#This Row],[Kursdifferenz]]*aktuelleAnleihen[[#This Row],[Anteile]]*aktuelleAnleihen[[#This Row],[Stückelung]]/aktuelleAnleihen[[#This Row],[Wechselkurs am Kauftag]]</f>
        <v>-24.680000000000035</v>
      </c>
      <c r="H57" s="8">
        <f>aktuelleAnleihen[[#This Row],[Stückzinsen]]-aktuelleAnleihen[[#This Row],[Stückzinsen am Kauftag]]+aktuelleAnleihen[[#This Row],[Zinszahlungen]]</f>
        <v>17.643858904109589</v>
      </c>
      <c r="I57" s="8">
        <f>aktuelleAnleihen[[#This Row],[Gewinn gesamt]]-aktuelleAnleihen[[#This Row],[Gewinn aus Kursänderung]]-aktuelleAnleihen[[#This Row],[Gewinn aus Zinsen]]</f>
        <v>-1.2434497875801753E-13</v>
      </c>
      <c r="J57" s="7">
        <f>aktuelleAnleihen[[#This Row],[Gewinn gesamt]]/aktuelleAnleihen[[#This Row],[Kaufpreis]]</f>
        <v>-3.5227080169141522E-3</v>
      </c>
      <c r="K57" s="3">
        <f>aktuelleAnleihen[[#This Row],[Verkaufspreis]]-aktuelleAnleihen[[#This Row],[Kaufpreis]]+aktuelleAnleihen[[#This Row],[Zinszahlungen]]</f>
        <v>-7.0361410958905708</v>
      </c>
      <c r="L57" s="4">
        <v>1997.3670999999999</v>
      </c>
      <c r="M57" s="7">
        <v>0.99829999999999997</v>
      </c>
      <c r="N57" s="61">
        <v>1</v>
      </c>
      <c r="O57" s="1">
        <v>1</v>
      </c>
      <c r="P57" s="1" t="s">
        <v>925</v>
      </c>
      <c r="Q57" s="30">
        <v>45427</v>
      </c>
      <c r="R57" s="1">
        <v>2</v>
      </c>
      <c r="S57" s="1">
        <v>1000</v>
      </c>
      <c r="T57" s="9">
        <v>45426</v>
      </c>
      <c r="U57" s="1">
        <v>1</v>
      </c>
      <c r="V57" s="62">
        <f>aktuelleAnleihen[[#This Row],[Stückelung]]*aktuelleAnleihen[[#This Row],[Anteile]]*aktuelleAnleihen[[#This Row],[Coupon]]/aktuelleAnleihen[[#This Row],[Aktueller Wechselkurs]]*($AC$1-aktuelleAnleihen[[#This Row],[Letzte Zinszahlung]])/365</f>
        <v>18.410958904109588</v>
      </c>
      <c r="W57" s="4">
        <v>0.7671</v>
      </c>
      <c r="X57" s="120" t="s">
        <v>284</v>
      </c>
      <c r="Y57" s="120" t="s">
        <v>52</v>
      </c>
      <c r="Z57" s="1" t="s">
        <v>1789</v>
      </c>
      <c r="AA57" s="1" t="s">
        <v>1790</v>
      </c>
      <c r="AB57" s="3">
        <f>SUMIF('Zinszahlungen Anleihen'!K:K,aktuelleAnleihen[[#This Row],[ISIN]],'Zinszahlungen Anleihen'!D:D)</f>
        <v>0</v>
      </c>
      <c r="AE57" s="10"/>
      <c r="AF57" s="1"/>
      <c r="AH57" s="7"/>
      <c r="AJ57" s="1"/>
      <c r="AN57" s="1"/>
      <c r="AQ57" s="1"/>
    </row>
    <row r="58" spans="1:43" x14ac:dyDescent="0.2">
      <c r="A58" s="1" t="s">
        <v>507</v>
      </c>
      <c r="B58" s="1" t="s">
        <v>0</v>
      </c>
      <c r="C58" s="7">
        <v>7.7499999999999999E-2</v>
      </c>
      <c r="D58" s="7">
        <v>1.117</v>
      </c>
      <c r="E58" s="7">
        <f>aktuelleAnleihen[[#This Row],[Aktueller Kurs]]-aktuelleAnleihen[[#This Row],[Kaufkurs]]</f>
        <v>-1.2199999999999989E-2</v>
      </c>
      <c r="F58" s="8">
        <f>aktuelleAnleihen[[#This Row],[Stückelung]]*aktuelleAnleihen[[#This Row],[Aktueller Kurs]]*aktuelleAnleihen[[#This Row],[Anteile]]/aktuelleAnleihen[[#This Row],[Aktueller Wechselkurs]]+aktuelleAnleihen[[#This Row],[Stückzinsen]]</f>
        <v>2275.6164383561645</v>
      </c>
      <c r="G58" s="8">
        <f>aktuelleAnleihen[[#This Row],[Kursdifferenz]]*aktuelleAnleihen[[#This Row],[Anteile]]*aktuelleAnleihen[[#This Row],[Stückelung]]/aktuelleAnleihen[[#This Row],[Wechselkurs am Kauftag]]</f>
        <v>-24.399999999999977</v>
      </c>
      <c r="H58" s="8">
        <f>aktuelleAnleihen[[#This Row],[Stückzinsen]]-aktuelleAnleihen[[#This Row],[Stückzinsen am Kauftag]]+aktuelleAnleihen[[#This Row],[Zinszahlungen]]</f>
        <v>27.60273835616438</v>
      </c>
      <c r="I58" s="8">
        <f>aktuelleAnleihen[[#This Row],[Gewinn gesamt]]-aktuelleAnleihen[[#This Row],[Gewinn aus Kursänderung]]-aktuelleAnleihen[[#This Row],[Gewinn aus Zinsen]]</f>
        <v>4.2632564145606011E-14</v>
      </c>
      <c r="J58" s="7">
        <f>aktuelleAnleihen[[#This Row],[Gewinn gesamt]]/aktuelleAnleihen[[#This Row],[Kaufpreis]]</f>
        <v>1.4093993343573159E-3</v>
      </c>
      <c r="K58" s="3">
        <f>aktuelleAnleihen[[#This Row],[Verkaufspreis]]-aktuelleAnleihen[[#This Row],[Kaufpreis]]+aktuelleAnleihen[[#This Row],[Zinszahlungen]]</f>
        <v>3.2027383561644456</v>
      </c>
      <c r="L58" s="4">
        <v>2272.4137000000001</v>
      </c>
      <c r="M58" s="7">
        <v>1.1292</v>
      </c>
      <c r="N58" s="61">
        <v>1</v>
      </c>
      <c r="O58" s="1">
        <v>1</v>
      </c>
      <c r="P58" s="1" t="s">
        <v>925</v>
      </c>
      <c r="Q58" s="30">
        <v>45385</v>
      </c>
      <c r="R58" s="1">
        <v>2</v>
      </c>
      <c r="S58" s="1">
        <v>1000</v>
      </c>
      <c r="T58" s="9">
        <v>45352</v>
      </c>
      <c r="U58" s="1">
        <v>1</v>
      </c>
      <c r="V58" s="62">
        <f>aktuelleAnleihen[[#This Row],[Stückelung]]*aktuelleAnleihen[[#This Row],[Anteile]]*aktuelleAnleihen[[#This Row],[Coupon]]/aktuelleAnleihen[[#This Row],[Aktueller Wechselkurs]]*($AC$1-aktuelleAnleihen[[#This Row],[Letzte Zinszahlung]])/365</f>
        <v>41.61643835616438</v>
      </c>
      <c r="W58" s="4">
        <v>14.0137</v>
      </c>
      <c r="X58" s="120" t="s">
        <v>508</v>
      </c>
      <c r="Y58" s="120" t="s">
        <v>44</v>
      </c>
      <c r="Z58" s="1" t="s">
        <v>509</v>
      </c>
      <c r="AA58" s="1" t="s">
        <v>510</v>
      </c>
      <c r="AB58" s="3">
        <f>SUMIF('Zinszahlungen Anleihen'!K:K,aktuelleAnleihen[[#This Row],[ISIN]],'Zinszahlungen Anleihen'!D:D)</f>
        <v>0</v>
      </c>
      <c r="AE58" s="10"/>
      <c r="AF58" s="1"/>
      <c r="AH58" s="7"/>
      <c r="AJ58" s="1"/>
      <c r="AN58" s="1"/>
      <c r="AQ58" s="1"/>
    </row>
    <row r="59" spans="1:43" x14ac:dyDescent="0.2">
      <c r="A59" s="1" t="s">
        <v>826</v>
      </c>
      <c r="B59" s="1" t="s">
        <v>10</v>
      </c>
      <c r="C59" s="7">
        <v>6.1249999999999999E-2</v>
      </c>
      <c r="D59" s="7">
        <v>1.0651000000000002</v>
      </c>
      <c r="E59" s="7">
        <f>aktuelleAnleihen[[#This Row],[Aktueller Kurs]]-aktuelleAnleihen[[#This Row],[Kaufkurs]]</f>
        <v>-1.0699999999999932E-2</v>
      </c>
      <c r="F59" s="8">
        <f>aktuelleAnleihen[[#This Row],[Stückelung]]*aktuelleAnleihen[[#This Row],[Aktueller Kurs]]*aktuelleAnleihen[[#This Row],[Anteile]]/aktuelleAnleihen[[#This Row],[Aktueller Wechselkurs]]+aktuelleAnleihen[[#This Row],[Stückzinsen]]</f>
        <v>2137.919178082192</v>
      </c>
      <c r="G59" s="8">
        <f>aktuelleAnleihen[[#This Row],[Kursdifferenz]]*aktuelleAnleihen[[#This Row],[Anteile]]*aktuelleAnleihen[[#This Row],[Stückelung]]/aktuelleAnleihen[[#This Row],[Wechselkurs am Kauftag]]</f>
        <v>-21.399999999999864</v>
      </c>
      <c r="H59" s="8">
        <f>aktuelleAnleihen[[#This Row],[Stückzinsen]]-aktuelleAnleihen[[#This Row],[Stückzinsen am Kauftag]]+aktuelleAnleihen[[#This Row],[Zinszahlungen]]</f>
        <v>21.479478082191775</v>
      </c>
      <c r="I59" s="8">
        <f>aktuelleAnleihen[[#This Row],[Gewinn gesamt]]-aktuelleAnleihen[[#This Row],[Gewinn aus Kursänderung]]-aktuelleAnleihen[[#This Row],[Gewinn aus Zinsen]]</f>
        <v>1.4210854715202004E-13</v>
      </c>
      <c r="J59" s="7">
        <f>aktuelleAnleihen[[#This Row],[Gewinn gesamt]]/aktuelleAnleihen[[#This Row],[Kaufpreis]]</f>
        <v>3.5162007813274258E-5</v>
      </c>
      <c r="K59" s="3">
        <f>aktuelleAnleihen[[#This Row],[Verkaufspreis]]-aktuelleAnleihen[[#This Row],[Kaufpreis]]+aktuelleAnleihen[[#This Row],[Zinszahlungen]]</f>
        <v>7.9478082192053989E-2</v>
      </c>
      <c r="L59" s="4">
        <v>2260.3397</v>
      </c>
      <c r="M59" s="7">
        <v>1.0758000000000001</v>
      </c>
      <c r="N59" s="61">
        <v>1</v>
      </c>
      <c r="O59" s="1">
        <v>1</v>
      </c>
      <c r="P59" s="1" t="s">
        <v>925</v>
      </c>
      <c r="Q59" s="30">
        <v>45385</v>
      </c>
      <c r="R59" s="1">
        <v>2</v>
      </c>
      <c r="S59" s="1">
        <v>1000</v>
      </c>
      <c r="T59" s="9">
        <v>45427</v>
      </c>
      <c r="U59" s="1">
        <v>1</v>
      </c>
      <c r="V59" s="62">
        <f>aktuelleAnleihen[[#This Row],[Stückelung]]*aktuelleAnleihen[[#This Row],[Anteile]]*aktuelleAnleihen[[#This Row],[Coupon]]/aktuelleAnleihen[[#This Row],[Aktueller Wechselkurs]]*($AC$1-aktuelleAnleihen[[#This Row],[Letzte Zinszahlung]])/365</f>
        <v>7.7191780821917808</v>
      </c>
      <c r="W59" s="4">
        <v>108.7397</v>
      </c>
      <c r="X59" s="120" t="s">
        <v>276</v>
      </c>
      <c r="Y59" s="120" t="s">
        <v>61</v>
      </c>
      <c r="Z59" s="1" t="s">
        <v>827</v>
      </c>
      <c r="AA59" s="1" t="s">
        <v>828</v>
      </c>
      <c r="AB59" s="3">
        <f>SUMIF('Zinszahlungen Anleihen'!K:K,aktuelleAnleihen[[#This Row],[ISIN]],'Zinszahlungen Anleihen'!D:D)</f>
        <v>122.5</v>
      </c>
      <c r="AE59" s="10"/>
      <c r="AF59" s="1"/>
      <c r="AH59" s="7"/>
      <c r="AJ59" s="1"/>
      <c r="AN59" s="1"/>
      <c r="AQ59" s="1"/>
    </row>
    <row r="60" spans="1:43" x14ac:dyDescent="0.2">
      <c r="A60" s="1" t="s">
        <v>1115</v>
      </c>
      <c r="B60" s="1" t="s">
        <v>1</v>
      </c>
      <c r="C60" s="7">
        <v>9.8750000000000004E-2</v>
      </c>
      <c r="D60" s="7">
        <v>0.97750000000000004</v>
      </c>
      <c r="E60" s="7">
        <f>aktuelleAnleihen[[#This Row],[Aktueller Kurs]]-aktuelleAnleihen[[#This Row],[Kaufkurs]]</f>
        <v>-1.1299999999999977E-2</v>
      </c>
      <c r="F60" s="8">
        <f>aktuelleAnleihen[[#This Row],[Stückelung]]*aktuelleAnleihen[[#This Row],[Aktueller Kurs]]*aktuelleAnleihen[[#This Row],[Anteile]]/aktuelleAnleihen[[#This Row],[Aktueller Wechselkurs]]+aktuelleAnleihen[[#This Row],[Stückzinsen]]</f>
        <v>1855.6732151594315</v>
      </c>
      <c r="G60" s="8">
        <f>aktuelleAnleihen[[#This Row],[Kursdifferenz]]*aktuelleAnleihen[[#This Row],[Anteile]]*aktuelleAnleihen[[#This Row],[Stückelung]]/aktuelleAnleihen[[#This Row],[Wechselkurs am Kauftag]]</f>
        <v>-21.076191364356944</v>
      </c>
      <c r="H60" s="8">
        <f>aktuelleAnleihen[[#This Row],[Stückzinsen]]-aktuelleAnleihen[[#This Row],[Stückzinsen am Kauftag]]+aktuelleAnleihen[[#This Row],[Zinszahlungen]]</f>
        <v>18.225673758274709</v>
      </c>
      <c r="I60" s="8">
        <f>aktuelleAnleihen[[#This Row],[Gewinn gesamt]]-aktuelleAnleihen[[#This Row],[Gewinn aus Kursänderung]]-aktuelleAnleihen[[#This Row],[Gewinn aus Zinsen]]</f>
        <v>-28.123667234486334</v>
      </c>
      <c r="J60" s="7">
        <f>aktuelleAnleihen[[#This Row],[Gewinn gesamt]]/aktuelleAnleihen[[#This Row],[Kaufpreis]]</f>
        <v>-1.6417580116225516E-2</v>
      </c>
      <c r="K60" s="3">
        <f>aktuelleAnleihen[[#This Row],[Verkaufspreis]]-aktuelleAnleihen[[#This Row],[Kaufpreis]]+aktuelleAnleihen[[#This Row],[Zinszahlungen]]</f>
        <v>-30.974184840568569</v>
      </c>
      <c r="L60" s="4">
        <v>1886.6474000000001</v>
      </c>
      <c r="M60" s="7">
        <v>0.98880000000000001</v>
      </c>
      <c r="N60" s="61">
        <v>1.0723</v>
      </c>
      <c r="O60" s="1">
        <v>1.0891</v>
      </c>
      <c r="P60" s="1" t="s">
        <v>887</v>
      </c>
      <c r="Q60" s="30">
        <v>45412</v>
      </c>
      <c r="R60" s="1">
        <v>2</v>
      </c>
      <c r="S60" s="1">
        <v>1000</v>
      </c>
      <c r="T60" s="9">
        <v>45328</v>
      </c>
      <c r="U60" s="1">
        <v>2</v>
      </c>
      <c r="V60" s="62">
        <f>aktuelleAnleihen[[#This Row],[Stückelung]]*aktuelleAnleihen[[#This Row],[Anteile]]*aktuelleAnleihen[[#This Row],[Coupon]]/aktuelleAnleihen[[#This Row],[Aktueller Wechselkurs]]*($AC$1-aktuelleAnleihen[[#This Row],[Letzte Zinszahlung]])/365</f>
        <v>60.613073758274709</v>
      </c>
      <c r="W60" s="4">
        <v>42.3874</v>
      </c>
      <c r="X60" s="120" t="s">
        <v>35</v>
      </c>
      <c r="Y60" s="120" t="s">
        <v>1011</v>
      </c>
      <c r="Z60" s="1" t="s">
        <v>1116</v>
      </c>
      <c r="AA60" s="1" t="s">
        <v>1117</v>
      </c>
      <c r="AB60" s="3">
        <f>SUMIF('Zinszahlungen Anleihen'!K:K,aktuelleAnleihen[[#This Row],[ISIN]],'Zinszahlungen Anleihen'!D:D)</f>
        <v>0</v>
      </c>
      <c r="AE60" s="10"/>
      <c r="AF60" s="1"/>
      <c r="AH60" s="7"/>
      <c r="AJ60" s="1"/>
      <c r="AN60" s="1"/>
      <c r="AQ60" s="1"/>
    </row>
    <row r="61" spans="1:43" x14ac:dyDescent="0.2">
      <c r="A61" s="1" t="s">
        <v>773</v>
      </c>
      <c r="B61" s="1" t="s">
        <v>10</v>
      </c>
      <c r="C61" s="7">
        <v>6.5000000000000002E-2</v>
      </c>
      <c r="D61" s="7">
        <v>1.0543</v>
      </c>
      <c r="E61" s="7">
        <f>aktuelleAnleihen[[#This Row],[Aktueller Kurs]]-aktuelleAnleihen[[#This Row],[Kaufkurs]]</f>
        <v>-1.0099999999999998E-2</v>
      </c>
      <c r="F61" s="8">
        <f>aktuelleAnleihen[[#This Row],[Stückelung]]*aktuelleAnleihen[[#This Row],[Aktueller Kurs]]*aktuelleAnleihen[[#This Row],[Anteile]]/aktuelleAnleihen[[#This Row],[Aktueller Wechselkurs]]+aktuelleAnleihen[[#This Row],[Stückzinsen]]</f>
        <v>2131.0383561643835</v>
      </c>
      <c r="G61" s="8">
        <f>aktuelleAnleihen[[#This Row],[Kursdifferenz]]*aktuelleAnleihen[[#This Row],[Anteile]]*aktuelleAnleihen[[#This Row],[Stückelung]]/aktuelleAnleihen[[#This Row],[Wechselkurs am Kauftag]]</f>
        <v>-20.199999999999996</v>
      </c>
      <c r="H61" s="8">
        <f>aktuelleAnleihen[[#This Row],[Stückzinsen]]-aktuelleAnleihen[[#This Row],[Stückzinsen am Kauftag]]+aktuelleAnleihen[[#This Row],[Zinszahlungen]]</f>
        <v>22.972556164383562</v>
      </c>
      <c r="I61" s="8">
        <f>aktuelleAnleihen[[#This Row],[Gewinn gesamt]]-aktuelleAnleihen[[#This Row],[Gewinn aus Kursänderung]]-aktuelleAnleihen[[#This Row],[Gewinn aus Zinsen]]</f>
        <v>-2.3447910280083306E-13</v>
      </c>
      <c r="J61" s="7">
        <f>aktuelleAnleihen[[#This Row],[Gewinn gesamt]]/aktuelleAnleihen[[#This Row],[Kaufpreis]]</f>
        <v>1.2641222802923984E-3</v>
      </c>
      <c r="K61" s="3">
        <f>aktuelleAnleihen[[#This Row],[Verkaufspreis]]-aktuelleAnleihen[[#This Row],[Kaufpreis]]+aktuelleAnleihen[[#This Row],[Zinszahlungen]]</f>
        <v>2.7725561643833316</v>
      </c>
      <c r="L61" s="4">
        <v>2193.2658000000001</v>
      </c>
      <c r="M61" s="7">
        <v>1.0644</v>
      </c>
      <c r="N61" s="61">
        <v>1</v>
      </c>
      <c r="O61" s="1">
        <v>1</v>
      </c>
      <c r="P61" s="1" t="s">
        <v>925</v>
      </c>
      <c r="Q61" s="30">
        <v>45385</v>
      </c>
      <c r="R61" s="1">
        <v>2</v>
      </c>
      <c r="S61" s="1">
        <v>1000</v>
      </c>
      <c r="T61" s="9">
        <v>45387</v>
      </c>
      <c r="U61" s="1">
        <v>2</v>
      </c>
      <c r="V61" s="62">
        <f>aktuelleAnleihen[[#This Row],[Stückelung]]*aktuelleAnleihen[[#This Row],[Anteile]]*aktuelleAnleihen[[#This Row],[Coupon]]/aktuelleAnleihen[[#This Row],[Aktueller Wechselkurs]]*($AC$1-aktuelleAnleihen[[#This Row],[Letzte Zinszahlung]])/365</f>
        <v>22.438356164383563</v>
      </c>
      <c r="W61" s="4">
        <v>64.465800000000002</v>
      </c>
      <c r="X61" s="120" t="s">
        <v>170</v>
      </c>
      <c r="Y61" s="120" t="s">
        <v>57</v>
      </c>
      <c r="Z61" s="1" t="s">
        <v>774</v>
      </c>
      <c r="AA61" s="1" t="s">
        <v>775</v>
      </c>
      <c r="AB61" s="3">
        <f>SUMIF('Zinszahlungen Anleihen'!K:K,aktuelleAnleihen[[#This Row],[ISIN]],'Zinszahlungen Anleihen'!D:D)</f>
        <v>65</v>
      </c>
      <c r="AE61" s="10"/>
      <c r="AF61" s="1"/>
      <c r="AH61" s="7"/>
      <c r="AJ61" s="1"/>
      <c r="AN61" s="1"/>
      <c r="AQ61" s="1"/>
    </row>
    <row r="62" spans="1:43" x14ac:dyDescent="0.2">
      <c r="A62" s="1" t="s">
        <v>1014</v>
      </c>
      <c r="B62" s="1" t="s">
        <v>10</v>
      </c>
      <c r="C62" s="7">
        <v>0.11749999999999999</v>
      </c>
      <c r="D62" s="7">
        <v>0.99219000000000002</v>
      </c>
      <c r="E62" s="7">
        <f>aktuelleAnleihen[[#This Row],[Aktueller Kurs]]-aktuelleAnleihen[[#This Row],[Kaufkurs]]</f>
        <v>-1.0809999999999875E-2</v>
      </c>
      <c r="F62" s="8">
        <f>aktuelleAnleihen[[#This Row],[Stückelung]]*aktuelleAnleihen[[#This Row],[Aktueller Kurs]]*aktuelleAnleihen[[#This Row],[Anteile]]/aktuelleAnleihen[[#This Row],[Aktueller Wechselkurs]]+aktuelleAnleihen[[#This Row],[Stückzinsen]]</f>
        <v>1835.633292790453</v>
      </c>
      <c r="G62" s="8">
        <f>aktuelleAnleihen[[#This Row],[Kursdifferenz]]*aktuelleAnleihen[[#This Row],[Anteile]]*aktuelleAnleihen[[#This Row],[Stückelung]]/aktuelleAnleihen[[#This Row],[Wechselkurs am Kauftag]]</f>
        <v>-20.162268022008533</v>
      </c>
      <c r="H62" s="8">
        <f>aktuelleAnleihen[[#This Row],[Stückzinsen]]-aktuelleAnleihen[[#This Row],[Stückzinsen am Kauftag]]+aktuelleAnleihen[[#This Row],[Zinszahlungen]]</f>
        <v>21.95106086396828</v>
      </c>
      <c r="I62" s="8">
        <f>aktuelleAnleihen[[#This Row],[Gewinn gesamt]]-aktuelleAnleihen[[#This Row],[Gewinn aus Kursänderung]]-aktuelleAnleihen[[#This Row],[Gewinn aus Zinsen]]</f>
        <v>-28.546288042631915</v>
      </c>
      <c r="J62" s="7">
        <f>aktuelleAnleihen[[#This Row],[Gewinn gesamt]]/aktuelleAnleihen[[#This Row],[Kaufpreis]]</f>
        <v>-1.357548281856864E-2</v>
      </c>
      <c r="K62" s="3">
        <f>aktuelleAnleihen[[#This Row],[Verkaufspreis]]-aktuelleAnleihen[[#This Row],[Kaufpreis]]+aktuelleAnleihen[[#This Row],[Zinszahlungen]]</f>
        <v>-26.757495200672167</v>
      </c>
      <c r="L62" s="4">
        <v>1971.0161000000001</v>
      </c>
      <c r="M62" s="7">
        <v>1.0029999999999999</v>
      </c>
      <c r="N62" s="61">
        <v>1.0723</v>
      </c>
      <c r="O62" s="1">
        <v>1.0891</v>
      </c>
      <c r="P62" s="1" t="s">
        <v>887</v>
      </c>
      <c r="Q62" s="30">
        <v>45412</v>
      </c>
      <c r="R62" s="1">
        <v>2</v>
      </c>
      <c r="S62" s="1">
        <v>1000</v>
      </c>
      <c r="T62" s="9">
        <v>45427</v>
      </c>
      <c r="U62" s="1">
        <v>2</v>
      </c>
      <c r="V62" s="62">
        <f>aktuelleAnleihen[[#This Row],[Stückelung]]*aktuelleAnleihen[[#This Row],[Anteile]]*aktuelleAnleihen[[#This Row],[Coupon]]/aktuelleAnleihen[[#This Row],[Aktueller Wechselkurs]]*($AC$1-aktuelleAnleihen[[#This Row],[Letzte Zinszahlung]])/365</f>
        <v>13.596748855093372</v>
      </c>
      <c r="W62" s="4">
        <v>100.271</v>
      </c>
      <c r="X62" s="120" t="s">
        <v>276</v>
      </c>
      <c r="Y62" s="120" t="s">
        <v>109</v>
      </c>
      <c r="Z62" s="1" t="s">
        <v>1017</v>
      </c>
      <c r="AA62" s="1" t="s">
        <v>1018</v>
      </c>
      <c r="AB62" s="3">
        <f>SUMIF('Zinszahlungen Anleihen'!K:K,aktuelleAnleihen[[#This Row],[ISIN]],'Zinszahlungen Anleihen'!D:D)</f>
        <v>108.62531200887491</v>
      </c>
      <c r="AE62" s="10"/>
      <c r="AF62" s="1"/>
      <c r="AH62" s="7"/>
      <c r="AJ62" s="1"/>
      <c r="AN62" s="1"/>
      <c r="AQ62" s="1"/>
    </row>
    <row r="63" spans="1:43" x14ac:dyDescent="0.2">
      <c r="A63" s="1" t="s">
        <v>34</v>
      </c>
      <c r="B63" s="1" t="s">
        <v>0</v>
      </c>
      <c r="C63" s="7">
        <v>0.1125</v>
      </c>
      <c r="D63" s="7">
        <v>1</v>
      </c>
      <c r="E63" s="7">
        <f>aktuelleAnleihen[[#This Row],[Aktueller Kurs]]-aktuelleAnleihen[[#This Row],[Kaufkurs]]</f>
        <v>-1.0000000000000009E-2</v>
      </c>
      <c r="F63" s="8">
        <f>aktuelleAnleihen[[#This Row],[Stückelung]]*aktuelleAnleihen[[#This Row],[Aktueller Kurs]]*aktuelleAnleihen[[#This Row],[Anteile]]/aktuelleAnleihen[[#This Row],[Aktueller Wechselkurs]]+aktuelleAnleihen[[#This Row],[Stückzinsen]]</f>
        <v>2009.2465753424658</v>
      </c>
      <c r="G63" s="8">
        <f>aktuelleAnleihen[[#This Row],[Kursdifferenz]]*aktuelleAnleihen[[#This Row],[Anteile]]*aktuelleAnleihen[[#This Row],[Stückelung]]/aktuelleAnleihen[[#This Row],[Wechselkurs am Kauftag]]</f>
        <v>-20.000000000000018</v>
      </c>
      <c r="H63" s="8">
        <f>aktuelleAnleihen[[#This Row],[Stückzinsen]]-aktuelleAnleihen[[#This Row],[Stückzinsen am Kauftag]]+aktuelleAnleihen[[#This Row],[Zinszahlungen]]</f>
        <v>45.154075342465752</v>
      </c>
      <c r="I63" s="8">
        <f>aktuelleAnleihen[[#This Row],[Gewinn gesamt]]-aktuelleAnleihen[[#This Row],[Gewinn aus Kursänderung]]-aktuelleAnleihen[[#This Row],[Gewinn aus Zinsen]]</f>
        <v>9.2370555648813024E-14</v>
      </c>
      <c r="J63" s="7">
        <f>aktuelleAnleihen[[#This Row],[Gewinn gesamt]]/aktuelleAnleihen[[#This Row],[Kaufpreis]]</f>
        <v>1.2328359254618199E-2</v>
      </c>
      <c r="K63" s="3">
        <f>aktuelleAnleihen[[#This Row],[Verkaufspreis]]-aktuelleAnleihen[[#This Row],[Kaufpreis]]+aktuelleAnleihen[[#This Row],[Zinszahlungen]]</f>
        <v>25.154075342465831</v>
      </c>
      <c r="L63" s="4">
        <v>2040.3425</v>
      </c>
      <c r="M63" s="7">
        <v>1.01</v>
      </c>
      <c r="N63" s="61">
        <v>1</v>
      </c>
      <c r="O63" s="1">
        <v>1</v>
      </c>
      <c r="P63" s="1" t="s">
        <v>925</v>
      </c>
      <c r="Q63" s="30">
        <v>45378</v>
      </c>
      <c r="R63" s="1">
        <v>2</v>
      </c>
      <c r="S63" s="1">
        <v>1000</v>
      </c>
      <c r="T63" s="9">
        <v>45435</v>
      </c>
      <c r="U63" s="1">
        <v>4</v>
      </c>
      <c r="V63" s="62">
        <f>aktuelleAnleihen[[#This Row],[Stückelung]]*aktuelleAnleihen[[#This Row],[Anteile]]*aktuelleAnleihen[[#This Row],[Coupon]]/aktuelleAnleihen[[#This Row],[Aktueller Wechselkurs]]*($AC$1-aktuelleAnleihen[[#This Row],[Letzte Zinszahlung]])/365</f>
        <v>9.2465753424657535</v>
      </c>
      <c r="W63" s="4">
        <v>20.342500000000001</v>
      </c>
      <c r="X63" s="120" t="s">
        <v>35</v>
      </c>
      <c r="Y63" s="120" t="s">
        <v>39</v>
      </c>
      <c r="Z63" s="1" t="s">
        <v>36</v>
      </c>
      <c r="AA63" s="1" t="s">
        <v>37</v>
      </c>
      <c r="AB63" s="3">
        <f>SUMIF('Zinszahlungen Anleihen'!K:K,aktuelleAnleihen[[#This Row],[ISIN]],'Zinszahlungen Anleihen'!D:D)</f>
        <v>56.25</v>
      </c>
      <c r="AE63" s="10"/>
      <c r="AF63" s="1"/>
      <c r="AH63" s="7"/>
      <c r="AJ63" s="1"/>
      <c r="AN63" s="1"/>
      <c r="AQ63" s="1"/>
    </row>
    <row r="64" spans="1:43" x14ac:dyDescent="0.2">
      <c r="A64" s="1" t="s">
        <v>68</v>
      </c>
      <c r="B64" s="1" t="s">
        <v>0</v>
      </c>
      <c r="C64" s="7">
        <v>0.125</v>
      </c>
      <c r="D64" s="7">
        <v>0.98</v>
      </c>
      <c r="E64" s="7">
        <f>aktuelleAnleihen[[#This Row],[Aktueller Kurs]]-aktuelleAnleihen[[#This Row],[Kaufkurs]]</f>
        <v>-1.0000000000000009E-2</v>
      </c>
      <c r="F64" s="8">
        <f>aktuelleAnleihen[[#This Row],[Stückelung]]*aktuelleAnleihen[[#This Row],[Aktueller Kurs]]*aktuelleAnleihen[[#This Row],[Anteile]]/aktuelleAnleihen[[#This Row],[Aktueller Wechselkurs]]+aktuelleAnleihen[[#This Row],[Stückzinsen]]</f>
        <v>2033.972602739726</v>
      </c>
      <c r="G64" s="8">
        <f>aktuelleAnleihen[[#This Row],[Kursdifferenz]]*aktuelleAnleihen[[#This Row],[Anteile]]*aktuelleAnleihen[[#This Row],[Stückelung]]/aktuelleAnleihen[[#This Row],[Wechselkurs am Kauftag]]</f>
        <v>-20.000000000000018</v>
      </c>
      <c r="H64" s="8">
        <f>aktuelleAnleihen[[#This Row],[Stückzinsen]]-aktuelleAnleihen[[#This Row],[Stückzinsen am Kauftag]]+aktuelleAnleihen[[#This Row],[Zinszahlungen]]</f>
        <v>49.315102739726029</v>
      </c>
      <c r="I64" s="8">
        <f>aktuelleAnleihen[[#This Row],[Gewinn gesamt]]-aktuelleAnleihen[[#This Row],[Gewinn aus Kursänderung]]-aktuelleAnleihen[[#This Row],[Gewinn aus Zinsen]]</f>
        <v>-7.1054273576010019E-14</v>
      </c>
      <c r="J64" s="7">
        <f>aktuelleAnleihen[[#This Row],[Gewinn gesamt]]/aktuelleAnleihen[[#This Row],[Kaufpreis]]</f>
        <v>1.4623496901453712E-2</v>
      </c>
      <c r="K64" s="3">
        <f>aktuelleAnleihen[[#This Row],[Verkaufspreis]]-aktuelleAnleihen[[#This Row],[Kaufpreis]]+aktuelleAnleihen[[#This Row],[Zinszahlungen]]</f>
        <v>29.315102739725944</v>
      </c>
      <c r="L64" s="4">
        <v>2004.6575</v>
      </c>
      <c r="M64" s="7">
        <v>0.99</v>
      </c>
      <c r="N64" s="61">
        <v>1</v>
      </c>
      <c r="O64" s="1">
        <v>1</v>
      </c>
      <c r="P64" s="1" t="s">
        <v>925</v>
      </c>
      <c r="Q64" s="30">
        <v>45378</v>
      </c>
      <c r="R64" s="1">
        <v>2</v>
      </c>
      <c r="S64" s="1">
        <v>1000</v>
      </c>
      <c r="T64" s="9">
        <v>45342</v>
      </c>
      <c r="U64" s="1">
        <v>2</v>
      </c>
      <c r="V64" s="62">
        <f>aktuelleAnleihen[[#This Row],[Stückelung]]*aktuelleAnleihen[[#This Row],[Anteile]]*aktuelleAnleihen[[#This Row],[Coupon]]/aktuelleAnleihen[[#This Row],[Aktueller Wechselkurs]]*($AC$1-aktuelleAnleihen[[#This Row],[Letzte Zinszahlung]])/365</f>
        <v>73.972602739726028</v>
      </c>
      <c r="W64" s="4">
        <v>24.657499999999999</v>
      </c>
      <c r="X64" s="120" t="s">
        <v>35</v>
      </c>
      <c r="Y64" s="120" t="s">
        <v>39</v>
      </c>
      <c r="Z64" s="1" t="s">
        <v>69</v>
      </c>
      <c r="AA64" s="1" t="s">
        <v>70</v>
      </c>
      <c r="AB64" s="3">
        <f>SUMIF('Zinszahlungen Anleihen'!K:K,aktuelleAnleihen[[#This Row],[ISIN]],'Zinszahlungen Anleihen'!D:D)</f>
        <v>0</v>
      </c>
      <c r="AE64" s="10"/>
      <c r="AF64" s="1"/>
      <c r="AH64" s="7"/>
      <c r="AJ64" s="1"/>
      <c r="AN64" s="1"/>
      <c r="AQ64" s="1"/>
    </row>
    <row r="65" spans="1:43" x14ac:dyDescent="0.2">
      <c r="A65" s="1" t="s">
        <v>699</v>
      </c>
      <c r="B65" s="1" t="s">
        <v>4</v>
      </c>
      <c r="C65" s="7">
        <v>6.7500000000000004E-2</v>
      </c>
      <c r="D65" s="7">
        <v>0.96</v>
      </c>
      <c r="E65" s="7">
        <f>aktuelleAnleihen[[#This Row],[Aktueller Kurs]]-aktuelleAnleihen[[#This Row],[Kaufkurs]]</f>
        <v>-1.0000000000000009E-2</v>
      </c>
      <c r="F65" s="8">
        <f>aktuelleAnleihen[[#This Row],[Stückelung]]*aktuelleAnleihen[[#This Row],[Aktueller Kurs]]*aktuelleAnleihen[[#This Row],[Anteile]]/aktuelleAnleihen[[#This Row],[Aktueller Wechselkurs]]+aktuelleAnleihen[[#This Row],[Stückzinsen]]</f>
        <v>1938.4931506849316</v>
      </c>
      <c r="G65" s="8">
        <f>aktuelleAnleihen[[#This Row],[Kursdifferenz]]*aktuelleAnleihen[[#This Row],[Anteile]]*aktuelleAnleihen[[#This Row],[Stückelung]]/aktuelleAnleihen[[#This Row],[Wechselkurs am Kauftag]]</f>
        <v>-20.000000000000018</v>
      </c>
      <c r="H65" s="8">
        <f>aktuelleAnleihen[[#This Row],[Stückzinsen]]-aktuelleAnleihen[[#This Row],[Stückzinsen am Kauftag]]+aktuelleAnleihen[[#This Row],[Zinszahlungen]]</f>
        <v>23.856150684931507</v>
      </c>
      <c r="I65" s="8">
        <f>aktuelleAnleihen[[#This Row],[Gewinn gesamt]]-aktuelleAnleihen[[#This Row],[Gewinn aus Kursänderung]]-aktuelleAnleihen[[#This Row],[Gewinn aus Zinsen]]</f>
        <v>1.7408297026122455E-13</v>
      </c>
      <c r="J65" s="7">
        <f>aktuelleAnleihen[[#This Row],[Gewinn gesamt]]/aktuelleAnleihen[[#This Row],[Kaufpreis]]</f>
        <v>1.9260173928815376E-3</v>
      </c>
      <c r="K65" s="3">
        <f>aktuelleAnleihen[[#This Row],[Verkaufspreis]]-aktuelleAnleihen[[#This Row],[Kaufpreis]]+aktuelleAnleihen[[#This Row],[Zinszahlungen]]</f>
        <v>3.8561506849316629</v>
      </c>
      <c r="L65" s="4">
        <v>2002.1369999999999</v>
      </c>
      <c r="M65" s="7">
        <v>0.97</v>
      </c>
      <c r="N65" s="61">
        <v>1</v>
      </c>
      <c r="O65" s="1">
        <v>1</v>
      </c>
      <c r="P65" s="1" t="s">
        <v>925</v>
      </c>
      <c r="Q65" s="30">
        <v>45385</v>
      </c>
      <c r="R65" s="1">
        <v>2</v>
      </c>
      <c r="S65" s="1">
        <v>1000</v>
      </c>
      <c r="T65" s="9">
        <v>45400</v>
      </c>
      <c r="U65" s="1">
        <v>2</v>
      </c>
      <c r="V65" s="62">
        <f>aktuelleAnleihen[[#This Row],[Stückelung]]*aktuelleAnleihen[[#This Row],[Anteile]]*aktuelleAnleihen[[#This Row],[Coupon]]/aktuelleAnleihen[[#This Row],[Aktueller Wechselkurs]]*($AC$1-aktuelleAnleihen[[#This Row],[Letzte Zinszahlung]])/365</f>
        <v>18.493150684931507</v>
      </c>
      <c r="W65" s="4">
        <v>62.137</v>
      </c>
      <c r="X65" s="120" t="s">
        <v>56</v>
      </c>
      <c r="Y65" s="120" t="s">
        <v>57</v>
      </c>
      <c r="Z65" s="1" t="s">
        <v>700</v>
      </c>
      <c r="AA65" s="1" t="s">
        <v>701</v>
      </c>
      <c r="AB65" s="3">
        <f>SUMIF('Zinszahlungen Anleihen'!K:K,aktuelleAnleihen[[#This Row],[ISIN]],'Zinszahlungen Anleihen'!D:D)</f>
        <v>67.5</v>
      </c>
      <c r="AE65" s="10"/>
      <c r="AF65" s="1"/>
      <c r="AH65" s="7"/>
      <c r="AJ65" s="1"/>
      <c r="AN65" s="1"/>
      <c r="AQ65" s="1"/>
    </row>
    <row r="66" spans="1:43" x14ac:dyDescent="0.2">
      <c r="A66" s="1" t="s">
        <v>429</v>
      </c>
      <c r="B66" s="1" t="s">
        <v>7</v>
      </c>
      <c r="C66" s="7">
        <v>8.1110000000000002E-2</v>
      </c>
      <c r="D66" s="7">
        <v>0.42</v>
      </c>
      <c r="E66" s="7">
        <f>aktuelleAnleihen[[#This Row],[Aktueller Kurs]]-aktuelleAnleihen[[#This Row],[Kaufkurs]]</f>
        <v>-1.0000000000000009E-2</v>
      </c>
      <c r="F66" s="8">
        <f>aktuelleAnleihen[[#This Row],[Stückelung]]*aktuelleAnleihen[[#This Row],[Aktueller Kurs]]*aktuelleAnleihen[[#This Row],[Anteile]]/aktuelleAnleihen[[#This Row],[Aktueller Wechselkurs]]+aktuelleAnleihen[[#This Row],[Stückzinsen]]</f>
        <v>911.11013698630131</v>
      </c>
      <c r="G66" s="8">
        <f>aktuelleAnleihen[[#This Row],[Kursdifferenz]]*aktuelleAnleihen[[#This Row],[Anteile]]*aktuelleAnleihen[[#This Row],[Stückelung]]/aktuelleAnleihen[[#This Row],[Wechselkurs am Kauftag]]</f>
        <v>-20.000000000000018</v>
      </c>
      <c r="H66" s="8">
        <f>aktuelleAnleihen[[#This Row],[Stückzinsen]]-aktuelleAnleihen[[#This Row],[Stückzinsen am Kauftag]]+aktuelleAnleihen[[#This Row],[Zinszahlungen]]</f>
        <v>28.888536986301368</v>
      </c>
      <c r="I66" s="8">
        <f>aktuelleAnleihen[[#This Row],[Gewinn gesamt]]-aktuelleAnleihen[[#This Row],[Gewinn aus Kursänderung]]-aktuelleAnleihen[[#This Row],[Gewinn aus Zinsen]]</f>
        <v>0</v>
      </c>
      <c r="J66" s="7">
        <f>aktuelleAnleihen[[#This Row],[Gewinn gesamt]]/aktuelleAnleihen[[#This Row],[Kaufpreis]]</f>
        <v>9.8518335033226274E-3</v>
      </c>
      <c r="K66" s="3">
        <f>aktuelleAnleihen[[#This Row],[Verkaufspreis]]-aktuelleAnleihen[[#This Row],[Kaufpreis]]+aktuelleAnleihen[[#This Row],[Zinszahlungen]]</f>
        <v>8.8885369863013466</v>
      </c>
      <c r="L66" s="4">
        <v>902.22159999999997</v>
      </c>
      <c r="M66" s="7">
        <v>0.43</v>
      </c>
      <c r="N66" s="61">
        <v>1</v>
      </c>
      <c r="O66" s="1">
        <v>1</v>
      </c>
      <c r="P66" s="1" t="s">
        <v>925</v>
      </c>
      <c r="Q66" s="30">
        <v>45385</v>
      </c>
      <c r="R66" s="1">
        <v>2</v>
      </c>
      <c r="S66" s="1">
        <v>1000</v>
      </c>
      <c r="T66" s="9">
        <v>45290</v>
      </c>
      <c r="U66" s="1">
        <v>2</v>
      </c>
      <c r="V66" s="62">
        <f>aktuelleAnleihen[[#This Row],[Stückelung]]*aktuelleAnleihen[[#This Row],[Anteile]]*aktuelleAnleihen[[#This Row],[Coupon]]/aktuelleAnleihen[[#This Row],[Aktueller Wechselkurs]]*($AC$1-aktuelleAnleihen[[#This Row],[Letzte Zinszahlung]])/365</f>
        <v>71.11013698630137</v>
      </c>
      <c r="W66" s="4">
        <v>42.221600000000002</v>
      </c>
      <c r="X66" s="120" t="s">
        <v>56</v>
      </c>
      <c r="Y66" s="120" t="s">
        <v>39</v>
      </c>
      <c r="Z66" s="1" t="s">
        <v>430</v>
      </c>
      <c r="AA66" s="1" t="s">
        <v>431</v>
      </c>
      <c r="AB66" s="3">
        <f>SUMIF('Zinszahlungen Anleihen'!K:K,aktuelleAnleihen[[#This Row],[ISIN]],'Zinszahlungen Anleihen'!D:D)</f>
        <v>0</v>
      </c>
      <c r="AE66" s="10"/>
      <c r="AF66" s="1"/>
      <c r="AH66" s="7"/>
      <c r="AJ66" s="1"/>
      <c r="AN66" s="1"/>
      <c r="AQ66" s="1"/>
    </row>
    <row r="67" spans="1:43" x14ac:dyDescent="0.2">
      <c r="A67" s="1" t="s">
        <v>227</v>
      </c>
      <c r="B67" s="1" t="s">
        <v>0</v>
      </c>
      <c r="C67" s="7">
        <v>0.1</v>
      </c>
      <c r="D67" s="7">
        <v>0.99</v>
      </c>
      <c r="E67" s="7">
        <f>aktuelleAnleihen[[#This Row],[Aktueller Kurs]]-aktuelleAnleihen[[#This Row],[Kaufkurs]]</f>
        <v>-1.0000000000000009E-2</v>
      </c>
      <c r="F67" s="8">
        <f>aktuelleAnleihen[[#This Row],[Stückelung]]*aktuelleAnleihen[[#This Row],[Aktueller Kurs]]*aktuelleAnleihen[[#This Row],[Anteile]]/aktuelleAnleihen[[#This Row],[Aktueller Wechselkurs]]+aktuelleAnleihen[[#This Row],[Stückzinsen]]</f>
        <v>2034.7945205479452</v>
      </c>
      <c r="G67" s="8">
        <f>aktuelleAnleihen[[#This Row],[Kursdifferenz]]*aktuelleAnleihen[[#This Row],[Anteile]]*aktuelleAnleihen[[#This Row],[Stückelung]]/aktuelleAnleihen[[#This Row],[Wechselkurs am Kauftag]]</f>
        <v>-20.000000000000018</v>
      </c>
      <c r="H67" s="8">
        <f>aktuelleAnleihen[[#This Row],[Stückzinsen]]-aktuelleAnleihen[[#This Row],[Stückzinsen am Kauftag]]+aktuelleAnleihen[[#This Row],[Zinszahlungen]]</f>
        <v>35.616420547945204</v>
      </c>
      <c r="I67" s="8">
        <f>aktuelleAnleihen[[#This Row],[Gewinn gesamt]]-aktuelleAnleihen[[#This Row],[Gewinn aus Kursänderung]]-aktuelleAnleihen[[#This Row],[Gewinn aus Zinsen]]</f>
        <v>0</v>
      </c>
      <c r="J67" s="7">
        <f>aktuelleAnleihen[[#This Row],[Gewinn gesamt]]/aktuelleAnleihen[[#This Row],[Kaufpreis]]</f>
        <v>7.7340481000388985E-3</v>
      </c>
      <c r="K67" s="3">
        <f>aktuelleAnleihen[[#This Row],[Verkaufspreis]]-aktuelleAnleihen[[#This Row],[Kaufpreis]]+aktuelleAnleihen[[#This Row],[Zinszahlungen]]</f>
        <v>15.616420547945154</v>
      </c>
      <c r="L67" s="4">
        <v>2019.1781000000001</v>
      </c>
      <c r="M67" s="7">
        <v>1</v>
      </c>
      <c r="N67" s="61">
        <v>1</v>
      </c>
      <c r="O67" s="1">
        <v>1</v>
      </c>
      <c r="P67" s="1" t="s">
        <v>925</v>
      </c>
      <c r="Q67" s="30">
        <v>45385</v>
      </c>
      <c r="R67" s="1">
        <v>2</v>
      </c>
      <c r="S67" s="1">
        <v>1000</v>
      </c>
      <c r="T67" s="9">
        <v>45350</v>
      </c>
      <c r="U67" s="1">
        <v>1</v>
      </c>
      <c r="V67" s="62">
        <f>aktuelleAnleihen[[#This Row],[Stückelung]]*aktuelleAnleihen[[#This Row],[Anteile]]*aktuelleAnleihen[[#This Row],[Coupon]]/aktuelleAnleihen[[#This Row],[Aktueller Wechselkurs]]*($AC$1-aktuelleAnleihen[[#This Row],[Letzte Zinszahlung]])/365</f>
        <v>54.794520547945204</v>
      </c>
      <c r="W67" s="4">
        <v>19.178100000000001</v>
      </c>
      <c r="X67" s="120" t="s">
        <v>65</v>
      </c>
      <c r="Y67" s="120" t="s">
        <v>39</v>
      </c>
      <c r="Z67" s="1" t="s">
        <v>228</v>
      </c>
      <c r="AA67" s="1" t="s">
        <v>229</v>
      </c>
      <c r="AB67" s="3">
        <f>SUMIF('Zinszahlungen Anleihen'!K:K,aktuelleAnleihen[[#This Row],[ISIN]],'Zinszahlungen Anleihen'!D:D)</f>
        <v>0</v>
      </c>
      <c r="AE67" s="10"/>
      <c r="AF67" s="1"/>
      <c r="AH67" s="7"/>
      <c r="AJ67" s="1"/>
      <c r="AN67" s="1"/>
      <c r="AQ67" s="1"/>
    </row>
    <row r="68" spans="1:43" x14ac:dyDescent="0.2">
      <c r="A68" s="1" t="s">
        <v>1104</v>
      </c>
      <c r="B68" s="1" t="s">
        <v>4</v>
      </c>
      <c r="C68" s="7">
        <v>0.1</v>
      </c>
      <c r="D68" s="7">
        <v>0.98609999999999998</v>
      </c>
      <c r="E68" s="7">
        <f>aktuelleAnleihen[[#This Row],[Aktueller Kurs]]-aktuelleAnleihen[[#This Row],[Kaufkurs]]</f>
        <v>-1.0700000000000043E-2</v>
      </c>
      <c r="F68" s="8">
        <f>aktuelleAnleihen[[#This Row],[Stückelung]]*aktuelleAnleihen[[#This Row],[Aktueller Kurs]]*aktuelleAnleihen[[#This Row],[Anteile]]/aktuelleAnleihen[[#This Row],[Aktueller Wechselkurs]]+aktuelleAnleihen[[#This Row],[Stückzinsen]]</f>
        <v>1878.2707350420042</v>
      </c>
      <c r="G68" s="8">
        <f>aktuelleAnleihen[[#This Row],[Kursdifferenz]]*aktuelleAnleihen[[#This Row],[Anteile]]*aktuelleAnleihen[[#This Row],[Stückelung]]/aktuelleAnleihen[[#This Row],[Wechselkurs am Kauftag]]</f>
        <v>-19.957101557400058</v>
      </c>
      <c r="H68" s="8">
        <f>aktuelleAnleihen[[#This Row],[Stückzinsen]]-aktuelleAnleihen[[#This Row],[Stückzinsen am Kauftag]]+aktuelleAnleihen[[#This Row],[Zinszahlungen]]</f>
        <v>18.361737153839485</v>
      </c>
      <c r="I68" s="8">
        <f>aktuelleAnleihen[[#This Row],[Gewinn gesamt]]-aktuelleAnleihen[[#This Row],[Gewinn aus Kursänderung]]-aktuelleAnleihen[[#This Row],[Gewinn aus Zinsen]]</f>
        <v>-28.371100554435294</v>
      </c>
      <c r="J68" s="7">
        <f>aktuelleAnleihen[[#This Row],[Gewinn gesamt]]/aktuelleAnleihen[[#This Row],[Kaufpreis]]</f>
        <v>-1.5703742154275092E-2</v>
      </c>
      <c r="K68" s="3">
        <f>aktuelleAnleihen[[#This Row],[Verkaufspreis]]-aktuelleAnleihen[[#This Row],[Kaufpreis]]+aktuelleAnleihen[[#This Row],[Zinszahlungen]]</f>
        <v>-29.966464957995868</v>
      </c>
      <c r="L68" s="4">
        <v>1908.2372</v>
      </c>
      <c r="M68" s="7">
        <v>0.99680000000000002</v>
      </c>
      <c r="N68" s="61">
        <v>1.0723</v>
      </c>
      <c r="O68" s="1">
        <v>1.0891</v>
      </c>
      <c r="P68" s="1" t="s">
        <v>887</v>
      </c>
      <c r="Q68" s="30">
        <v>45412</v>
      </c>
      <c r="R68" s="1">
        <v>2</v>
      </c>
      <c r="S68" s="1">
        <v>1000</v>
      </c>
      <c r="T68" s="9">
        <v>45316</v>
      </c>
      <c r="U68" s="1">
        <v>2</v>
      </c>
      <c r="V68" s="62">
        <f>aktuelleAnleihen[[#This Row],[Stückelung]]*aktuelleAnleihen[[#This Row],[Anteile]]*aktuelleAnleihen[[#This Row],[Coupon]]/aktuelleAnleihen[[#This Row],[Aktueller Wechselkurs]]*($AC$1-aktuelleAnleihen[[#This Row],[Letzte Zinszahlung]])/365</f>
        <v>67.417737153839482</v>
      </c>
      <c r="W68" s="4">
        <v>49.055999999999997</v>
      </c>
      <c r="X68" s="120" t="s">
        <v>1105</v>
      </c>
      <c r="Y68" s="120" t="s">
        <v>39</v>
      </c>
      <c r="Z68" s="1" t="s">
        <v>1106</v>
      </c>
      <c r="AA68" s="1" t="s">
        <v>1107</v>
      </c>
      <c r="AB68" s="3">
        <f>SUMIF('Zinszahlungen Anleihen'!K:K,aktuelleAnleihen[[#This Row],[ISIN]],'Zinszahlungen Anleihen'!D:D)</f>
        <v>0</v>
      </c>
      <c r="AE68" s="10"/>
      <c r="AF68" s="1"/>
      <c r="AH68" s="7"/>
      <c r="AJ68" s="1"/>
      <c r="AN68" s="1"/>
      <c r="AQ68" s="1"/>
    </row>
    <row r="69" spans="1:43" x14ac:dyDescent="0.2">
      <c r="A69" s="1" t="s">
        <v>1579</v>
      </c>
      <c r="B69" s="1" t="s">
        <v>6</v>
      </c>
      <c r="C69" s="7">
        <v>8.3750000000000005E-2</v>
      </c>
      <c r="D69" s="7">
        <v>1.0167999999999999</v>
      </c>
      <c r="E69" s="7">
        <f>aktuelleAnleihen[[#This Row],[Aktueller Kurs]]-aktuelleAnleihen[[#This Row],[Kaufkurs]]</f>
        <v>-1.0199999999999987E-2</v>
      </c>
      <c r="F69" s="8">
        <f>aktuelleAnleihen[[#This Row],[Stückelung]]*aktuelleAnleihen[[#This Row],[Aktueller Kurs]]*aktuelleAnleihen[[#This Row],[Anteile]]/aktuelleAnleihen[[#This Row],[Aktueller Wechselkurs]]+aktuelleAnleihen[[#This Row],[Stückzinsen]]</f>
        <v>1895.4610002226295</v>
      </c>
      <c r="G69" s="8">
        <f>aktuelleAnleihen[[#This Row],[Kursdifferenz]]*aktuelleAnleihen[[#This Row],[Anteile]]*aktuelleAnleihen[[#This Row],[Stückelung]]/aktuelleAnleihen[[#This Row],[Wechselkurs am Kauftag]]</f>
        <v>-19.024526718269115</v>
      </c>
      <c r="H69" s="8">
        <f>aktuelleAnleihen[[#This Row],[Stückzinsen]]-aktuelleAnleihen[[#This Row],[Stückzinsen am Kauftag]]+aktuelleAnleihen[[#This Row],[Zinszahlungen]]</f>
        <v>15.820277433170284</v>
      </c>
      <c r="I69" s="8">
        <f>aktuelleAnleihen[[#This Row],[Gewinn gesamt]]-aktuelleAnleihen[[#This Row],[Gewinn aus Kursänderung]]-aktuelleAnleihen[[#This Row],[Gewinn aus Zinsen]]</f>
        <v>-29.254350492271577</v>
      </c>
      <c r="J69" s="7">
        <f>aktuelleAnleihen[[#This Row],[Gewinn gesamt]]/aktuelleAnleihen[[#This Row],[Kaufpreis]]</f>
        <v>-1.6836075413814149E-2</v>
      </c>
      <c r="K69" s="3">
        <f>aktuelleAnleihen[[#This Row],[Verkaufspreis]]-aktuelleAnleihen[[#This Row],[Kaufpreis]]+aktuelleAnleihen[[#This Row],[Zinszahlungen]]</f>
        <v>-32.458599777370409</v>
      </c>
      <c r="L69" s="4">
        <v>1927.9195999999999</v>
      </c>
      <c r="M69" s="7">
        <v>1.0269999999999999</v>
      </c>
      <c r="N69" s="61">
        <v>1.0723</v>
      </c>
      <c r="O69" s="1">
        <v>1.0891</v>
      </c>
      <c r="P69" s="1" t="s">
        <v>887</v>
      </c>
      <c r="Q69" s="30">
        <v>45412</v>
      </c>
      <c r="R69" s="1">
        <v>2</v>
      </c>
      <c r="S69" s="1">
        <v>1000</v>
      </c>
      <c r="T69" s="9">
        <v>45383</v>
      </c>
      <c r="U69" s="1">
        <v>2</v>
      </c>
      <c r="V69" s="62">
        <f>aktuelleAnleihen[[#This Row],[Stückelung]]*aktuelleAnleihen[[#This Row],[Anteile]]*aktuelleAnleihen[[#This Row],[Coupon]]/aktuelleAnleihen[[#This Row],[Aktueller Wechselkurs]]*($AC$1-aktuelleAnleihen[[#This Row],[Letzte Zinszahlung]])/365</f>
        <v>28.231177433170284</v>
      </c>
      <c r="W69" s="4">
        <v>12.4109</v>
      </c>
      <c r="X69" s="120" t="s">
        <v>1096</v>
      </c>
      <c r="Y69" s="120" t="s">
        <v>39</v>
      </c>
      <c r="Z69" s="1" t="s">
        <v>1580</v>
      </c>
      <c r="AA69" s="1" t="s">
        <v>1581</v>
      </c>
      <c r="AB69" s="3">
        <f>SUMIF('Zinszahlungen Anleihen'!K:K,aktuelleAnleihen[[#This Row],[ISIN]],'Zinszahlungen Anleihen'!D:D)</f>
        <v>0</v>
      </c>
      <c r="AE69" s="10"/>
      <c r="AF69" s="1"/>
      <c r="AH69" s="7"/>
      <c r="AJ69" s="1"/>
      <c r="AN69" s="1"/>
      <c r="AQ69" s="1"/>
    </row>
    <row r="70" spans="1:43" x14ac:dyDescent="0.2">
      <c r="A70" s="1" t="s">
        <v>720</v>
      </c>
      <c r="B70" s="1" t="s">
        <v>6</v>
      </c>
      <c r="C70" s="7">
        <v>6.7500000000000004E-2</v>
      </c>
      <c r="D70" s="7">
        <v>1.0398499999999999</v>
      </c>
      <c r="E70" s="7">
        <f>aktuelleAnleihen[[#This Row],[Aktueller Kurs]]-aktuelleAnleihen[[#This Row],[Kaufkurs]]</f>
        <v>-9.4499999999999584E-3</v>
      </c>
      <c r="F70" s="8">
        <f>aktuelleAnleihen[[#This Row],[Stückelung]]*aktuelleAnleihen[[#This Row],[Aktueller Kurs]]*aktuelleAnleihen[[#This Row],[Anteile]]/aktuelleAnleihen[[#This Row],[Aktueller Wechselkurs]]+aktuelleAnleihen[[#This Row],[Stückzinsen]]</f>
        <v>2145.5356164383561</v>
      </c>
      <c r="G70" s="8">
        <f>aktuelleAnleihen[[#This Row],[Kursdifferenz]]*aktuelleAnleihen[[#This Row],[Anteile]]*aktuelleAnleihen[[#This Row],[Stückelung]]/aktuelleAnleihen[[#This Row],[Wechselkurs am Kauftag]]</f>
        <v>-18.899999999999917</v>
      </c>
      <c r="H70" s="8">
        <f>aktuelleAnleihen[[#This Row],[Stückzinsen]]-aktuelleAnleihen[[#This Row],[Stückzinsen am Kauftag]]+aktuelleAnleihen[[#This Row],[Zinszahlungen]]</f>
        <v>24.04111643835617</v>
      </c>
      <c r="I70" s="8">
        <f>aktuelleAnleihen[[#This Row],[Gewinn gesamt]]-aktuelleAnleihen[[#This Row],[Gewinn aus Kursänderung]]-aktuelleAnleihen[[#This Row],[Gewinn aus Zinsen]]</f>
        <v>-3.1974423109204508E-14</v>
      </c>
      <c r="J70" s="7">
        <f>aktuelleAnleihen[[#This Row],[Gewinn gesamt]]/aktuelleAnleihen[[#This Row],[Kaufpreis]]</f>
        <v>2.4019480700199058E-3</v>
      </c>
      <c r="K70" s="3">
        <f>aktuelleAnleihen[[#This Row],[Verkaufspreis]]-aktuelleAnleihen[[#This Row],[Kaufpreis]]+aktuelleAnleihen[[#This Row],[Zinszahlungen]]</f>
        <v>5.1411164383562209</v>
      </c>
      <c r="L70" s="4">
        <v>2140.3944999999999</v>
      </c>
      <c r="M70" s="7">
        <v>1.0492999999999999</v>
      </c>
      <c r="N70" s="61">
        <v>1</v>
      </c>
      <c r="O70" s="1">
        <v>1</v>
      </c>
      <c r="P70" s="1" t="s">
        <v>925</v>
      </c>
      <c r="Q70" s="30">
        <v>45385</v>
      </c>
      <c r="R70" s="1">
        <v>2</v>
      </c>
      <c r="S70" s="1">
        <v>1000</v>
      </c>
      <c r="T70" s="9">
        <v>45272</v>
      </c>
      <c r="U70" s="1">
        <v>2</v>
      </c>
      <c r="V70" s="62">
        <f>aktuelleAnleihen[[#This Row],[Stückelung]]*aktuelleAnleihen[[#This Row],[Anteile]]*aktuelleAnleihen[[#This Row],[Coupon]]/aktuelleAnleihen[[#This Row],[Aktueller Wechselkurs]]*($AC$1-aktuelleAnleihen[[#This Row],[Letzte Zinszahlung]])/365</f>
        <v>65.835616438356169</v>
      </c>
      <c r="W70" s="4">
        <v>41.794499999999999</v>
      </c>
      <c r="X70" s="120" t="s">
        <v>170</v>
      </c>
      <c r="Y70" s="120" t="s">
        <v>39</v>
      </c>
      <c r="Z70" s="1" t="s">
        <v>721</v>
      </c>
      <c r="AA70" s="1" t="s">
        <v>722</v>
      </c>
      <c r="AB70" s="3">
        <f>SUMIF('Zinszahlungen Anleihen'!K:K,aktuelleAnleihen[[#This Row],[ISIN]],'Zinszahlungen Anleihen'!D:D)</f>
        <v>0</v>
      </c>
      <c r="AE70" s="10"/>
      <c r="AF70" s="1"/>
      <c r="AH70" s="7"/>
      <c r="AJ70" s="1"/>
      <c r="AN70" s="1"/>
      <c r="AQ70" s="1"/>
    </row>
    <row r="71" spans="1:43" x14ac:dyDescent="0.2">
      <c r="A71" s="1" t="s">
        <v>1589</v>
      </c>
      <c r="B71" s="1" t="s">
        <v>11</v>
      </c>
      <c r="C71" s="7">
        <v>8.3750000000000005E-2</v>
      </c>
      <c r="D71" s="7">
        <v>0.49</v>
      </c>
      <c r="E71" s="7">
        <f>aktuelleAnleihen[[#This Row],[Aktueller Kurs]]-aktuelleAnleihen[[#This Row],[Kaufkurs]]</f>
        <v>-1.0000000000000009E-2</v>
      </c>
      <c r="F71" s="8">
        <f>aktuelleAnleihen[[#This Row],[Stückelung]]*aktuelleAnleihen[[#This Row],[Aktueller Kurs]]*aktuelleAnleihen[[#This Row],[Anteile]]/aktuelleAnleihen[[#This Row],[Aktueller Wechselkurs]]+aktuelleAnleihen[[#This Row],[Stückzinsen]]</f>
        <v>933.11305174688675</v>
      </c>
      <c r="G71" s="8">
        <f>aktuelleAnleihen[[#This Row],[Kursdifferenz]]*aktuelleAnleihen[[#This Row],[Anteile]]*aktuelleAnleihen[[#This Row],[Stückelung]]/aktuelleAnleihen[[#This Row],[Wechselkurs am Kauftag]]</f>
        <v>-18.651496782616821</v>
      </c>
      <c r="H71" s="8">
        <f>aktuelleAnleihen[[#This Row],[Stückzinsen]]-aktuelleAnleihen[[#This Row],[Stückzinsen am Kauftag]]+aktuelleAnleihen[[#This Row],[Zinszahlungen]]</f>
        <v>15.741007719708243</v>
      </c>
      <c r="I71" s="8">
        <f>aktuelleAnleihen[[#This Row],[Gewinn gesamt]]-aktuelleAnleihen[[#This Row],[Gewinn aus Kursänderung]]-aktuelleAnleihen[[#This Row],[Gewinn aus Zinsen]]</f>
        <v>-14.097759190204687</v>
      </c>
      <c r="J71" s="7">
        <f>aktuelleAnleihen[[#This Row],[Gewinn gesamt]]/aktuelleAnleihen[[#This Row],[Kaufpreis]]</f>
        <v>-1.7901133521702191E-2</v>
      </c>
      <c r="K71" s="3">
        <f>aktuelleAnleihen[[#This Row],[Verkaufspreis]]-aktuelleAnleihen[[#This Row],[Kaufpreis]]+aktuelleAnleihen[[#This Row],[Zinszahlungen]]</f>
        <v>-17.008248253113265</v>
      </c>
      <c r="L71" s="4">
        <v>950.12130000000002</v>
      </c>
      <c r="M71" s="7">
        <v>0.5</v>
      </c>
      <c r="N71" s="61">
        <v>1.0723</v>
      </c>
      <c r="O71" s="1">
        <v>1.0891</v>
      </c>
      <c r="P71" s="1" t="s">
        <v>887</v>
      </c>
      <c r="Q71" s="30">
        <v>45412</v>
      </c>
      <c r="R71" s="1">
        <v>2000</v>
      </c>
      <c r="S71" s="1">
        <v>1</v>
      </c>
      <c r="T71" s="9">
        <v>45371</v>
      </c>
      <c r="U71" s="1">
        <v>2</v>
      </c>
      <c r="V71" s="62">
        <f>aktuelleAnleihen[[#This Row],[Stückelung]]*aktuelleAnleihen[[#This Row],[Anteile]]*aktuelleAnleihen[[#This Row],[Coupon]]/aktuelleAnleihen[[#This Row],[Aktueller Wechselkurs]]*($AC$1-aktuelleAnleihen[[#This Row],[Letzte Zinszahlung]])/365</f>
        <v>33.287507719708245</v>
      </c>
      <c r="W71" s="4">
        <v>17.546500000000002</v>
      </c>
      <c r="X71" s="120" t="s">
        <v>1105</v>
      </c>
      <c r="Y71" s="120" t="s">
        <v>39</v>
      </c>
      <c r="Z71" s="1" t="s">
        <v>1590</v>
      </c>
      <c r="AA71" s="1" t="s">
        <v>1591</v>
      </c>
      <c r="AB71" s="3">
        <f>SUMIF('Zinszahlungen Anleihen'!K:K,aktuelleAnleihen[[#This Row],[ISIN]],'Zinszahlungen Anleihen'!D:D)</f>
        <v>0</v>
      </c>
      <c r="AE71" s="10"/>
      <c r="AF71" s="1"/>
      <c r="AH71" s="7"/>
      <c r="AJ71" s="1"/>
      <c r="AN71" s="1"/>
      <c r="AQ71" s="1"/>
    </row>
    <row r="72" spans="1:43" x14ac:dyDescent="0.2">
      <c r="A72" s="1" t="s">
        <v>1513</v>
      </c>
      <c r="B72" s="1" t="s">
        <v>0</v>
      </c>
      <c r="C72" s="7">
        <v>9.7500000000000003E-2</v>
      </c>
      <c r="D72" s="7">
        <v>1.03</v>
      </c>
      <c r="E72" s="7">
        <f>aktuelleAnleihen[[#This Row],[Aktueller Kurs]]-aktuelleAnleihen[[#This Row],[Kaufkurs]]</f>
        <v>-1.0000000000000009E-2</v>
      </c>
      <c r="F72" s="8">
        <f>aktuelleAnleihen[[#This Row],[Stückelung]]*aktuelleAnleihen[[#This Row],[Aktueller Kurs]]*aktuelleAnleihen[[#This Row],[Anteile]]/aktuelleAnleihen[[#This Row],[Aktueller Wechselkurs]]+aktuelleAnleihen[[#This Row],[Stückzinsen]]</f>
        <v>1962.1077098974522</v>
      </c>
      <c r="G72" s="8">
        <f>aktuelleAnleihen[[#This Row],[Kursdifferenz]]*aktuelleAnleihen[[#This Row],[Anteile]]*aktuelleAnleihen[[#This Row],[Stückelung]]/aktuelleAnleihen[[#This Row],[Wechselkurs am Kauftag]]</f>
        <v>-18.651496782616821</v>
      </c>
      <c r="H72" s="8">
        <f>aktuelleAnleihen[[#This Row],[Stückzinsen]]-aktuelleAnleihen[[#This Row],[Stückzinsen am Kauftag]]+aktuelleAnleihen[[#This Row],[Zinszahlungen]]</f>
        <v>17.82588877909749</v>
      </c>
      <c r="I72" s="8">
        <f>aktuelleAnleihen[[#This Row],[Gewinn gesamt]]-aktuelleAnleihen[[#This Row],[Gewinn aus Kursänderung]]-aktuelleAnleihen[[#This Row],[Gewinn aus Zinsen]]</f>
        <v>-29.634182099028582</v>
      </c>
      <c r="J72" s="7">
        <f>aktuelleAnleihen[[#This Row],[Gewinn gesamt]]/aktuelleAnleihen[[#This Row],[Kaufpreis]]</f>
        <v>-1.5286704266002487E-2</v>
      </c>
      <c r="K72" s="3">
        <f>aktuelleAnleihen[[#This Row],[Verkaufspreis]]-aktuelleAnleihen[[#This Row],[Kaufpreis]]+aktuelleAnleihen[[#This Row],[Zinszahlungen]]</f>
        <v>-30.459790102547913</v>
      </c>
      <c r="L72" s="4">
        <v>1992.5675000000001</v>
      </c>
      <c r="M72" s="7">
        <v>1.04</v>
      </c>
      <c r="N72" s="61">
        <v>1.0723</v>
      </c>
      <c r="O72" s="1">
        <v>1.0891</v>
      </c>
      <c r="P72" s="1" t="s">
        <v>887</v>
      </c>
      <c r="Q72" s="30">
        <v>45412</v>
      </c>
      <c r="R72" s="1">
        <v>2</v>
      </c>
      <c r="S72" s="1">
        <v>1000</v>
      </c>
      <c r="T72" s="9">
        <v>45306</v>
      </c>
      <c r="U72" s="1">
        <v>2</v>
      </c>
      <c r="V72" s="62">
        <f>aktuelleAnleihen[[#This Row],[Stückelung]]*aktuelleAnleihen[[#This Row],[Anteile]]*aktuelleAnleihen[[#This Row],[Coupon]]/aktuelleAnleihen[[#This Row],[Aktueller Wechselkurs]]*($AC$1-aktuelleAnleihen[[#This Row],[Letzte Zinszahlung]])/365</f>
        <v>70.637688779097488</v>
      </c>
      <c r="W72" s="4">
        <v>52.811799999999998</v>
      </c>
      <c r="X72" s="120" t="s">
        <v>276</v>
      </c>
      <c r="Y72" s="120" t="s">
        <v>1011</v>
      </c>
      <c r="Z72" s="1" t="s">
        <v>1514</v>
      </c>
      <c r="AA72" s="1" t="s">
        <v>1515</v>
      </c>
      <c r="AB72" s="3">
        <f>SUMIF('Zinszahlungen Anleihen'!K:K,aktuelleAnleihen[[#This Row],[ISIN]],'Zinszahlungen Anleihen'!D:D)</f>
        <v>0</v>
      </c>
      <c r="AE72" s="10"/>
      <c r="AF72" s="1"/>
      <c r="AH72" s="7"/>
      <c r="AJ72" s="1"/>
      <c r="AN72" s="1"/>
      <c r="AQ72" s="1"/>
    </row>
    <row r="73" spans="1:43" x14ac:dyDescent="0.2">
      <c r="A73" s="1" t="s">
        <v>248</v>
      </c>
      <c r="B73" s="1" t="s">
        <v>0</v>
      </c>
      <c r="C73" s="7">
        <v>9.7500000000000003E-2</v>
      </c>
      <c r="D73" s="7">
        <v>0.97440000000000004</v>
      </c>
      <c r="E73" s="7">
        <f>aktuelleAnleihen[[#This Row],[Aktueller Kurs]]-aktuelleAnleihen[[#This Row],[Kaufkurs]]</f>
        <v>-8.899999999999908E-3</v>
      </c>
      <c r="F73" s="8">
        <f>aktuelleAnleihen[[#This Row],[Stückelung]]*aktuelleAnleihen[[#This Row],[Aktueller Kurs]]*aktuelleAnleihen[[#This Row],[Anteile]]/aktuelleAnleihen[[#This Row],[Aktueller Wechselkurs]]+aktuelleAnleihen[[#This Row],[Stückzinsen]]</f>
        <v>2134.1835616438357</v>
      </c>
      <c r="G73" s="8">
        <f>aktuelleAnleihen[[#This Row],[Kursdifferenz]]*aktuelleAnleihen[[#This Row],[Anteile]]*aktuelleAnleihen[[#This Row],[Stückelung]]/aktuelleAnleihen[[#This Row],[Wechselkurs am Kauftag]]</f>
        <v>-17.799999999999816</v>
      </c>
      <c r="H73" s="8">
        <f>aktuelleAnleihen[[#This Row],[Stückzinsen]]-aktuelleAnleihen[[#This Row],[Stückzinsen am Kauftag]]+aktuelleAnleihen[[#This Row],[Zinszahlungen]]</f>
        <v>34.726061643835607</v>
      </c>
      <c r="I73" s="8">
        <f>aktuelleAnleihen[[#This Row],[Gewinn gesamt]]-aktuelleAnleihen[[#This Row],[Gewinn aus Kursänderung]]-aktuelleAnleihen[[#This Row],[Gewinn aus Zinsen]]</f>
        <v>-2.8421709430404007E-13</v>
      </c>
      <c r="J73" s="7">
        <f>aktuelleAnleihen[[#This Row],[Gewinn gesamt]]/aktuelleAnleihen[[#This Row],[Kaufpreis]]</f>
        <v>7.9943330671094614E-3</v>
      </c>
      <c r="K73" s="3">
        <f>aktuelleAnleihen[[#This Row],[Verkaufspreis]]-aktuelleAnleihen[[#This Row],[Kaufpreis]]+aktuelleAnleihen[[#This Row],[Zinszahlungen]]</f>
        <v>16.92606164383551</v>
      </c>
      <c r="L73" s="4">
        <v>2117.2575000000002</v>
      </c>
      <c r="M73" s="7">
        <v>0.98329999999999995</v>
      </c>
      <c r="N73" s="61">
        <v>1</v>
      </c>
      <c r="O73" s="1">
        <v>1</v>
      </c>
      <c r="P73" s="1" t="s">
        <v>925</v>
      </c>
      <c r="Q73" s="30">
        <v>45385</v>
      </c>
      <c r="R73" s="1">
        <v>2</v>
      </c>
      <c r="S73" s="1">
        <v>1000</v>
      </c>
      <c r="T73" s="9">
        <v>45103</v>
      </c>
      <c r="U73" s="1">
        <v>1</v>
      </c>
      <c r="V73" s="62">
        <f>aktuelleAnleihen[[#This Row],[Stückelung]]*aktuelleAnleihen[[#This Row],[Anteile]]*aktuelleAnleihen[[#This Row],[Coupon]]/aktuelleAnleihen[[#This Row],[Aktueller Wechselkurs]]*($AC$1-aktuelleAnleihen[[#This Row],[Letzte Zinszahlung]])/365</f>
        <v>185.38356164383561</v>
      </c>
      <c r="W73" s="4">
        <v>150.6575</v>
      </c>
      <c r="X73" s="120" t="s">
        <v>183</v>
      </c>
      <c r="Y73" s="120" t="s">
        <v>44</v>
      </c>
      <c r="Z73" s="1" t="s">
        <v>249</v>
      </c>
      <c r="AA73" s="1" t="s">
        <v>250</v>
      </c>
      <c r="AB73" s="3">
        <f>SUMIF('Zinszahlungen Anleihen'!K:K,aktuelleAnleihen[[#This Row],[ISIN]],'Zinszahlungen Anleihen'!D:D)</f>
        <v>0</v>
      </c>
      <c r="AE73" s="10"/>
      <c r="AF73" s="1"/>
      <c r="AH73" s="7"/>
      <c r="AJ73" s="1"/>
      <c r="AN73" s="1"/>
      <c r="AQ73" s="1"/>
    </row>
    <row r="74" spans="1:43" x14ac:dyDescent="0.2">
      <c r="A74" s="1" t="s">
        <v>1396</v>
      </c>
      <c r="B74" s="1" t="s">
        <v>2</v>
      </c>
      <c r="C74" s="7">
        <v>8.7499999999999994E-2</v>
      </c>
      <c r="D74" s="7">
        <v>0.99850000000000005</v>
      </c>
      <c r="E74" s="7">
        <f>aktuelleAnleihen[[#This Row],[Aktueller Kurs]]-aktuelleAnleihen[[#This Row],[Kaufkurs]]</f>
        <v>-9.199999999999986E-3</v>
      </c>
      <c r="F74" s="8">
        <f>aktuelleAnleihen[[#This Row],[Stückelung]]*aktuelleAnleihen[[#This Row],[Aktueller Kurs]]*aktuelleAnleihen[[#This Row],[Anteile]]/aktuelleAnleihen[[#This Row],[Aktueller Wechselkurs]]+aktuelleAnleihen[[#This Row],[Stückzinsen]]</f>
        <v>1849.0320649323369</v>
      </c>
      <c r="G74" s="8">
        <f>aktuelleAnleihen[[#This Row],[Kursdifferenz]]*aktuelleAnleihen[[#This Row],[Anteile]]*aktuelleAnleihen[[#This Row],[Stückelung]]/aktuelleAnleihen[[#This Row],[Wechselkurs am Kauftag]]</f>
        <v>-17.159377040007431</v>
      </c>
      <c r="H74" s="8">
        <f>aktuelleAnleihen[[#This Row],[Stückzinsen]]-aktuelleAnleihen[[#This Row],[Stückzinsen am Kauftag]]+aktuelleAnleihen[[#This Row],[Zinszahlungen]]</f>
        <v>16.684717355666109</v>
      </c>
      <c r="I74" s="8">
        <f>aktuelleAnleihen[[#This Row],[Gewinn gesamt]]-aktuelleAnleihen[[#This Row],[Gewinn aus Kursänderung]]-aktuelleAnleihen[[#This Row],[Gewinn aus Zinsen]]</f>
        <v>-28.727829671956794</v>
      </c>
      <c r="J74" s="7">
        <f>aktuelleAnleihen[[#This Row],[Gewinn gesamt]]/aktuelleAnleihen[[#This Row],[Kaufpreis]]</f>
        <v>-1.4902675887386667E-2</v>
      </c>
      <c r="K74" s="3">
        <f>aktuelleAnleihen[[#This Row],[Verkaufspreis]]-aktuelleAnleihen[[#This Row],[Kaufpreis]]+aktuelleAnleihen[[#This Row],[Zinszahlungen]]</f>
        <v>-29.202489356298116</v>
      </c>
      <c r="L74" s="4">
        <v>1959.5467000000001</v>
      </c>
      <c r="M74" s="7">
        <v>1.0077</v>
      </c>
      <c r="N74" s="61">
        <v>1.0723</v>
      </c>
      <c r="O74" s="1">
        <v>1.0891</v>
      </c>
      <c r="P74" s="1" t="s">
        <v>887</v>
      </c>
      <c r="Q74" s="30">
        <v>45412</v>
      </c>
      <c r="R74" s="1">
        <v>2</v>
      </c>
      <c r="S74" s="1">
        <v>1000</v>
      </c>
      <c r="T74" s="9">
        <v>45415</v>
      </c>
      <c r="U74" s="1">
        <v>2</v>
      </c>
      <c r="V74" s="62">
        <f>aktuelleAnleihen[[#This Row],[Stückelung]]*aktuelleAnleihen[[#This Row],[Anteile]]*aktuelleAnleihen[[#This Row],[Coupon]]/aktuelleAnleihen[[#This Row],[Aktueller Wechselkurs]]*($AC$1-aktuelleAnleihen[[#This Row],[Letzte Zinszahlung]])/365</f>
        <v>15.407971644301</v>
      </c>
      <c r="W74" s="4">
        <v>80.035399999999996</v>
      </c>
      <c r="X74" s="120" t="s">
        <v>276</v>
      </c>
      <c r="Y74" s="120" t="s">
        <v>52</v>
      </c>
      <c r="Z74" s="1" t="s">
        <v>1397</v>
      </c>
      <c r="AA74" s="1" t="s">
        <v>1398</v>
      </c>
      <c r="AB74" s="3">
        <f>SUMIF('Zinszahlungen Anleihen'!K:K,aktuelleAnleihen[[#This Row],[ISIN]],'Zinszahlungen Anleihen'!D:D)</f>
        <v>81.312145711365105</v>
      </c>
      <c r="AE74" s="10"/>
      <c r="AF74" s="1"/>
      <c r="AH74" s="7"/>
      <c r="AJ74" s="1"/>
      <c r="AN74" s="1"/>
      <c r="AQ74" s="1"/>
    </row>
    <row r="75" spans="1:43" x14ac:dyDescent="0.2">
      <c r="A75" s="1" t="s">
        <v>1352</v>
      </c>
      <c r="B75" s="1" t="s">
        <v>0</v>
      </c>
      <c r="C75" s="7">
        <v>8.8749999999999996E-2</v>
      </c>
      <c r="D75" s="7">
        <v>0.23130000000000001</v>
      </c>
      <c r="E75" s="7">
        <f>aktuelleAnleihen[[#This Row],[Aktueller Kurs]]-aktuelleAnleihen[[#This Row],[Kaufkurs]]</f>
        <v>-9.000000000000008E-3</v>
      </c>
      <c r="F75" s="8">
        <f>aktuelleAnleihen[[#This Row],[Stückelung]]*aktuelleAnleihen[[#This Row],[Aktueller Kurs]]*aktuelleAnleihen[[#This Row],[Anteile]]/aktuelleAnleihen[[#This Row],[Aktueller Wechselkurs]]+aktuelleAnleihen[[#This Row],[Stückzinsen]]</f>
        <v>478.78290859739667</v>
      </c>
      <c r="G75" s="8">
        <f>aktuelleAnleihen[[#This Row],[Kursdifferenz]]*aktuelleAnleihen[[#This Row],[Anteile]]*aktuelleAnleihen[[#This Row],[Stückelung]]/aktuelleAnleihen[[#This Row],[Wechselkurs am Kauftag]]</f>
        <v>-16.786347104355137</v>
      </c>
      <c r="H75" s="8">
        <f>aktuelleAnleihen[[#This Row],[Stückzinsen]]-aktuelleAnleihen[[#This Row],[Stückzinsen am Kauftag]]+aktuelleAnleihen[[#This Row],[Zinszahlungen]]</f>
        <v>16.387024243342822</v>
      </c>
      <c r="I75" s="8">
        <f>aktuelleAnleihen[[#This Row],[Gewinn gesamt]]-aktuelleAnleihen[[#This Row],[Gewinn aus Kursänderung]]-aktuelleAnleihen[[#This Row],[Gewinn aus Zinsen]]</f>
        <v>-6.6547685415910038</v>
      </c>
      <c r="J75" s="7">
        <f>aktuelleAnleihen[[#This Row],[Gewinn gesamt]]/aktuelleAnleihen[[#This Row],[Kaufpreis]]</f>
        <v>-1.451946105916865E-2</v>
      </c>
      <c r="K75" s="3">
        <f>aktuelleAnleihen[[#This Row],[Verkaufspreis]]-aktuelleAnleihen[[#This Row],[Kaufpreis]]+aktuelleAnleihen[[#This Row],[Zinszahlungen]]</f>
        <v>-7.0540914026033192</v>
      </c>
      <c r="L75" s="4">
        <v>485.83699999999999</v>
      </c>
      <c r="M75" s="7">
        <v>0.24030000000000001</v>
      </c>
      <c r="N75" s="61">
        <v>1.0723</v>
      </c>
      <c r="O75" s="1">
        <v>1.0891</v>
      </c>
      <c r="P75" s="1" t="s">
        <v>887</v>
      </c>
      <c r="Q75" s="30">
        <v>45412</v>
      </c>
      <c r="R75" s="1">
        <v>2</v>
      </c>
      <c r="S75" s="1">
        <v>1000</v>
      </c>
      <c r="T75" s="9">
        <v>45329</v>
      </c>
      <c r="U75" s="1">
        <v>2</v>
      </c>
      <c r="V75" s="62">
        <f>aktuelleAnleihen[[#This Row],[Stückelung]]*aktuelleAnleihen[[#This Row],[Anteile]]*aktuelleAnleihen[[#This Row],[Coupon]]/aktuelleAnleihen[[#This Row],[Aktueller Wechselkurs]]*($AC$1-aktuelleAnleihen[[#This Row],[Letzte Zinszahlung]])/365</f>
        <v>54.028524243342822</v>
      </c>
      <c r="W75" s="4">
        <v>37.641500000000001</v>
      </c>
      <c r="X75" s="120" t="s">
        <v>1070</v>
      </c>
      <c r="Y75" s="120" t="s">
        <v>39</v>
      </c>
      <c r="Z75" s="1" t="s">
        <v>1353</v>
      </c>
      <c r="AA75" s="1" t="s">
        <v>1354</v>
      </c>
      <c r="AB75" s="3">
        <f>SUMIF('Zinszahlungen Anleihen'!K:K,aktuelleAnleihen[[#This Row],[ISIN]],'Zinszahlungen Anleihen'!D:D)</f>
        <v>0</v>
      </c>
      <c r="AE75" s="10"/>
      <c r="AF75" s="1"/>
      <c r="AH75" s="7"/>
      <c r="AJ75" s="1"/>
      <c r="AN75" s="1"/>
      <c r="AQ75" s="1"/>
    </row>
    <row r="76" spans="1:43" x14ac:dyDescent="0.2">
      <c r="A76" s="1" t="s">
        <v>656</v>
      </c>
      <c r="B76" s="1" t="s">
        <v>0</v>
      </c>
      <c r="C76" s="7">
        <v>7.0000000000000007E-2</v>
      </c>
      <c r="D76" s="7">
        <v>0.85129999999999995</v>
      </c>
      <c r="E76" s="7">
        <f>aktuelleAnleihen[[#This Row],[Aktueller Kurs]]-aktuelleAnleihen[[#This Row],[Kaufkurs]]</f>
        <v>-8.2999999999999741E-3</v>
      </c>
      <c r="F76" s="8">
        <f>aktuelleAnleihen[[#This Row],[Stückelung]]*aktuelleAnleihen[[#This Row],[Aktueller Kurs]]*aktuelleAnleihen[[#This Row],[Anteile]]/aktuelleAnleihen[[#This Row],[Aktueller Wechselkurs]]+aktuelleAnleihen[[#This Row],[Stückzinsen]]</f>
        <v>1734.0520547945205</v>
      </c>
      <c r="G76" s="8">
        <f>aktuelleAnleihen[[#This Row],[Kursdifferenz]]*aktuelleAnleihen[[#This Row],[Anteile]]*aktuelleAnleihen[[#This Row],[Stückelung]]/aktuelleAnleihen[[#This Row],[Wechselkurs am Kauftag]]</f>
        <v>-16.599999999999948</v>
      </c>
      <c r="H76" s="8">
        <f>aktuelleAnleihen[[#This Row],[Stückzinsen]]-aktuelleAnleihen[[#This Row],[Stückzinsen am Kauftag]]+aktuelleAnleihen[[#This Row],[Zinszahlungen]]</f>
        <v>24.931554794520551</v>
      </c>
      <c r="I76" s="8">
        <f>aktuelleAnleihen[[#This Row],[Gewinn gesamt]]-aktuelleAnleihen[[#This Row],[Gewinn aus Kursänderung]]-aktuelleAnleihen[[#This Row],[Gewinn aus Zinsen]]</f>
        <v>-3.1974423109204508E-14</v>
      </c>
      <c r="J76" s="7">
        <f>aktuelleAnleihen[[#This Row],[Gewinn gesamt]]/aktuelleAnleihen[[#This Row],[Kaufpreis]]</f>
        <v>4.8278703269275481E-3</v>
      </c>
      <c r="K76" s="3">
        <f>aktuelleAnleihen[[#This Row],[Verkaufspreis]]-aktuelleAnleihen[[#This Row],[Kaufpreis]]+aktuelleAnleihen[[#This Row],[Zinszahlungen]]</f>
        <v>8.3315547945205708</v>
      </c>
      <c r="L76" s="4">
        <v>1725.7204999999999</v>
      </c>
      <c r="M76" s="7">
        <v>0.85959999999999992</v>
      </c>
      <c r="N76" s="61">
        <v>1</v>
      </c>
      <c r="O76" s="1">
        <v>1</v>
      </c>
      <c r="P76" s="1" t="s">
        <v>925</v>
      </c>
      <c r="Q76" s="30">
        <v>45385</v>
      </c>
      <c r="R76" s="1">
        <v>2</v>
      </c>
      <c r="S76" s="1">
        <v>1000</v>
      </c>
      <c r="T76" s="9">
        <v>45368</v>
      </c>
      <c r="U76" s="1">
        <v>4</v>
      </c>
      <c r="V76" s="62">
        <f>aktuelleAnleihen[[#This Row],[Stückelung]]*aktuelleAnleihen[[#This Row],[Anteile]]*aktuelleAnleihen[[#This Row],[Coupon]]/aktuelleAnleihen[[#This Row],[Aktueller Wechselkurs]]*($AC$1-aktuelleAnleihen[[#This Row],[Letzte Zinszahlung]])/365</f>
        <v>31.452054794520549</v>
      </c>
      <c r="W76" s="4">
        <v>6.5205000000000002</v>
      </c>
      <c r="X76" s="120" t="s">
        <v>35</v>
      </c>
      <c r="Y76" s="120" t="s">
        <v>657</v>
      </c>
      <c r="Z76" s="1" t="s">
        <v>658</v>
      </c>
      <c r="AA76" s="1" t="s">
        <v>659</v>
      </c>
      <c r="AB76" s="3">
        <f>SUMIF('Zinszahlungen Anleihen'!K:K,aktuelleAnleihen[[#This Row],[ISIN]],'Zinszahlungen Anleihen'!D:D)</f>
        <v>0</v>
      </c>
      <c r="AE76" s="10"/>
      <c r="AF76" s="1"/>
      <c r="AH76" s="7"/>
      <c r="AJ76" s="1"/>
      <c r="AN76" s="1"/>
      <c r="AQ76" s="1"/>
    </row>
    <row r="77" spans="1:43" x14ac:dyDescent="0.2">
      <c r="A77" s="1" t="s">
        <v>1304</v>
      </c>
      <c r="B77" s="1" t="s">
        <v>6</v>
      </c>
      <c r="C77" s="7">
        <v>0.09</v>
      </c>
      <c r="D77" s="7">
        <v>0.93513999999999997</v>
      </c>
      <c r="E77" s="7">
        <f>aktuelleAnleihen[[#This Row],[Aktueller Kurs]]-aktuelleAnleihen[[#This Row],[Kaufkurs]]</f>
        <v>-8.660000000000001E-3</v>
      </c>
      <c r="F77" s="8">
        <f>aktuelleAnleihen[[#This Row],[Stückelung]]*aktuelleAnleihen[[#This Row],[Aktueller Kurs]]*aktuelleAnleihen[[#This Row],[Anteile]]/aktuelleAnleihen[[#This Row],[Aktueller Wechselkurs]]+aktuelleAnleihen[[#This Row],[Stückzinsen]]</f>
        <v>1796.5121383371716</v>
      </c>
      <c r="G77" s="8">
        <f>aktuelleAnleihen[[#This Row],[Kursdifferenz]]*aktuelleAnleihen[[#This Row],[Anteile]]*aktuelleAnleihen[[#This Row],[Stückelung]]/aktuelleAnleihen[[#This Row],[Wechselkurs am Kauftag]]</f>
        <v>-16.152196213746151</v>
      </c>
      <c r="H77" s="8">
        <f>aktuelleAnleihen[[#This Row],[Stückzinsen]]-aktuelleAnleihen[[#This Row],[Stückzinsen am Kauftag]]+aktuelleAnleihen[[#This Row],[Zinszahlungen]]</f>
        <v>16.234697027833711</v>
      </c>
      <c r="I77" s="8">
        <f>aktuelleAnleihen[[#This Row],[Gewinn gesamt]]-aktuelleAnleihen[[#This Row],[Gewinn aus Kursänderung]]-aktuelleAnleihen[[#This Row],[Gewinn aus Zinsen]]</f>
        <v>-26.904962476915905</v>
      </c>
      <c r="J77" s="7">
        <f>aktuelleAnleihen[[#This Row],[Gewinn gesamt]]/aktuelleAnleihen[[#This Row],[Kaufpreis]]</f>
        <v>-1.4710663453009858E-2</v>
      </c>
      <c r="K77" s="3">
        <f>aktuelleAnleihen[[#This Row],[Verkaufspreis]]-aktuelleAnleihen[[#This Row],[Kaufpreis]]+aktuelleAnleihen[[#This Row],[Zinszahlungen]]</f>
        <v>-26.822461662828346</v>
      </c>
      <c r="L77" s="4">
        <v>1823.3345999999999</v>
      </c>
      <c r="M77" s="7">
        <v>0.94379999999999997</v>
      </c>
      <c r="N77" s="61">
        <v>1.0723</v>
      </c>
      <c r="O77" s="1">
        <v>1.0891</v>
      </c>
      <c r="P77" s="1" t="s">
        <v>887</v>
      </c>
      <c r="Q77" s="30">
        <v>45412</v>
      </c>
      <c r="R77" s="1">
        <v>2</v>
      </c>
      <c r="S77" s="1">
        <v>1000</v>
      </c>
      <c r="T77" s="9">
        <v>45275</v>
      </c>
      <c r="U77" s="1">
        <v>2</v>
      </c>
      <c r="V77" s="62">
        <f>aktuelleAnleihen[[#This Row],[Stückelung]]*aktuelleAnleihen[[#This Row],[Anteile]]*aktuelleAnleihen[[#This Row],[Coupon]]/aktuelleAnleihen[[#This Row],[Aktueller Wechselkurs]]*($AC$1-aktuelleAnleihen[[#This Row],[Letzte Zinszahlung]])/365</f>
        <v>79.240997027833714</v>
      </c>
      <c r="W77" s="4">
        <v>63.006300000000003</v>
      </c>
      <c r="X77" s="120" t="s">
        <v>1096</v>
      </c>
      <c r="Y77" s="120" t="s">
        <v>39</v>
      </c>
      <c r="Z77" s="1" t="s">
        <v>1305</v>
      </c>
      <c r="AA77" s="1" t="s">
        <v>1306</v>
      </c>
      <c r="AB77" s="3">
        <f>SUMIF('Zinszahlungen Anleihen'!K:K,aktuelleAnleihen[[#This Row],[ISIN]],'Zinszahlungen Anleihen'!D:D)</f>
        <v>0</v>
      </c>
      <c r="AE77" s="10"/>
      <c r="AF77" s="1"/>
      <c r="AH77" s="7"/>
      <c r="AJ77" s="1"/>
      <c r="AN77" s="1"/>
      <c r="AQ77" s="1"/>
    </row>
    <row r="78" spans="1:43" x14ac:dyDescent="0.2">
      <c r="A78" s="1" t="s">
        <v>1460</v>
      </c>
      <c r="B78" s="1" t="s">
        <v>1</v>
      </c>
      <c r="C78" s="7">
        <v>8.5000000000000006E-2</v>
      </c>
      <c r="D78" s="7">
        <v>1.0298</v>
      </c>
      <c r="E78" s="7">
        <f>aktuelleAnleihen[[#This Row],[Aktueller Kurs]]-aktuelleAnleihen[[#This Row],[Kaufkurs]]</f>
        <v>-8.599999999999941E-3</v>
      </c>
      <c r="F78" s="8">
        <f>aktuelleAnleihen[[#This Row],[Stückelung]]*aktuelleAnleihen[[#This Row],[Aktueller Kurs]]*aktuelleAnleihen[[#This Row],[Anteile]]/aktuelleAnleihen[[#This Row],[Aktueller Wechselkurs]]+aktuelleAnleihen[[#This Row],[Stückzinsen]]</f>
        <v>1900.9386913663789</v>
      </c>
      <c r="G78" s="8">
        <f>aktuelleAnleihen[[#This Row],[Kursdifferenz]]*aktuelleAnleihen[[#This Row],[Anteile]]*aktuelleAnleihen[[#This Row],[Stückelung]]/aktuelleAnleihen[[#This Row],[Wechselkurs am Kauftag]]</f>
        <v>-16.040287233050343</v>
      </c>
      <c r="H78" s="8">
        <f>aktuelleAnleihen[[#This Row],[Stückzinsen]]-aktuelleAnleihen[[#This Row],[Stückzinsen am Kauftag]]+aktuelleAnleihen[[#This Row],[Zinszahlungen]]</f>
        <v>15.879558922870672</v>
      </c>
      <c r="I78" s="8">
        <f>aktuelleAnleihen[[#This Row],[Gewinn gesamt]]-aktuelleAnleihen[[#This Row],[Gewinn aus Kursänderung]]-aktuelleAnleihen[[#This Row],[Gewinn aus Zinsen]]</f>
        <v>-29.628467380851127</v>
      </c>
      <c r="J78" s="7">
        <f>aktuelleAnleihen[[#This Row],[Gewinn gesamt]]/aktuelleAnleihen[[#This Row],[Kaufpreis]]</f>
        <v>-1.4825600243263263E-2</v>
      </c>
      <c r="K78" s="3">
        <f>aktuelleAnleihen[[#This Row],[Verkaufspreis]]-aktuelleAnleihen[[#This Row],[Kaufpreis]]+aktuelleAnleihen[[#This Row],[Zinszahlungen]]</f>
        <v>-29.789195691030798</v>
      </c>
      <c r="L78" s="4">
        <v>2009.3079</v>
      </c>
      <c r="M78" s="7">
        <v>1.0384</v>
      </c>
      <c r="N78" s="61">
        <v>1.0723</v>
      </c>
      <c r="O78" s="1">
        <v>1.0891</v>
      </c>
      <c r="P78" s="1" t="s">
        <v>887</v>
      </c>
      <c r="Q78" s="30">
        <v>45412</v>
      </c>
      <c r="R78" s="1">
        <v>2</v>
      </c>
      <c r="S78" s="1">
        <v>1000</v>
      </c>
      <c r="T78" s="9">
        <v>45427</v>
      </c>
      <c r="U78" s="1">
        <v>2</v>
      </c>
      <c r="V78" s="62">
        <f>aktuelleAnleihen[[#This Row],[Stückelung]]*aktuelleAnleihen[[#This Row],[Anteile]]*aktuelleAnleihen[[#This Row],[Coupon]]/aktuelleAnleihen[[#This Row],[Aktueller Wechselkurs]]*($AC$1-aktuelleAnleihen[[#This Row],[Letzte Zinszahlung]])/365</f>
        <v>9.8359459802803126</v>
      </c>
      <c r="W78" s="4">
        <v>72.5364</v>
      </c>
      <c r="X78" s="120" t="s">
        <v>276</v>
      </c>
      <c r="Y78" s="120" t="s">
        <v>61</v>
      </c>
      <c r="Z78" s="1" t="s">
        <v>1461</v>
      </c>
      <c r="AA78" s="1" t="s">
        <v>1462</v>
      </c>
      <c r="AB78" s="3">
        <f>SUMIF('Zinszahlungen Anleihen'!K:K,aktuelleAnleihen[[#This Row],[ISIN]],'Zinszahlungen Anleihen'!D:D)</f>
        <v>78.580012942590358</v>
      </c>
      <c r="AE78" s="10"/>
      <c r="AF78" s="1"/>
      <c r="AH78" s="7"/>
      <c r="AJ78" s="1"/>
      <c r="AN78" s="1"/>
      <c r="AQ78" s="1"/>
    </row>
    <row r="79" spans="1:43" x14ac:dyDescent="0.2">
      <c r="A79" s="1" t="s">
        <v>323</v>
      </c>
      <c r="B79" s="1" t="s">
        <v>0</v>
      </c>
      <c r="C79" s="7">
        <v>0.09</v>
      </c>
      <c r="D79" s="7">
        <v>0.96460000000000001</v>
      </c>
      <c r="E79" s="7">
        <f>aktuelleAnleihen[[#This Row],[Aktueller Kurs]]-aktuelleAnleihen[[#This Row],[Kaufkurs]]</f>
        <v>-7.9000000000000181E-3</v>
      </c>
      <c r="F79" s="8">
        <f>aktuelleAnleihen[[#This Row],[Stückelung]]*aktuelleAnleihen[[#This Row],[Aktueller Kurs]]*aktuelleAnleihen[[#This Row],[Anteile]]/aktuelleAnleihen[[#This Row],[Aktueller Wechselkurs]]+aktuelleAnleihen[[#This Row],[Stückzinsen]]</f>
        <v>1940.5424657534247</v>
      </c>
      <c r="G79" s="8">
        <f>aktuelleAnleihen[[#This Row],[Kursdifferenz]]*aktuelleAnleihen[[#This Row],[Anteile]]*aktuelleAnleihen[[#This Row],[Stückelung]]/aktuelleAnleihen[[#This Row],[Wechselkurs am Kauftag]]</f>
        <v>-15.800000000000036</v>
      </c>
      <c r="H79" s="8">
        <f>aktuelleAnleihen[[#This Row],[Stückzinsen]]-aktuelleAnleihen[[#This Row],[Stückzinsen am Kauftag]]+aktuelleAnleihen[[#This Row],[Zinszahlungen]]</f>
        <v>32.301365753424655</v>
      </c>
      <c r="I79" s="8">
        <f>aktuelleAnleihen[[#This Row],[Gewinn gesamt]]-aktuelleAnleihen[[#This Row],[Gewinn aus Kursänderung]]-aktuelleAnleihen[[#This Row],[Gewinn aus Zinsen]]</f>
        <v>1.9184653865522705E-13</v>
      </c>
      <c r="J79" s="7">
        <f>aktuelleAnleihen[[#This Row],[Gewinn gesamt]]/aktuelleAnleihen[[#This Row],[Kaufpreis]]</f>
        <v>8.1931623706312691E-3</v>
      </c>
      <c r="K79" s="3">
        <f>aktuelleAnleihen[[#This Row],[Verkaufspreis]]-aktuelleAnleihen[[#This Row],[Kaufpreis]]+aktuelleAnleihen[[#This Row],[Zinszahlungen]]</f>
        <v>16.501365753424807</v>
      </c>
      <c r="L79" s="4">
        <v>2014.0410999999999</v>
      </c>
      <c r="M79" s="7">
        <v>0.97250000000000003</v>
      </c>
      <c r="N79" s="61">
        <v>1</v>
      </c>
      <c r="O79" s="1">
        <v>1</v>
      </c>
      <c r="P79" s="1" t="s">
        <v>925</v>
      </c>
      <c r="Q79" s="30">
        <v>45385</v>
      </c>
      <c r="R79" s="1">
        <v>2</v>
      </c>
      <c r="S79" s="1">
        <v>1000</v>
      </c>
      <c r="T79" s="9">
        <v>45427</v>
      </c>
      <c r="U79" s="1">
        <v>2</v>
      </c>
      <c r="V79" s="62">
        <f>aktuelleAnleihen[[#This Row],[Stückelung]]*aktuelleAnleihen[[#This Row],[Anteile]]*aktuelleAnleihen[[#This Row],[Coupon]]/aktuelleAnleihen[[#This Row],[Aktueller Wechselkurs]]*($AC$1-aktuelleAnleihen[[#This Row],[Letzte Zinszahlung]])/365</f>
        <v>11.342465753424657</v>
      </c>
      <c r="W79" s="4">
        <v>69.0411</v>
      </c>
      <c r="X79" s="120" t="s">
        <v>35</v>
      </c>
      <c r="Y79" s="120" t="s">
        <v>57</v>
      </c>
      <c r="Z79" s="1" t="s">
        <v>324</v>
      </c>
      <c r="AA79" s="1" t="s">
        <v>325</v>
      </c>
      <c r="AB79" s="3">
        <f>SUMIF('Zinszahlungen Anleihen'!K:K,aktuelleAnleihen[[#This Row],[ISIN]],'Zinszahlungen Anleihen'!D:D)</f>
        <v>90</v>
      </c>
      <c r="AE79" s="10"/>
      <c r="AF79" s="1"/>
      <c r="AH79" s="7"/>
      <c r="AJ79" s="1"/>
      <c r="AN79" s="1"/>
      <c r="AQ79" s="1"/>
    </row>
    <row r="80" spans="1:43" x14ac:dyDescent="0.2">
      <c r="A80" s="1" t="s">
        <v>566</v>
      </c>
      <c r="B80" s="1" t="s">
        <v>2</v>
      </c>
      <c r="C80" s="7">
        <v>7.4999999999999997E-2</v>
      </c>
      <c r="D80" s="7">
        <v>0.98750000000000004</v>
      </c>
      <c r="E80" s="7">
        <f>aktuelleAnleihen[[#This Row],[Aktueller Kurs]]-aktuelleAnleihen[[#This Row],[Kaufkurs]]</f>
        <v>-7.8999999999999071E-3</v>
      </c>
      <c r="F80" s="8">
        <f>aktuelleAnleihen[[#This Row],[Stückelung]]*aktuelleAnleihen[[#This Row],[Aktueller Kurs]]*aktuelleAnleihen[[#This Row],[Anteile]]/aktuelleAnleihen[[#This Row],[Aktueller Wechselkurs]]+aktuelleAnleihen[[#This Row],[Stückzinsen]]</f>
        <v>2027.6027397260275</v>
      </c>
      <c r="G80" s="8">
        <f>aktuelleAnleihen[[#This Row],[Kursdifferenz]]*aktuelleAnleihen[[#This Row],[Anteile]]*aktuelleAnleihen[[#This Row],[Stückelung]]/aktuelleAnleihen[[#This Row],[Wechselkurs am Kauftag]]</f>
        <v>-15.799999999999814</v>
      </c>
      <c r="H80" s="8">
        <f>aktuelleAnleihen[[#This Row],[Stückzinsen]]-aktuelleAnleihen[[#This Row],[Stückzinsen am Kauftag]]+aktuelleAnleihen[[#This Row],[Zinszahlungen]]</f>
        <v>26.712339726027395</v>
      </c>
      <c r="I80" s="8">
        <f>aktuelleAnleihen[[#This Row],[Gewinn gesamt]]-aktuelleAnleihen[[#This Row],[Gewinn aus Kursänderung]]-aktuelleAnleihen[[#This Row],[Gewinn aus Zinsen]]</f>
        <v>-4.2632564145606011E-14</v>
      </c>
      <c r="J80" s="7">
        <f>aktuelleAnleihen[[#This Row],[Gewinn gesamt]]/aktuelleAnleihen[[#This Row],[Kaufpreis]]</f>
        <v>5.4110138700653012E-3</v>
      </c>
      <c r="K80" s="3">
        <f>aktuelleAnleihen[[#This Row],[Verkaufspreis]]-aktuelleAnleihen[[#This Row],[Kaufpreis]]+aktuelleAnleihen[[#This Row],[Zinszahlungen]]</f>
        <v>10.91233972602754</v>
      </c>
      <c r="L80" s="4">
        <v>2016.6904</v>
      </c>
      <c r="M80" s="7">
        <v>0.99539999999999995</v>
      </c>
      <c r="N80" s="61">
        <v>1</v>
      </c>
      <c r="O80" s="1">
        <v>1</v>
      </c>
      <c r="P80" s="1" t="s">
        <v>925</v>
      </c>
      <c r="Q80" s="30">
        <v>45385</v>
      </c>
      <c r="R80" s="1">
        <v>2</v>
      </c>
      <c r="S80" s="1">
        <v>1000</v>
      </c>
      <c r="T80" s="9">
        <v>45322</v>
      </c>
      <c r="U80" s="1">
        <v>2</v>
      </c>
      <c r="V80" s="62">
        <f>aktuelleAnleihen[[#This Row],[Stückelung]]*aktuelleAnleihen[[#This Row],[Anteile]]*aktuelleAnleihen[[#This Row],[Coupon]]/aktuelleAnleihen[[#This Row],[Aktueller Wechselkurs]]*($AC$1-aktuelleAnleihen[[#This Row],[Letzte Zinszahlung]])/365</f>
        <v>52.602739726027394</v>
      </c>
      <c r="W80" s="4">
        <v>25.8904</v>
      </c>
      <c r="X80" s="120" t="s">
        <v>567</v>
      </c>
      <c r="Y80" s="120" t="s">
        <v>44</v>
      </c>
      <c r="Z80" s="1" t="s">
        <v>568</v>
      </c>
      <c r="AA80" s="1" t="s">
        <v>569</v>
      </c>
      <c r="AB80" s="3">
        <f>SUMIF('Zinszahlungen Anleihen'!K:K,aktuelleAnleihen[[#This Row],[ISIN]],'Zinszahlungen Anleihen'!D:D)</f>
        <v>0</v>
      </c>
      <c r="AE80" s="10"/>
      <c r="AF80" s="1"/>
      <c r="AH80" s="7"/>
      <c r="AJ80" s="1"/>
      <c r="AN80" s="1"/>
      <c r="AQ80" s="1"/>
    </row>
    <row r="81" spans="1:43" x14ac:dyDescent="0.2">
      <c r="A81" s="1" t="s">
        <v>525</v>
      </c>
      <c r="B81" s="1" t="s">
        <v>0</v>
      </c>
      <c r="C81" s="7">
        <v>7.7499999999999999E-2</v>
      </c>
      <c r="D81" s="7">
        <v>1.0606</v>
      </c>
      <c r="E81" s="7">
        <f>aktuelleAnleihen[[#This Row],[Aktueller Kurs]]-aktuelleAnleihen[[#This Row],[Kaufkurs]]</f>
        <v>-7.8000000000000291E-3</v>
      </c>
      <c r="F81" s="8">
        <f>aktuelleAnleihen[[#This Row],[Stückelung]]*aktuelleAnleihen[[#This Row],[Aktueller Kurs]]*aktuelleAnleihen[[#This Row],[Anteile]]/aktuelleAnleihen[[#This Row],[Aktueller Wechselkurs]]+aktuelleAnleihen[[#This Row],[Stückzinsen]]</f>
        <v>2276.1999999999998</v>
      </c>
      <c r="G81" s="8">
        <f>aktuelleAnleihen[[#This Row],[Kursdifferenz]]*aktuelleAnleihen[[#This Row],[Anteile]]*aktuelleAnleihen[[#This Row],[Stückelung]]/aktuelleAnleihen[[#This Row],[Wechselkurs am Kauftag]]</f>
        <v>-15.600000000000058</v>
      </c>
      <c r="H81" s="8">
        <f>aktuelleAnleihen[[#This Row],[Stückzinsen]]-aktuelleAnleihen[[#This Row],[Stückzinsen am Kauftag]]+aktuelleAnleihen[[#This Row],[Zinszahlungen]]</f>
        <v>27.602699999999999</v>
      </c>
      <c r="I81" s="8">
        <f>aktuelleAnleihen[[#This Row],[Gewinn gesamt]]-aktuelleAnleihen[[#This Row],[Gewinn aus Kursänderung]]-aktuelleAnleihen[[#This Row],[Gewinn aus Zinsen]]</f>
        <v>6.3948846218409017E-14</v>
      </c>
      <c r="J81" s="7">
        <f>aktuelleAnleihen[[#This Row],[Gewinn gesamt]]/aktuelleAnleihen[[#This Row],[Kaufpreis]]</f>
        <v>5.3010839647233948E-3</v>
      </c>
      <c r="K81" s="3">
        <f>aktuelleAnleihen[[#This Row],[Verkaufspreis]]-aktuelleAnleihen[[#This Row],[Kaufpreis]]+aktuelleAnleihen[[#This Row],[Zinszahlungen]]</f>
        <v>12.002700000000004</v>
      </c>
      <c r="L81" s="4">
        <v>2264.1972999999998</v>
      </c>
      <c r="M81" s="7">
        <v>1.0684</v>
      </c>
      <c r="N81" s="61">
        <v>1</v>
      </c>
      <c r="O81" s="1">
        <v>1</v>
      </c>
      <c r="P81" s="1" t="s">
        <v>925</v>
      </c>
      <c r="Q81" s="30">
        <v>45385</v>
      </c>
      <c r="R81" s="1">
        <v>2</v>
      </c>
      <c r="S81" s="1">
        <v>1000</v>
      </c>
      <c r="T81" s="9">
        <v>45085</v>
      </c>
      <c r="U81" s="1">
        <v>1</v>
      </c>
      <c r="V81" s="62">
        <f>aktuelleAnleihen[[#This Row],[Stückelung]]*aktuelleAnleihen[[#This Row],[Anteile]]*aktuelleAnleihen[[#This Row],[Coupon]]/aktuelleAnleihen[[#This Row],[Aktueller Wechselkurs]]*($AC$1-aktuelleAnleihen[[#This Row],[Letzte Zinszahlung]])/365</f>
        <v>155</v>
      </c>
      <c r="W81" s="4">
        <v>127.3973</v>
      </c>
      <c r="X81" s="120" t="s">
        <v>526</v>
      </c>
      <c r="Y81" s="120" t="s">
        <v>61</v>
      </c>
      <c r="Z81" s="1" t="s">
        <v>878</v>
      </c>
      <c r="AA81" s="1" t="s">
        <v>879</v>
      </c>
      <c r="AB81" s="3">
        <f>SUMIF('Zinszahlungen Anleihen'!K:K,aktuelleAnleihen[[#This Row],[ISIN]],'Zinszahlungen Anleihen'!D:D)</f>
        <v>0</v>
      </c>
      <c r="AE81" s="10"/>
      <c r="AF81" s="1"/>
      <c r="AH81" s="7"/>
      <c r="AJ81" s="1"/>
      <c r="AN81" s="1"/>
      <c r="AQ81" s="1"/>
    </row>
    <row r="82" spans="1:43" x14ac:dyDescent="0.2">
      <c r="A82" s="1" t="s">
        <v>1144</v>
      </c>
      <c r="B82" s="1" t="s">
        <v>11</v>
      </c>
      <c r="C82" s="7">
        <v>8.2500000000000004E-2</v>
      </c>
      <c r="D82" s="7">
        <v>0.83349999999999991</v>
      </c>
      <c r="E82" s="7">
        <f>aktuelleAnleihen[[#This Row],[Aktueller Kurs]]-aktuelleAnleihen[[#This Row],[Kaufkurs]]</f>
        <v>-8.3000000000001961E-3</v>
      </c>
      <c r="F82" s="8">
        <f>aktuelleAnleihen[[#This Row],[Stückelung]]*aktuelleAnleihen[[#This Row],[Aktueller Kurs]]*aktuelleAnleihen[[#This Row],[Anteile]]/aktuelleAnleihen[[#This Row],[Aktueller Wechselkurs]]+aktuelleAnleihen[[#This Row],[Stückzinsen]]</f>
        <v>1572.1288030961846</v>
      </c>
      <c r="G82" s="8">
        <f>aktuelleAnleihen[[#This Row],[Kursdifferenz]]*aktuelleAnleihen[[#This Row],[Anteile]]*aktuelleAnleihen[[#This Row],[Stückelung]]/aktuelleAnleihen[[#This Row],[Wechselkurs am Kauftag]]</f>
        <v>-15.480742329572314</v>
      </c>
      <c r="H82" s="8">
        <f>aktuelleAnleihen[[#This Row],[Stückzinsen]]-aktuelleAnleihen[[#This Row],[Stückzinsen am Kauftag]]+aktuelleAnleihen[[#This Row],[Zinszahlungen]]</f>
        <v>15.369588919341467</v>
      </c>
      <c r="I82" s="8">
        <f>aktuelleAnleihen[[#This Row],[Gewinn gesamt]]-aktuelleAnleihen[[#This Row],[Gewinn aus Kursänderung]]-aktuelleAnleihen[[#This Row],[Gewinn aus Zinsen]]</f>
        <v>-23.980643493584672</v>
      </c>
      <c r="J82" s="7">
        <f>aktuelleAnleihen[[#This Row],[Gewinn gesamt]]/aktuelleAnleihen[[#This Row],[Kaufpreis]]</f>
        <v>-1.5093024675797016E-2</v>
      </c>
      <c r="K82" s="3">
        <f>aktuelleAnleihen[[#This Row],[Verkaufspreis]]-aktuelleAnleihen[[#This Row],[Kaufpreis]]+aktuelleAnleihen[[#This Row],[Zinszahlungen]]</f>
        <v>-24.091796903815521</v>
      </c>
      <c r="L82" s="4">
        <v>1596.2206000000001</v>
      </c>
      <c r="M82" s="7">
        <v>0.8418000000000001</v>
      </c>
      <c r="N82" s="61">
        <v>1.0723</v>
      </c>
      <c r="O82" s="1">
        <v>1.0891</v>
      </c>
      <c r="P82" s="1" t="s">
        <v>887</v>
      </c>
      <c r="Q82" s="30">
        <v>45412</v>
      </c>
      <c r="R82" s="1">
        <v>2</v>
      </c>
      <c r="S82" s="1">
        <v>1000</v>
      </c>
      <c r="T82" s="9">
        <v>45350</v>
      </c>
      <c r="U82" s="1">
        <v>2</v>
      </c>
      <c r="V82" s="62">
        <f>aktuelleAnleihen[[#This Row],[Stückelung]]*aktuelleAnleihen[[#This Row],[Anteile]]*aktuelleAnleihen[[#This Row],[Coupon]]/aktuelleAnleihen[[#This Row],[Aktueller Wechselkurs]]*($AC$1-aktuelleAnleihen[[#This Row],[Letzte Zinszahlung]])/365</f>
        <v>41.507188919341466</v>
      </c>
      <c r="W82" s="4">
        <v>26.137599999999999</v>
      </c>
      <c r="X82" s="120" t="s">
        <v>1145</v>
      </c>
      <c r="Y82" s="120" t="s">
        <v>52</v>
      </c>
      <c r="Z82" s="1" t="s">
        <v>1483</v>
      </c>
      <c r="AA82" s="1" t="s">
        <v>1484</v>
      </c>
      <c r="AB82" s="3">
        <f>SUMIF('Zinszahlungen Anleihen'!K:K,aktuelleAnleihen[[#This Row],[ISIN]],'Zinszahlungen Anleihen'!D:D)</f>
        <v>0</v>
      </c>
      <c r="AE82" s="10"/>
      <c r="AF82" s="1"/>
      <c r="AH82" s="7"/>
      <c r="AJ82" s="1"/>
      <c r="AN82" s="1"/>
      <c r="AQ82" s="1"/>
    </row>
    <row r="83" spans="1:43" x14ac:dyDescent="0.2">
      <c r="A83" s="1" t="s">
        <v>1186</v>
      </c>
      <c r="B83" s="1" t="s">
        <v>4</v>
      </c>
      <c r="C83" s="7">
        <v>9.5000000000000001E-2</v>
      </c>
      <c r="D83" s="7">
        <v>0.99870000000000003</v>
      </c>
      <c r="E83" s="7">
        <f>aktuelleAnleihen[[#This Row],[Aktueller Kurs]]-aktuelleAnleihen[[#This Row],[Kaufkurs]]</f>
        <v>-8.1999999999998741E-3</v>
      </c>
      <c r="F83" s="8">
        <f>aktuelleAnleihen[[#This Row],[Stückelung]]*aktuelleAnleihen[[#This Row],[Aktueller Kurs]]*aktuelleAnleihen[[#This Row],[Anteile]]/aktuelleAnleihen[[#This Row],[Aktueller Wechselkurs]]+aktuelleAnleihen[[#This Row],[Stückzinsen]]</f>
        <v>1901.8619118714334</v>
      </c>
      <c r="G83" s="8">
        <f>aktuelleAnleihen[[#This Row],[Kursdifferenz]]*aktuelleAnleihen[[#This Row],[Anteile]]*aktuelleAnleihen[[#This Row],[Stückelung]]/aktuelleAnleihen[[#This Row],[Wechselkurs am Kauftag]]</f>
        <v>-15.294227361745547</v>
      </c>
      <c r="H83" s="8">
        <f>aktuelleAnleihen[[#This Row],[Stückzinsen]]-aktuelleAnleihen[[#This Row],[Stückzinsen am Kauftag]]+aktuelleAnleihen[[#This Row],[Zinszahlungen]]</f>
        <v>17.383742851141392</v>
      </c>
      <c r="I83" s="8">
        <f>aktuelleAnleihen[[#This Row],[Gewinn gesamt]]-aktuelleAnleihen[[#This Row],[Gewinn aus Kursänderung]]-aktuelleAnleihen[[#This Row],[Gewinn aus Zinsen]]</f>
        <v>-28.73360361796248</v>
      </c>
      <c r="J83" s="7">
        <f>aktuelleAnleihen[[#This Row],[Gewinn gesamt]]/aktuelleAnleihen[[#This Row],[Kaufpreis]]</f>
        <v>-1.3815921821641538E-2</v>
      </c>
      <c r="K83" s="3">
        <f>aktuelleAnleihen[[#This Row],[Verkaufspreis]]-aktuelleAnleihen[[#This Row],[Kaufpreis]]+aktuelleAnleihen[[#This Row],[Zinszahlungen]]</f>
        <v>-26.644088128566636</v>
      </c>
      <c r="L83" s="4">
        <v>1928.5060000000001</v>
      </c>
      <c r="M83" s="7">
        <v>1.0068999999999999</v>
      </c>
      <c r="N83" s="61">
        <v>1.0723</v>
      </c>
      <c r="O83" s="1">
        <v>1.0891</v>
      </c>
      <c r="P83" s="1" t="s">
        <v>887</v>
      </c>
      <c r="Q83" s="30">
        <v>45412</v>
      </c>
      <c r="R83" s="1">
        <v>2</v>
      </c>
      <c r="S83" s="1">
        <v>1000</v>
      </c>
      <c r="T83" s="9">
        <v>45308</v>
      </c>
      <c r="U83" s="1">
        <v>2</v>
      </c>
      <c r="V83" s="62">
        <f>aktuelleAnleihen[[#This Row],[Stückelung]]*aktuelleAnleihen[[#This Row],[Anteile]]*aktuelleAnleihen[[#This Row],[Coupon]]/aktuelleAnleihen[[#This Row],[Aktueller Wechselkurs]]*($AC$1-aktuelleAnleihen[[#This Row],[Letzte Zinszahlung]])/365</f>
        <v>67.870542851141394</v>
      </c>
      <c r="W83" s="4">
        <v>50.486800000000002</v>
      </c>
      <c r="X83" s="120" t="s">
        <v>1105</v>
      </c>
      <c r="Y83" s="120" t="s">
        <v>52</v>
      </c>
      <c r="Z83" s="1" t="s">
        <v>1187</v>
      </c>
      <c r="AA83" s="1" t="s">
        <v>1188</v>
      </c>
      <c r="AB83" s="3">
        <f>SUMIF('Zinszahlungen Anleihen'!K:K,aktuelleAnleihen[[#This Row],[ISIN]],'Zinszahlungen Anleihen'!D:D)</f>
        <v>0</v>
      </c>
      <c r="AE83" s="10"/>
      <c r="AF83" s="1"/>
      <c r="AH83" s="7"/>
      <c r="AJ83" s="1"/>
      <c r="AN83" s="1"/>
      <c r="AQ83" s="1"/>
    </row>
    <row r="84" spans="1:43" x14ac:dyDescent="0.2">
      <c r="A84" s="1" t="s">
        <v>622</v>
      </c>
      <c r="B84" s="1" t="s">
        <v>2</v>
      </c>
      <c r="C84" s="7">
        <v>7.2499999999999995E-2</v>
      </c>
      <c r="D84" s="7">
        <v>1.0567</v>
      </c>
      <c r="E84" s="7">
        <f>aktuelleAnleihen[[#This Row],[Aktueller Kurs]]-aktuelleAnleihen[[#This Row],[Kaufkurs]]</f>
        <v>-7.3000000000000842E-3</v>
      </c>
      <c r="F84" s="8">
        <f>aktuelleAnleihen[[#This Row],[Stückelung]]*aktuelleAnleihen[[#This Row],[Aktueller Kurs]]*aktuelleAnleihen[[#This Row],[Anteile]]/aktuelleAnleihen[[#This Row],[Aktueller Wechselkurs]]+aktuelleAnleihen[[#This Row],[Stückzinsen]]</f>
        <v>2121.7424657534248</v>
      </c>
      <c r="G84" s="8">
        <f>aktuelleAnleihen[[#This Row],[Kursdifferenz]]*aktuelleAnleihen[[#This Row],[Anteile]]*aktuelleAnleihen[[#This Row],[Stückelung]]/aktuelleAnleihen[[#This Row],[Wechselkurs am Kauftag]]</f>
        <v>-14.600000000000168</v>
      </c>
      <c r="H84" s="8">
        <f>aktuelleAnleihen[[#This Row],[Stückzinsen]]-aktuelleAnleihen[[#This Row],[Stückzinsen am Kauftag]]+aktuelleAnleihen[[#This Row],[Zinszahlungen]]</f>
        <v>26.020565753424655</v>
      </c>
      <c r="I84" s="8">
        <f>aktuelleAnleihen[[#This Row],[Gewinn gesamt]]-aktuelleAnleihen[[#This Row],[Gewinn aus Kursänderung]]-aktuelleAnleihen[[#This Row],[Gewinn aus Zinsen]]</f>
        <v>3.659295089164516E-13</v>
      </c>
      <c r="J84" s="7">
        <f>aktuelleAnleihen[[#This Row],[Gewinn gesamt]]/aktuelleAnleihen[[#This Row],[Kaufpreis]]</f>
        <v>5.2320190453581453E-3</v>
      </c>
      <c r="K84" s="3">
        <f>aktuelleAnleihen[[#This Row],[Verkaufspreis]]-aktuelleAnleihen[[#This Row],[Kaufpreis]]+aktuelleAnleihen[[#This Row],[Zinszahlungen]]</f>
        <v>11.420565753424853</v>
      </c>
      <c r="L84" s="4">
        <v>2182.8218999999999</v>
      </c>
      <c r="M84" s="7">
        <v>1.0640000000000001</v>
      </c>
      <c r="N84" s="61">
        <v>1</v>
      </c>
      <c r="O84" s="1">
        <v>1</v>
      </c>
      <c r="P84" s="1" t="s">
        <v>925</v>
      </c>
      <c r="Q84" s="30">
        <v>45385</v>
      </c>
      <c r="R84" s="1">
        <v>2</v>
      </c>
      <c r="S84" s="1">
        <v>1000</v>
      </c>
      <c r="T84" s="9">
        <v>45429</v>
      </c>
      <c r="U84" s="1">
        <v>2</v>
      </c>
      <c r="V84" s="62">
        <f>aktuelleAnleihen[[#This Row],[Stückelung]]*aktuelleAnleihen[[#This Row],[Anteile]]*aktuelleAnleihen[[#This Row],[Coupon]]/aktuelleAnleihen[[#This Row],[Aktueller Wechselkurs]]*($AC$1-aktuelleAnleihen[[#This Row],[Letzte Zinszahlung]])/365</f>
        <v>8.3424657534246567</v>
      </c>
      <c r="W84" s="4">
        <v>54.821899999999999</v>
      </c>
      <c r="X84" s="120" t="s">
        <v>102</v>
      </c>
      <c r="Y84" s="120" t="s">
        <v>61</v>
      </c>
      <c r="Z84" s="1" t="s">
        <v>623</v>
      </c>
      <c r="AA84" s="1" t="s">
        <v>624</v>
      </c>
      <c r="AB84" s="3">
        <f>SUMIF('Zinszahlungen Anleihen'!K:K,aktuelleAnleihen[[#This Row],[ISIN]],'Zinszahlungen Anleihen'!D:D)</f>
        <v>72.5</v>
      </c>
      <c r="AE84" s="10"/>
      <c r="AF84" s="1"/>
      <c r="AH84" s="7"/>
      <c r="AJ84" s="1"/>
      <c r="AN84" s="1"/>
      <c r="AQ84" s="1"/>
    </row>
    <row r="85" spans="1:43" x14ac:dyDescent="0.2">
      <c r="A85" s="1" t="s">
        <v>384</v>
      </c>
      <c r="B85" s="1" t="s">
        <v>10</v>
      </c>
      <c r="C85" s="7">
        <v>8.5000000000000006E-2</v>
      </c>
      <c r="D85" s="7">
        <v>1.0891999999999999</v>
      </c>
      <c r="E85" s="7">
        <f>aktuelleAnleihen[[#This Row],[Aktueller Kurs]]-aktuelleAnleihen[[#This Row],[Kaufkurs]]</f>
        <v>-6.9000000000001283E-3</v>
      </c>
      <c r="F85" s="8">
        <f>aktuelleAnleihen[[#This Row],[Stückelung]]*aktuelleAnleihen[[#This Row],[Aktueller Kurs]]*aktuelleAnleihen[[#This Row],[Anteile]]/aktuelleAnleihen[[#This Row],[Aktueller Wechselkurs]]+aktuelleAnleihen[[#This Row],[Stückzinsen]]</f>
        <v>2245.4684931506849</v>
      </c>
      <c r="G85" s="8">
        <f>aktuelleAnleihen[[#This Row],[Kursdifferenz]]*aktuelleAnleihen[[#This Row],[Anteile]]*aktuelleAnleihen[[#This Row],[Stückelung]]/aktuelleAnleihen[[#This Row],[Wechselkurs am Kauftag]]</f>
        <v>-13.800000000000257</v>
      </c>
      <c r="H85" s="8">
        <f>aktuelleAnleihen[[#This Row],[Stückzinsen]]-aktuelleAnleihen[[#This Row],[Stückzinsen am Kauftag]]+aktuelleAnleihen[[#This Row],[Zinszahlungen]]</f>
        <v>30.27399315068493</v>
      </c>
      <c r="I85" s="8">
        <f>aktuelleAnleihen[[#This Row],[Gewinn gesamt]]-aktuelleAnleihen[[#This Row],[Gewinn aus Kursänderung]]-aktuelleAnleihen[[#This Row],[Gewinn aus Zinsen]]</f>
        <v>4.7251091928046662E-13</v>
      </c>
      <c r="J85" s="7">
        <f>aktuelleAnleihen[[#This Row],[Gewinn gesamt]]/aktuelleAnleihen[[#This Row],[Kaufpreis]]</f>
        <v>7.3907733512510454E-3</v>
      </c>
      <c r="K85" s="3">
        <f>aktuelleAnleihen[[#This Row],[Verkaufspreis]]-aktuelleAnleihen[[#This Row],[Kaufpreis]]+aktuelleAnleihen[[#This Row],[Zinszahlungen]]</f>
        <v>16.473993150685146</v>
      </c>
      <c r="L85" s="4">
        <v>2228.9944999999998</v>
      </c>
      <c r="M85" s="7">
        <v>1.0961000000000001</v>
      </c>
      <c r="N85" s="61">
        <v>1</v>
      </c>
      <c r="O85" s="1">
        <v>1</v>
      </c>
      <c r="P85" s="1" t="s">
        <v>925</v>
      </c>
      <c r="Q85" s="30">
        <v>45385</v>
      </c>
      <c r="R85" s="1">
        <v>2</v>
      </c>
      <c r="S85" s="1">
        <v>1000</v>
      </c>
      <c r="T85" s="9">
        <v>45306</v>
      </c>
      <c r="U85" s="1">
        <v>2</v>
      </c>
      <c r="V85" s="62">
        <f>aktuelleAnleihen[[#This Row],[Stückelung]]*aktuelleAnleihen[[#This Row],[Anteile]]*aktuelleAnleihen[[#This Row],[Coupon]]/aktuelleAnleihen[[#This Row],[Aktueller Wechselkurs]]*($AC$1-aktuelleAnleihen[[#This Row],[Letzte Zinszahlung]])/365</f>
        <v>67.06849315068493</v>
      </c>
      <c r="W85" s="4">
        <v>36.794499999999999</v>
      </c>
      <c r="X85" s="120" t="s">
        <v>35</v>
      </c>
      <c r="Y85" s="120" t="s">
        <v>61</v>
      </c>
      <c r="Z85" s="1" t="s">
        <v>385</v>
      </c>
      <c r="AA85" s="1" t="s">
        <v>386</v>
      </c>
      <c r="AB85" s="3">
        <f>SUMIF('Zinszahlungen Anleihen'!K:K,aktuelleAnleihen[[#This Row],[ISIN]],'Zinszahlungen Anleihen'!D:D)</f>
        <v>0</v>
      </c>
      <c r="AE85" s="10"/>
      <c r="AF85" s="1"/>
      <c r="AH85" s="7"/>
      <c r="AJ85" s="1"/>
      <c r="AN85" s="1"/>
      <c r="AQ85" s="1"/>
    </row>
    <row r="86" spans="1:43" x14ac:dyDescent="0.2">
      <c r="A86" s="1" t="s">
        <v>283</v>
      </c>
      <c r="B86" s="1" t="s">
        <v>0</v>
      </c>
      <c r="C86" s="7">
        <v>9.425E-2</v>
      </c>
      <c r="D86" s="7">
        <v>1.0002</v>
      </c>
      <c r="E86" s="7">
        <f>aktuelleAnleihen[[#This Row],[Aktueller Kurs]]-aktuelleAnleihen[[#This Row],[Kaufkurs]]</f>
        <v>-6.9000000000001283E-3</v>
      </c>
      <c r="F86" s="8">
        <f>aktuelleAnleihen[[#This Row],[Stückelung]]*aktuelleAnleihen[[#This Row],[Aktueller Kurs]]*aktuelleAnleihen[[#This Row],[Anteile]]/aktuelleAnleihen[[#This Row],[Aktueller Wechselkurs]]+aktuelleAnleihen[[#This Row],[Stückzinsen]]</f>
        <v>2021.0575342465752</v>
      </c>
      <c r="G86" s="8">
        <f>aktuelleAnleihen[[#This Row],[Kursdifferenz]]*aktuelleAnleihen[[#This Row],[Anteile]]*aktuelleAnleihen[[#This Row],[Stückelung]]/aktuelleAnleihen[[#This Row],[Wechselkurs am Kauftag]]</f>
        <v>-13.800000000000257</v>
      </c>
      <c r="H86" s="8">
        <f>aktuelleAnleihen[[#This Row],[Stückzinsen]]-aktuelleAnleihen[[#This Row],[Stückzinsen am Kauftag]]+aktuelleAnleihen[[#This Row],[Zinszahlungen]]</f>
        <v>33.697634246575348</v>
      </c>
      <c r="I86" s="8">
        <f>aktuelleAnleihen[[#This Row],[Gewinn gesamt]]-aktuelleAnleihen[[#This Row],[Gewinn aus Kursänderung]]-aktuelleAnleihen[[#This Row],[Gewinn aus Zinsen]]</f>
        <v>0</v>
      </c>
      <c r="J86" s="7">
        <f>aktuelleAnleihen[[#This Row],[Gewinn gesamt]]/aktuelleAnleihen[[#This Row],[Kaufpreis]]</f>
        <v>9.7142903541275333E-3</v>
      </c>
      <c r="K86" s="3">
        <f>aktuelleAnleihen[[#This Row],[Verkaufspreis]]-aktuelleAnleihen[[#This Row],[Kaufpreis]]+aktuelleAnleihen[[#This Row],[Zinszahlungen]]</f>
        <v>19.89763424657508</v>
      </c>
      <c r="L86" s="4">
        <v>2048.2849000000001</v>
      </c>
      <c r="M86" s="7">
        <v>1.0071000000000001</v>
      </c>
      <c r="N86" s="61">
        <v>1</v>
      </c>
      <c r="O86" s="1">
        <v>1</v>
      </c>
      <c r="P86" s="1" t="s">
        <v>925</v>
      </c>
      <c r="Q86" s="30">
        <v>45385</v>
      </c>
      <c r="R86" s="1">
        <v>2</v>
      </c>
      <c r="S86" s="1">
        <v>1000</v>
      </c>
      <c r="T86" s="9">
        <v>45410</v>
      </c>
      <c r="U86" s="1">
        <v>4</v>
      </c>
      <c r="V86" s="62">
        <f>aktuelleAnleihen[[#This Row],[Stückelung]]*aktuelleAnleihen[[#This Row],[Anteile]]*aktuelleAnleihen[[#This Row],[Coupon]]/aktuelleAnleihen[[#This Row],[Aktueller Wechselkurs]]*($AC$1-aktuelleAnleihen[[#This Row],[Letzte Zinszahlung]])/365</f>
        <v>20.657534246575342</v>
      </c>
      <c r="W86" s="4">
        <v>34.084899999999998</v>
      </c>
      <c r="X86" s="120" t="s">
        <v>284</v>
      </c>
      <c r="Y86" s="120" t="s">
        <v>109</v>
      </c>
      <c r="Z86" s="1" t="s">
        <v>285</v>
      </c>
      <c r="AA86" s="1" t="s">
        <v>286</v>
      </c>
      <c r="AB86" s="3">
        <f>SUMIF('Zinszahlungen Anleihen'!K:K,aktuelleAnleihen[[#This Row],[ISIN]],'Zinszahlungen Anleihen'!D:D)</f>
        <v>47.125</v>
      </c>
      <c r="AE86" s="10"/>
      <c r="AF86" s="1"/>
      <c r="AH86" s="7"/>
      <c r="AJ86" s="1"/>
      <c r="AN86" s="1"/>
      <c r="AQ86" s="1"/>
    </row>
    <row r="87" spans="1:43" x14ac:dyDescent="0.2">
      <c r="A87" s="1" t="s">
        <v>1764</v>
      </c>
      <c r="B87" s="1" t="s">
        <v>0</v>
      </c>
      <c r="C87" s="7">
        <v>0.08</v>
      </c>
      <c r="D87" s="7">
        <v>1.0588</v>
      </c>
      <c r="E87" s="7">
        <f>aktuelleAnleihen[[#This Row],[Aktueller Kurs]]-aktuelleAnleihen[[#This Row],[Kaufkurs]]</f>
        <v>-7.1999999999998732E-3</v>
      </c>
      <c r="F87" s="8">
        <f>aktuelleAnleihen[[#This Row],[Stückelung]]*aktuelleAnleihen[[#This Row],[Aktueller Kurs]]*aktuelleAnleihen[[#This Row],[Anteile]]/aktuelleAnleihen[[#This Row],[Aktueller Wechselkurs]]+aktuelleAnleihen[[#This Row],[Stückzinsen]]</f>
        <v>1948.7851600479471</v>
      </c>
      <c r="G87" s="8">
        <f>aktuelleAnleihen[[#This Row],[Kursdifferenz]]*aktuelleAnleihen[[#This Row],[Anteile]]*aktuelleAnleihen[[#This Row],[Stückelung]]/aktuelleAnleihen[[#This Row],[Wechselkurs am Kauftag]]</f>
        <v>-13.429077683483863</v>
      </c>
      <c r="H87" s="8">
        <f>aktuelleAnleihen[[#This Row],[Stückzinsen]]-aktuelleAnleihen[[#This Row],[Stückzinsen am Kauftag]]+aktuelleAnleihen[[#This Row],[Zinszahlungen]]</f>
        <v>14.755401060264035</v>
      </c>
      <c r="I87" s="8">
        <f>aktuelleAnleihen[[#This Row],[Gewinn gesamt]]-aktuelleAnleihen[[#This Row],[Gewinn aus Kursänderung]]-aktuelleAnleihen[[#This Row],[Gewinn aus Zinsen]]</f>
        <v>-30.462695753298725</v>
      </c>
      <c r="J87" s="7">
        <f>aktuelleAnleihen[[#This Row],[Gewinn gesamt]]/aktuelleAnleihen[[#This Row],[Kaufpreis]]</f>
        <v>-1.420168680724637E-2</v>
      </c>
      <c r="K87" s="3">
        <f>aktuelleAnleihen[[#This Row],[Verkaufspreis]]-aktuelleAnleihen[[#This Row],[Kaufpreis]]+aktuelleAnleihen[[#This Row],[Zinszahlungen]]</f>
        <v>-29.136372376518551</v>
      </c>
      <c r="L87" s="4">
        <v>2051.6134999999999</v>
      </c>
      <c r="M87" s="7">
        <v>1.0659999999999998</v>
      </c>
      <c r="N87" s="61">
        <v>1.0723</v>
      </c>
      <c r="O87" s="1">
        <v>1.0891</v>
      </c>
      <c r="P87" s="1" t="s">
        <v>887</v>
      </c>
      <c r="Q87" s="30">
        <v>45412</v>
      </c>
      <c r="R87" s="1">
        <v>2</v>
      </c>
      <c r="S87" s="1">
        <v>1000</v>
      </c>
      <c r="T87" s="9">
        <v>45439</v>
      </c>
      <c r="U87" s="1">
        <v>2</v>
      </c>
      <c r="V87" s="62">
        <f>aktuelleAnleihen[[#This Row],[Stückelung]]*aktuelleAnleihen[[#This Row],[Anteile]]*aktuelleAnleihen[[#This Row],[Coupon]]/aktuelleAnleihen[[#This Row],[Aktueller Wechselkurs]]*($AC$1-aktuelleAnleihen[[#This Row],[Letzte Zinszahlung]])/365</f>
        <v>4.4274334847297574</v>
      </c>
      <c r="W87" s="4">
        <v>63.363999999999997</v>
      </c>
      <c r="X87" s="120" t="s">
        <v>1141</v>
      </c>
      <c r="Y87" s="120" t="s">
        <v>52</v>
      </c>
      <c r="Z87" s="1" t="s">
        <v>1765</v>
      </c>
      <c r="AA87" s="1" t="s">
        <v>1766</v>
      </c>
      <c r="AB87" s="3">
        <f>SUMIF('Zinszahlungen Anleihen'!K:K,aktuelleAnleihen[[#This Row],[ISIN]],'Zinszahlungen Anleihen'!D:D)</f>
        <v>73.691967575534278</v>
      </c>
      <c r="AE87" s="10"/>
      <c r="AF87" s="1"/>
      <c r="AH87" s="7"/>
      <c r="AJ87" s="1"/>
      <c r="AN87" s="1"/>
      <c r="AQ87" s="1"/>
    </row>
    <row r="88" spans="1:43" x14ac:dyDescent="0.2">
      <c r="A88" s="1" t="s">
        <v>725</v>
      </c>
      <c r="B88" s="1" t="s">
        <v>0</v>
      </c>
      <c r="C88" s="7">
        <v>6.6250000000000003E-2</v>
      </c>
      <c r="D88" s="7">
        <v>1.0095000000000001</v>
      </c>
      <c r="E88" s="7">
        <f>aktuelleAnleihen[[#This Row],[Aktueller Kurs]]-aktuelleAnleihen[[#This Row],[Kaufkurs]]</f>
        <v>-6.5999999999999392E-3</v>
      </c>
      <c r="F88" s="8">
        <f>aktuelleAnleihen[[#This Row],[Stückelung]]*aktuelleAnleihen[[#This Row],[Aktueller Kurs]]*aktuelleAnleihen[[#This Row],[Anteile]]/aktuelleAnleihen[[#This Row],[Aktueller Wechselkurs]]+aktuelleAnleihen[[#This Row],[Stückzinsen]]</f>
        <v>2084.705479452055</v>
      </c>
      <c r="G88" s="8">
        <f>aktuelleAnleihen[[#This Row],[Kursdifferenz]]*aktuelleAnleihen[[#This Row],[Anteile]]*aktuelleAnleihen[[#This Row],[Stückelung]]/aktuelleAnleihen[[#This Row],[Wechselkurs am Kauftag]]</f>
        <v>-13.199999999999878</v>
      </c>
      <c r="H88" s="8">
        <f>aktuelleAnleihen[[#This Row],[Stückzinsen]]-aktuelleAnleihen[[#This Row],[Stückzinsen am Kauftag]]+aktuelleAnleihen[[#This Row],[Zinszahlungen]]</f>
        <v>23.595879452054788</v>
      </c>
      <c r="I88" s="8">
        <f>aktuelleAnleihen[[#This Row],[Gewinn gesamt]]-aktuelleAnleihen[[#This Row],[Gewinn aus Kursänderung]]-aktuelleAnleihen[[#This Row],[Gewinn aus Zinsen]]</f>
        <v>3.1974423109204508E-14</v>
      </c>
      <c r="J88" s="7">
        <f>aktuelleAnleihen[[#This Row],[Gewinn gesamt]]/aktuelleAnleihen[[#This Row],[Kaufpreis]]</f>
        <v>5.0117299037978425E-3</v>
      </c>
      <c r="K88" s="3">
        <f>aktuelleAnleihen[[#This Row],[Verkaufspreis]]-aktuelleAnleihen[[#This Row],[Kaufpreis]]+aktuelleAnleihen[[#This Row],[Zinszahlungen]]</f>
        <v>10.395879452054942</v>
      </c>
      <c r="L88" s="4">
        <v>2074.3096</v>
      </c>
      <c r="M88" s="7">
        <v>1.0161</v>
      </c>
      <c r="N88" s="61">
        <v>1</v>
      </c>
      <c r="O88" s="1">
        <v>1</v>
      </c>
      <c r="P88" s="1" t="s">
        <v>925</v>
      </c>
      <c r="Q88" s="30">
        <v>45385</v>
      </c>
      <c r="R88" s="1">
        <v>2</v>
      </c>
      <c r="S88" s="1">
        <v>1000</v>
      </c>
      <c r="T88" s="9">
        <v>45269</v>
      </c>
      <c r="U88" s="1">
        <v>1</v>
      </c>
      <c r="V88" s="62">
        <f>aktuelleAnleihen[[#This Row],[Stückelung]]*aktuelleAnleihen[[#This Row],[Anteile]]*aktuelleAnleihen[[#This Row],[Coupon]]/aktuelleAnleihen[[#This Row],[Aktueller Wechselkurs]]*($AC$1-aktuelleAnleihen[[#This Row],[Letzte Zinszahlung]])/365</f>
        <v>65.705479452054789</v>
      </c>
      <c r="W88" s="4">
        <v>42.1096</v>
      </c>
      <c r="X88" s="120" t="s">
        <v>170</v>
      </c>
      <c r="Y88" s="120" t="s">
        <v>81</v>
      </c>
      <c r="Z88" s="1" t="s">
        <v>726</v>
      </c>
      <c r="AA88" s="1" t="s">
        <v>727</v>
      </c>
      <c r="AB88" s="3">
        <f>SUMIF('Zinszahlungen Anleihen'!K:K,aktuelleAnleihen[[#This Row],[ISIN]],'Zinszahlungen Anleihen'!D:D)</f>
        <v>0</v>
      </c>
      <c r="AE88" s="10"/>
      <c r="AF88" s="1"/>
      <c r="AH88" s="7"/>
      <c r="AJ88" s="1"/>
      <c r="AN88" s="1"/>
      <c r="AQ88" s="1"/>
    </row>
    <row r="89" spans="1:43" x14ac:dyDescent="0.2">
      <c r="A89" s="1" t="s">
        <v>302</v>
      </c>
      <c r="B89" s="1" t="s">
        <v>5</v>
      </c>
      <c r="C89" s="7">
        <v>9.2499999999999999E-2</v>
      </c>
      <c r="D89" s="7">
        <v>1.0591999999999999</v>
      </c>
      <c r="E89" s="7">
        <f>aktuelleAnleihen[[#This Row],[Aktueller Kurs]]-aktuelleAnleihen[[#This Row],[Kaufkurs]]</f>
        <v>-6.4000000000001833E-3</v>
      </c>
      <c r="F89" s="8">
        <f>aktuelleAnleihen[[#This Row],[Stückelung]]*aktuelleAnleihen[[#This Row],[Aktueller Kurs]]*aktuelleAnleihen[[#This Row],[Anteile]]/aktuelleAnleihen[[#This Row],[Aktueller Wechselkurs]]+aktuelleAnleihen[[#This Row],[Stückzinsen]]</f>
        <v>2145.2630136986299</v>
      </c>
      <c r="G89" s="8">
        <f>aktuelleAnleihen[[#This Row],[Kursdifferenz]]*aktuelleAnleihen[[#This Row],[Anteile]]*aktuelleAnleihen[[#This Row],[Stückelung]]/aktuelleAnleihen[[#This Row],[Wechselkurs am Kauftag]]</f>
        <v>-12.800000000000367</v>
      </c>
      <c r="H89" s="8">
        <f>aktuelleAnleihen[[#This Row],[Stückzinsen]]-aktuelleAnleihen[[#This Row],[Stückzinsen am Kauftag]]+aktuelleAnleihen[[#This Row],[Zinszahlungen]]</f>
        <v>32.691813698630142</v>
      </c>
      <c r="I89" s="8">
        <f>aktuelleAnleihen[[#This Row],[Gewinn gesamt]]-aktuelleAnleihen[[#This Row],[Gewinn aus Kursänderung]]-aktuelleAnleihen[[#This Row],[Gewinn aus Zinsen]]</f>
        <v>1.2789769243681803E-13</v>
      </c>
      <c r="J89" s="7">
        <f>aktuelleAnleihen[[#This Row],[Gewinn gesamt]]/aktuelleAnleihen[[#This Row],[Kaufpreis]]</f>
        <v>8.9688768665330525E-3</v>
      </c>
      <c r="K89" s="3">
        <f>aktuelleAnleihen[[#This Row],[Verkaufspreis]]-aktuelleAnleihen[[#This Row],[Kaufpreis]]+aktuelleAnleihen[[#This Row],[Zinszahlungen]]</f>
        <v>19.891813698629903</v>
      </c>
      <c r="L89" s="4">
        <v>2217.8712</v>
      </c>
      <c r="M89" s="7">
        <v>1.0656000000000001</v>
      </c>
      <c r="N89" s="61">
        <v>1</v>
      </c>
      <c r="O89" s="1">
        <v>1</v>
      </c>
      <c r="P89" s="1" t="s">
        <v>925</v>
      </c>
      <c r="Q89" s="30">
        <v>45385</v>
      </c>
      <c r="R89" s="1">
        <v>2</v>
      </c>
      <c r="S89" s="1">
        <v>1000</v>
      </c>
      <c r="T89" s="9">
        <v>45397</v>
      </c>
      <c r="U89" s="1">
        <v>2</v>
      </c>
      <c r="V89" s="62">
        <f>aktuelleAnleihen[[#This Row],[Stückelung]]*aktuelleAnleihen[[#This Row],[Anteile]]*aktuelleAnleihen[[#This Row],[Coupon]]/aktuelleAnleihen[[#This Row],[Aktueller Wechselkurs]]*($AC$1-aktuelleAnleihen[[#This Row],[Letzte Zinszahlung]])/365</f>
        <v>26.863013698630137</v>
      </c>
      <c r="W89" s="4">
        <v>86.671199999999999</v>
      </c>
      <c r="X89" s="120" t="s">
        <v>98</v>
      </c>
      <c r="Y89" s="120" t="s">
        <v>39</v>
      </c>
      <c r="Z89" s="1" t="s">
        <v>303</v>
      </c>
      <c r="AA89" s="1" t="s">
        <v>304</v>
      </c>
      <c r="AB89" s="3">
        <f>SUMIF('Zinszahlungen Anleihen'!K:K,aktuelleAnleihen[[#This Row],[ISIN]],'Zinszahlungen Anleihen'!D:D)</f>
        <v>92.5</v>
      </c>
      <c r="AE89" s="10"/>
      <c r="AF89" s="1"/>
      <c r="AH89" s="7"/>
      <c r="AJ89" s="1"/>
      <c r="AN89" s="1"/>
      <c r="AQ89" s="1"/>
    </row>
    <row r="90" spans="1:43" x14ac:dyDescent="0.2">
      <c r="A90" s="1" t="s">
        <v>242</v>
      </c>
      <c r="B90" s="1" t="s">
        <v>2</v>
      </c>
      <c r="C90" s="7">
        <v>9.9220000000000003E-2</v>
      </c>
      <c r="D90" s="7">
        <v>0.97940000000000005</v>
      </c>
      <c r="E90" s="7">
        <f>aktuelleAnleihen[[#This Row],[Aktueller Kurs]]-aktuelleAnleihen[[#This Row],[Kaufkurs]]</f>
        <v>-6.3999999999999613E-3</v>
      </c>
      <c r="F90" s="8">
        <f>aktuelleAnleihen[[#This Row],[Stückelung]]*aktuelleAnleihen[[#This Row],[Aktueller Kurs]]*aktuelleAnleihen[[#This Row],[Anteile]]/aktuelleAnleihen[[#This Row],[Aktueller Wechselkurs]]+aktuelleAnleihen[[#This Row],[Stückzinsen]]</f>
        <v>2000.6626849315071</v>
      </c>
      <c r="G90" s="8">
        <f>aktuelleAnleihen[[#This Row],[Kursdifferenz]]*aktuelleAnleihen[[#This Row],[Anteile]]*aktuelleAnleihen[[#This Row],[Stückelung]]/aktuelleAnleihen[[#This Row],[Wechselkurs am Kauftag]]</f>
        <v>-12.799999999999923</v>
      </c>
      <c r="H90" s="8">
        <f>aktuelleAnleihen[[#This Row],[Stückzinsen]]-aktuelleAnleihen[[#This Row],[Stückzinsen am Kauftag]]+aktuelleAnleihen[[#This Row],[Zinszahlungen]]</f>
        <v>35.338584931506851</v>
      </c>
      <c r="I90" s="8">
        <f>aktuelleAnleihen[[#This Row],[Gewinn gesamt]]-aktuelleAnleihen[[#This Row],[Gewinn aus Kursänderung]]-aktuelleAnleihen[[#This Row],[Gewinn aus Zinsen]]</f>
        <v>1.7763568394002505E-13</v>
      </c>
      <c r="J90" s="7">
        <f>aktuelleAnleihen[[#This Row],[Gewinn gesamt]]/aktuelleAnleihen[[#This Row],[Kaufpreis]]</f>
        <v>1.1393918577457857E-2</v>
      </c>
      <c r="K90" s="3">
        <f>aktuelleAnleihen[[#This Row],[Verkaufspreis]]-aktuelleAnleihen[[#This Row],[Kaufpreis]]+aktuelleAnleihen[[#This Row],[Zinszahlungen]]</f>
        <v>22.538584931507103</v>
      </c>
      <c r="L90" s="4">
        <v>1978.1241</v>
      </c>
      <c r="M90" s="7">
        <v>0.98580000000000001</v>
      </c>
      <c r="N90" s="61">
        <v>1</v>
      </c>
      <c r="O90" s="1">
        <v>1</v>
      </c>
      <c r="P90" s="1" t="s">
        <v>925</v>
      </c>
      <c r="Q90" s="30">
        <v>45385</v>
      </c>
      <c r="R90" s="1">
        <v>2</v>
      </c>
      <c r="S90" s="1">
        <v>1000</v>
      </c>
      <c r="T90" s="9">
        <v>45373</v>
      </c>
      <c r="U90" s="1">
        <v>4</v>
      </c>
      <c r="V90" s="62">
        <f>aktuelleAnleihen[[#This Row],[Stückelung]]*aktuelleAnleihen[[#This Row],[Anteile]]*aktuelleAnleihen[[#This Row],[Coupon]]/aktuelleAnleihen[[#This Row],[Aktueller Wechselkurs]]*($AC$1-aktuelleAnleihen[[#This Row],[Letzte Zinszahlung]])/365</f>
        <v>41.862684931506848</v>
      </c>
      <c r="W90" s="4">
        <v>6.5240999999999998</v>
      </c>
      <c r="X90" s="120" t="s">
        <v>122</v>
      </c>
      <c r="Y90" s="120" t="s">
        <v>61</v>
      </c>
      <c r="Z90" s="1" t="s">
        <v>243</v>
      </c>
      <c r="AA90" s="1" t="s">
        <v>1774</v>
      </c>
      <c r="AB90" s="3">
        <f>SUMIF('Zinszahlungen Anleihen'!K:K,aktuelleAnleihen[[#This Row],[ISIN]],'Zinszahlungen Anleihen'!D:D)</f>
        <v>0</v>
      </c>
      <c r="AE90" s="10"/>
      <c r="AF90" s="1"/>
      <c r="AH90" s="7"/>
      <c r="AJ90" s="1"/>
      <c r="AN90" s="1"/>
      <c r="AQ90" s="1"/>
    </row>
    <row r="91" spans="1:43" x14ac:dyDescent="0.2">
      <c r="A91" s="1" t="s">
        <v>141</v>
      </c>
      <c r="B91" s="1" t="s">
        <v>10</v>
      </c>
      <c r="C91" s="7">
        <v>9.9419999999999994E-2</v>
      </c>
      <c r="D91" s="7">
        <v>1.0087000000000002</v>
      </c>
      <c r="E91" s="7">
        <f>aktuelleAnleihen[[#This Row],[Aktueller Kurs]]-aktuelleAnleihen[[#This Row],[Kaufkurs]]</f>
        <v>-6.1299999999997468E-3</v>
      </c>
      <c r="F91" s="8">
        <f>aktuelleAnleihen[[#This Row],[Stückelung]]*aktuelleAnleihen[[#This Row],[Aktueller Kurs]]*aktuelleAnleihen[[#This Row],[Anteile]]/aktuelleAnleihen[[#This Row],[Aktueller Wechselkurs]]+aktuelleAnleihen[[#This Row],[Stückzinsen]]</f>
        <v>2046.2726575342469</v>
      </c>
      <c r="G91" s="8">
        <f>aktuelleAnleihen[[#This Row],[Kursdifferenz]]*aktuelleAnleihen[[#This Row],[Anteile]]*aktuelleAnleihen[[#This Row],[Stückelung]]/aktuelleAnleihen[[#This Row],[Wechselkurs am Kauftag]]</f>
        <v>-12.259999999999494</v>
      </c>
      <c r="H91" s="8">
        <f>aktuelleAnleihen[[#This Row],[Stückzinsen]]-aktuelleAnleihen[[#This Row],[Stückzinsen am Kauftag]]+aktuelleAnleihen[[#This Row],[Zinszahlungen]]</f>
        <v>39.359457534246566</v>
      </c>
      <c r="I91" s="8">
        <f>aktuelleAnleihen[[#This Row],[Gewinn gesamt]]-aktuelleAnleihen[[#This Row],[Gewinn aus Kursänderung]]-aktuelleAnleihen[[#This Row],[Gewinn aus Zinsen]]</f>
        <v>-3.4816594052244909E-13</v>
      </c>
      <c r="J91" s="7">
        <f>aktuelleAnleihen[[#This Row],[Gewinn gesamt]]/aktuelleAnleihen[[#This Row],[Kaufpreis]]</f>
        <v>1.3098592290877863E-2</v>
      </c>
      <c r="K91" s="3">
        <f>aktuelleAnleihen[[#This Row],[Verkaufspreis]]-aktuelleAnleihen[[#This Row],[Kaufpreis]]+aktuelleAnleihen[[#This Row],[Zinszahlungen]]</f>
        <v>27.099457534246724</v>
      </c>
      <c r="L91" s="4">
        <v>2068.8832000000002</v>
      </c>
      <c r="M91" s="7">
        <v>1.0148299999999999</v>
      </c>
      <c r="N91" s="61">
        <v>1</v>
      </c>
      <c r="O91" s="1">
        <v>1</v>
      </c>
      <c r="P91" s="1" t="s">
        <v>925</v>
      </c>
      <c r="Q91" s="30">
        <v>45378</v>
      </c>
      <c r="R91" s="1">
        <v>2</v>
      </c>
      <c r="S91" s="1">
        <v>1000</v>
      </c>
      <c r="T91" s="9">
        <v>45397</v>
      </c>
      <c r="U91" s="1">
        <v>4</v>
      </c>
      <c r="V91" s="62">
        <f>aktuelleAnleihen[[#This Row],[Stückelung]]*aktuelleAnleihen[[#This Row],[Anteile]]*aktuelleAnleihen[[#This Row],[Coupon]]/aktuelleAnleihen[[#This Row],[Aktueller Wechselkurs]]*($AC$1-aktuelleAnleihen[[#This Row],[Letzte Zinszahlung]])/365</f>
        <v>28.872657534246571</v>
      </c>
      <c r="W91" s="4">
        <v>39.223199999999999</v>
      </c>
      <c r="X91" s="120" t="s">
        <v>56</v>
      </c>
      <c r="Y91" s="120" t="s">
        <v>91</v>
      </c>
      <c r="Z91" s="1" t="s">
        <v>142</v>
      </c>
      <c r="AA91" s="1" t="s">
        <v>143</v>
      </c>
      <c r="AB91" s="3">
        <f>SUMIF('Zinszahlungen Anleihen'!K:K,aktuelleAnleihen[[#This Row],[ISIN]],'Zinszahlungen Anleihen'!D:D)</f>
        <v>49.709999999999994</v>
      </c>
      <c r="AE91" s="10"/>
      <c r="AF91" s="1"/>
      <c r="AH91" s="7"/>
      <c r="AJ91" s="1"/>
      <c r="AN91" s="1"/>
      <c r="AQ91" s="1"/>
    </row>
    <row r="92" spans="1:43" x14ac:dyDescent="0.2">
      <c r="A92" s="1" t="s">
        <v>84</v>
      </c>
      <c r="B92" s="1" t="s">
        <v>0</v>
      </c>
      <c r="C92" s="7">
        <v>0.10147</v>
      </c>
      <c r="D92" s="7">
        <v>0.67949999999999999</v>
      </c>
      <c r="E92" s="7">
        <f>aktuelleAnleihen[[#This Row],[Aktueller Kurs]]-aktuelleAnleihen[[#This Row],[Kaufkurs]]</f>
        <v>-6.0999999999999943E-3</v>
      </c>
      <c r="F92" s="8">
        <f>aktuelleAnleihen[[#This Row],[Stückelung]]*aktuelleAnleihen[[#This Row],[Aktueller Kurs]]*aktuelleAnleihen[[#This Row],[Anteile]]/aktuelleAnleihen[[#This Row],[Aktueller Wechselkurs]]+aktuelleAnleihen[[#This Row],[Stückzinsen]]</f>
        <v>1379.5719999999999</v>
      </c>
      <c r="G92" s="8">
        <f>aktuelleAnleihen[[#This Row],[Kursdifferenz]]*aktuelleAnleihen[[#This Row],[Anteile]]*aktuelleAnleihen[[#This Row],[Stückelung]]/aktuelleAnleihen[[#This Row],[Wechselkurs am Kauftag]]</f>
        <v>-12.199999999999989</v>
      </c>
      <c r="H92" s="8">
        <f>aktuelleAnleihen[[#This Row],[Stückzinsen]]-aktuelleAnleihen[[#This Row],[Stückzinsen am Kauftag]]+aktuelleAnleihen[[#This Row],[Zinszahlungen]]</f>
        <v>40.727000000000004</v>
      </c>
      <c r="I92" s="8">
        <f>aktuelleAnleihen[[#This Row],[Gewinn gesamt]]-aktuelleAnleihen[[#This Row],[Gewinn aus Kursänderung]]-aktuelleAnleihen[[#This Row],[Gewinn aus Zinsen]]</f>
        <v>-9.9475983006414026E-14</v>
      </c>
      <c r="J92" s="7">
        <f>aktuelleAnleihen[[#This Row],[Gewinn gesamt]]/aktuelleAnleihen[[#This Row],[Kaufpreis]]</f>
        <v>2.0350554295253117E-2</v>
      </c>
      <c r="K92" s="3">
        <f>aktuelleAnleihen[[#This Row],[Verkaufspreis]]-aktuelleAnleihen[[#This Row],[Kaufpreis]]+aktuelleAnleihen[[#This Row],[Zinszahlungen]]</f>
        <v>28.526999999999916</v>
      </c>
      <c r="L92" s="4">
        <v>1401.78</v>
      </c>
      <c r="M92" s="7">
        <v>0.68559999999999999</v>
      </c>
      <c r="N92" s="61">
        <v>1</v>
      </c>
      <c r="O92" s="1">
        <v>1</v>
      </c>
      <c r="P92" s="1" t="s">
        <v>925</v>
      </c>
      <c r="Q92" s="30">
        <v>45378</v>
      </c>
      <c r="R92" s="1">
        <v>2</v>
      </c>
      <c r="S92" s="1">
        <v>1000</v>
      </c>
      <c r="T92" s="9">
        <v>45413</v>
      </c>
      <c r="U92" s="1">
        <v>4</v>
      </c>
      <c r="V92" s="62">
        <f>aktuelleAnleihen[[#This Row],[Stückelung]]*aktuelleAnleihen[[#This Row],[Anteile]]*aktuelleAnleihen[[#This Row],[Coupon]]/aktuelleAnleihen[[#This Row],[Aktueller Wechselkurs]]*($AC$1-aktuelleAnleihen[[#This Row],[Letzte Zinszahlung]])/365</f>
        <v>20.571999999999999</v>
      </c>
      <c r="W92" s="4">
        <v>30.58</v>
      </c>
      <c r="X92" s="120" t="s">
        <v>35</v>
      </c>
      <c r="Y92" s="120" t="s">
        <v>52</v>
      </c>
      <c r="Z92" s="1" t="s">
        <v>85</v>
      </c>
      <c r="AA92" s="1" t="s">
        <v>86</v>
      </c>
      <c r="AB92" s="3">
        <f>SUMIF('Zinszahlungen Anleihen'!K:K,aktuelleAnleihen[[#This Row],[ISIN]],'Zinszahlungen Anleihen'!D:D)</f>
        <v>50.734999999999999</v>
      </c>
      <c r="AE92" s="10"/>
      <c r="AF92" s="1"/>
      <c r="AH92" s="7"/>
      <c r="AJ92" s="1"/>
      <c r="AN92" s="1"/>
      <c r="AQ92" s="1"/>
    </row>
    <row r="93" spans="1:43" x14ac:dyDescent="0.2">
      <c r="A93" s="1" t="s">
        <v>690</v>
      </c>
      <c r="B93" s="1" t="s">
        <v>11</v>
      </c>
      <c r="C93" s="7">
        <v>6.8750000000000006E-2</v>
      </c>
      <c r="D93" s="7">
        <v>0.7994</v>
      </c>
      <c r="E93" s="7">
        <f>aktuelleAnleihen[[#This Row],[Aktueller Kurs]]-aktuelleAnleihen[[#This Row],[Kaufkurs]]</f>
        <v>-6.0999999999999943E-3</v>
      </c>
      <c r="F93" s="8">
        <f>aktuelleAnleihen[[#This Row],[Stückelung]]*aktuelleAnleihen[[#This Row],[Aktueller Kurs]]*aktuelleAnleihen[[#This Row],[Anteile]]/aktuelleAnleihen[[#This Row],[Aktueller Wechselkurs]]+aktuelleAnleihen[[#This Row],[Stückzinsen]]</f>
        <v>1651.5397260273971</v>
      </c>
      <c r="G93" s="8">
        <f>aktuelleAnleihen[[#This Row],[Kursdifferenz]]*aktuelleAnleihen[[#This Row],[Anteile]]*aktuelleAnleihen[[#This Row],[Stückelung]]/aktuelleAnleihen[[#This Row],[Wechselkurs am Kauftag]]</f>
        <v>-12.199999999999989</v>
      </c>
      <c r="H93" s="8">
        <f>aktuelleAnleihen[[#This Row],[Stückzinsen]]-aktuelleAnleihen[[#This Row],[Stückzinsen am Kauftag]]+aktuelleAnleihen[[#This Row],[Zinszahlungen]]</f>
        <v>24.486326027397261</v>
      </c>
      <c r="I93" s="8">
        <f>aktuelleAnleihen[[#This Row],[Gewinn gesamt]]-aktuelleAnleihen[[#This Row],[Gewinn aus Kursänderung]]-aktuelleAnleihen[[#This Row],[Gewinn aus Zinsen]]</f>
        <v>-1.9184653865522705E-13</v>
      </c>
      <c r="J93" s="7">
        <f>aktuelleAnleihen[[#This Row],[Gewinn gesamt]]/aktuelleAnleihen[[#This Row],[Kaufpreis]]</f>
        <v>7.4950742987002989E-3</v>
      </c>
      <c r="K93" s="3">
        <f>aktuelleAnleihen[[#This Row],[Verkaufspreis]]-aktuelleAnleihen[[#This Row],[Kaufpreis]]+aktuelleAnleihen[[#This Row],[Zinszahlungen]]</f>
        <v>12.286326027397081</v>
      </c>
      <c r="L93" s="4">
        <v>1639.2534000000001</v>
      </c>
      <c r="M93" s="7">
        <v>0.80549999999999999</v>
      </c>
      <c r="N93" s="61">
        <v>1</v>
      </c>
      <c r="O93" s="1">
        <v>1</v>
      </c>
      <c r="P93" s="1" t="s">
        <v>925</v>
      </c>
      <c r="Q93" s="30">
        <v>45385</v>
      </c>
      <c r="R93" s="1">
        <v>2</v>
      </c>
      <c r="S93" s="1">
        <v>1000</v>
      </c>
      <c r="T93" s="9">
        <v>45310</v>
      </c>
      <c r="U93" s="1">
        <v>1</v>
      </c>
      <c r="V93" s="62">
        <f>aktuelleAnleihen[[#This Row],[Stückelung]]*aktuelleAnleihen[[#This Row],[Anteile]]*aktuelleAnleihen[[#This Row],[Coupon]]/aktuelleAnleihen[[#This Row],[Aktueller Wechselkurs]]*($AC$1-aktuelleAnleihen[[#This Row],[Letzte Zinszahlung]])/365</f>
        <v>52.739726027397261</v>
      </c>
      <c r="W93" s="4">
        <v>28.253399999999999</v>
      </c>
      <c r="X93" s="120" t="s">
        <v>1491</v>
      </c>
      <c r="Y93" s="120" t="s">
        <v>39</v>
      </c>
      <c r="Z93" s="1" t="s">
        <v>691</v>
      </c>
      <c r="AA93" s="1" t="s">
        <v>692</v>
      </c>
      <c r="AB93" s="3">
        <f>SUMIF('Zinszahlungen Anleihen'!K:K,aktuelleAnleihen[[#This Row],[ISIN]],'Zinszahlungen Anleihen'!D:D)</f>
        <v>0</v>
      </c>
      <c r="AE93" s="10"/>
      <c r="AF93" s="1"/>
      <c r="AH93" s="7"/>
      <c r="AJ93" s="1"/>
      <c r="AN93" s="1"/>
      <c r="AQ93" s="1"/>
    </row>
    <row r="94" spans="1:43" x14ac:dyDescent="0.2">
      <c r="A94" s="1" t="s">
        <v>108</v>
      </c>
      <c r="B94" s="1" t="s">
        <v>6</v>
      </c>
      <c r="C94" s="7">
        <v>0.13422000000000001</v>
      </c>
      <c r="D94" s="7">
        <v>0.99</v>
      </c>
      <c r="E94" s="7">
        <f>aktuelleAnleihen[[#This Row],[Aktueller Kurs]]-aktuelleAnleihen[[#This Row],[Kaufkurs]]</f>
        <v>-6.0000000000000053E-3</v>
      </c>
      <c r="F94" s="8">
        <f>aktuelleAnleihen[[#This Row],[Stückelung]]*aktuelleAnleihen[[#This Row],[Aktueller Kurs]]*aktuelleAnleihen[[#This Row],[Anteile]]/aktuelleAnleihen[[#This Row],[Aktueller Wechselkurs]]+aktuelleAnleihen[[#This Row],[Stückzinsen]]</f>
        <v>2024.1271232876713</v>
      </c>
      <c r="G94" s="8">
        <f>aktuelleAnleihen[[#This Row],[Kursdifferenz]]*aktuelleAnleihen[[#This Row],[Anteile]]*aktuelleAnleihen[[#This Row],[Stückelung]]/aktuelleAnleihen[[#This Row],[Wechselkurs am Kauftag]]</f>
        <v>-12.000000000000011</v>
      </c>
      <c r="H94" s="8">
        <f>aktuelleAnleihen[[#This Row],[Stückzinsen]]-aktuelleAnleihen[[#This Row],[Stückzinsen am Kauftag]]+aktuelleAnleihen[[#This Row],[Zinszahlungen]]</f>
        <v>53.136423287671228</v>
      </c>
      <c r="I94" s="8">
        <f>aktuelleAnleihen[[#This Row],[Gewinn gesamt]]-aktuelleAnleihen[[#This Row],[Gewinn aus Kursänderung]]-aktuelleAnleihen[[#This Row],[Gewinn aus Zinsen]]</f>
        <v>1.6342482922482304E-13</v>
      </c>
      <c r="J94" s="7">
        <f>aktuelleAnleihen[[#This Row],[Gewinn gesamt]]/aktuelleAnleihen[[#This Row],[Kaufpreis]]</f>
        <v>2.0065562285633762E-2</v>
      </c>
      <c r="K94" s="3">
        <f>aktuelleAnleihen[[#This Row],[Verkaufspreis]]-aktuelleAnleihen[[#This Row],[Kaufpreis]]+aktuelleAnleihen[[#This Row],[Zinszahlungen]]</f>
        <v>41.136423287671377</v>
      </c>
      <c r="L94" s="4">
        <v>2050.1007</v>
      </c>
      <c r="M94" s="7">
        <v>0.996</v>
      </c>
      <c r="N94" s="61">
        <v>1</v>
      </c>
      <c r="O94" s="1">
        <v>1</v>
      </c>
      <c r="P94" s="1" t="s">
        <v>925</v>
      </c>
      <c r="Q94" s="30">
        <v>45378</v>
      </c>
      <c r="R94" s="1">
        <v>2</v>
      </c>
      <c r="S94" s="1">
        <v>1000</v>
      </c>
      <c r="T94" s="9">
        <v>45390</v>
      </c>
      <c r="U94" s="1">
        <v>4</v>
      </c>
      <c r="V94" s="62">
        <f>aktuelleAnleihen[[#This Row],[Stückelung]]*aktuelleAnleihen[[#This Row],[Anteile]]*aktuelleAnleihen[[#This Row],[Coupon]]/aktuelleAnleihen[[#This Row],[Aktueller Wechselkurs]]*($AC$1-aktuelleAnleihen[[#This Row],[Letzte Zinszahlung]])/365</f>
        <v>44.127123287671232</v>
      </c>
      <c r="W94" s="4">
        <v>58.100700000000003</v>
      </c>
      <c r="X94" s="120" t="s">
        <v>56</v>
      </c>
      <c r="Y94" s="120" t="s">
        <v>109</v>
      </c>
      <c r="Z94" s="1" t="s">
        <v>110</v>
      </c>
      <c r="AA94" s="1" t="s">
        <v>111</v>
      </c>
      <c r="AB94" s="3">
        <f>SUMIF('Zinszahlungen Anleihen'!K:K,aktuelleAnleihen[[#This Row],[ISIN]],'Zinszahlungen Anleihen'!D:D)</f>
        <v>67.11</v>
      </c>
      <c r="AE94" s="10"/>
      <c r="AF94" s="1"/>
      <c r="AH94" s="7"/>
      <c r="AJ94" s="1"/>
      <c r="AN94" s="1"/>
      <c r="AQ94" s="1"/>
    </row>
    <row r="95" spans="1:43" x14ac:dyDescent="0.2">
      <c r="A95" s="1" t="s">
        <v>402</v>
      </c>
      <c r="B95" s="1" t="s">
        <v>5</v>
      </c>
      <c r="C95" s="7">
        <v>8.3750000000000005E-2</v>
      </c>
      <c r="D95" s="7">
        <v>0.96443000000000001</v>
      </c>
      <c r="E95" s="7">
        <f>aktuelleAnleihen[[#This Row],[Aktueller Kurs]]-aktuelleAnleihen[[#This Row],[Kaufkurs]]</f>
        <v>-5.9700000000000308E-3</v>
      </c>
      <c r="F95" s="8">
        <f>aktuelleAnleihen[[#This Row],[Stückelung]]*aktuelleAnleihen[[#This Row],[Aktueller Kurs]]*aktuelleAnleihen[[#This Row],[Anteile]]/aktuelleAnleihen[[#This Row],[Aktueller Wechselkurs]]+aktuelleAnleihen[[#This Row],[Stückzinsen]]</f>
        <v>1973.8326027397261</v>
      </c>
      <c r="G95" s="8">
        <f>aktuelleAnleihen[[#This Row],[Kursdifferenz]]*aktuelleAnleihen[[#This Row],[Anteile]]*aktuelleAnleihen[[#This Row],[Stückelung]]/aktuelleAnleihen[[#This Row],[Wechselkurs am Kauftag]]</f>
        <v>-11.940000000000062</v>
      </c>
      <c r="H95" s="8">
        <f>aktuelleAnleihen[[#This Row],[Stückzinsen]]-aktuelleAnleihen[[#This Row],[Stückzinsen am Kauftag]]+aktuelleAnleihen[[#This Row],[Zinszahlungen]]</f>
        <v>29.828802739726029</v>
      </c>
      <c r="I95" s="8">
        <f>aktuelleAnleihen[[#This Row],[Gewinn gesamt]]-aktuelleAnleihen[[#This Row],[Gewinn aus Kursänderung]]-aktuelleAnleihen[[#This Row],[Gewinn aus Zinsen]]</f>
        <v>1.2079226507921703E-13</v>
      </c>
      <c r="J95" s="7">
        <f>aktuelleAnleihen[[#This Row],[Gewinn gesamt]]/aktuelleAnleihen[[#This Row],[Kaufpreis]]</f>
        <v>9.145867452697817E-3</v>
      </c>
      <c r="K95" s="3">
        <f>aktuelleAnleihen[[#This Row],[Verkaufspreis]]-aktuelleAnleihen[[#This Row],[Kaufpreis]]+aktuelleAnleihen[[#This Row],[Zinszahlungen]]</f>
        <v>17.888802739726088</v>
      </c>
      <c r="L95" s="4">
        <v>1955.9438</v>
      </c>
      <c r="M95" s="7">
        <v>0.97040000000000004</v>
      </c>
      <c r="N95" s="61">
        <v>1</v>
      </c>
      <c r="O95" s="1">
        <v>1</v>
      </c>
      <c r="P95" s="1" t="s">
        <v>925</v>
      </c>
      <c r="Q95" s="30">
        <v>45385</v>
      </c>
      <c r="R95" s="1">
        <v>2</v>
      </c>
      <c r="S95" s="1">
        <v>1000</v>
      </c>
      <c r="T95" s="9">
        <v>45352</v>
      </c>
      <c r="U95" s="1">
        <v>2</v>
      </c>
      <c r="V95" s="62">
        <f>aktuelleAnleihen[[#This Row],[Stückelung]]*aktuelleAnleihen[[#This Row],[Anteile]]*aktuelleAnleihen[[#This Row],[Coupon]]/aktuelleAnleihen[[#This Row],[Aktueller Wechselkurs]]*($AC$1-aktuelleAnleihen[[#This Row],[Letzte Zinszahlung]])/365</f>
        <v>44.972602739726028</v>
      </c>
      <c r="W95" s="4">
        <v>15.143800000000001</v>
      </c>
      <c r="X95" s="120" t="s">
        <v>276</v>
      </c>
      <c r="Y95" s="120" t="s">
        <v>52</v>
      </c>
      <c r="Z95" s="1" t="s">
        <v>403</v>
      </c>
      <c r="AA95" s="1" t="s">
        <v>404</v>
      </c>
      <c r="AB95" s="3">
        <f>SUMIF('Zinszahlungen Anleihen'!K:K,aktuelleAnleihen[[#This Row],[ISIN]],'Zinszahlungen Anleihen'!D:D)</f>
        <v>0</v>
      </c>
      <c r="AE95" s="10"/>
      <c r="AF95" s="1"/>
      <c r="AH95" s="7"/>
      <c r="AJ95" s="1"/>
      <c r="AN95" s="1"/>
      <c r="AQ95" s="1"/>
    </row>
    <row r="96" spans="1:43" x14ac:dyDescent="0.2">
      <c r="A96" s="1" t="s">
        <v>365</v>
      </c>
      <c r="B96" s="1" t="s">
        <v>9</v>
      </c>
      <c r="C96" s="7">
        <v>8.6470000000000005E-2</v>
      </c>
      <c r="D96" s="7">
        <v>0.99919999999999998</v>
      </c>
      <c r="E96" s="7">
        <f>aktuelleAnleihen[[#This Row],[Aktueller Kurs]]-aktuelleAnleihen[[#This Row],[Kaufkurs]]</f>
        <v>-5.9000000000001274E-3</v>
      </c>
      <c r="F96" s="8">
        <f>aktuelleAnleihen[[#This Row],[Stückelung]]*aktuelleAnleihen[[#This Row],[Aktueller Kurs]]*aktuelleAnleihen[[#This Row],[Anteile]]/aktuelleAnleihen[[#This Row],[Aktueller Wechselkurs]]+aktuelleAnleihen[[#This Row],[Stückzinsen]]</f>
        <v>2015.9309041095889</v>
      </c>
      <c r="G96" s="8">
        <f>aktuelleAnleihen[[#This Row],[Kursdifferenz]]*aktuelleAnleihen[[#This Row],[Anteile]]*aktuelleAnleihen[[#This Row],[Stückelung]]/aktuelleAnleihen[[#This Row],[Wechselkurs am Kauftag]]</f>
        <v>-11.800000000000255</v>
      </c>
      <c r="H96" s="8">
        <f>aktuelleAnleihen[[#This Row],[Stückzinsen]]-aktuelleAnleihen[[#This Row],[Stückzinsen am Kauftag]]+aktuelleAnleihen[[#This Row],[Zinszahlungen]]</f>
        <v>31.38980410958904</v>
      </c>
      <c r="I96" s="8">
        <f>aktuelleAnleihen[[#This Row],[Gewinn gesamt]]-aktuelleAnleihen[[#This Row],[Gewinn aus Kursänderung]]-aktuelleAnleihen[[#This Row],[Gewinn aus Zinsen]]</f>
        <v>1.5276668818842154E-13</v>
      </c>
      <c r="J96" s="7">
        <f>aktuelleAnleihen[[#This Row],[Gewinn gesamt]]/aktuelleAnleihen[[#This Row],[Kaufpreis]]</f>
        <v>9.6048409812161169E-3</v>
      </c>
      <c r="K96" s="3">
        <f>aktuelleAnleihen[[#This Row],[Verkaufspreis]]-aktuelleAnleihen[[#This Row],[Kaufpreis]]+aktuelleAnleihen[[#This Row],[Zinszahlungen]]</f>
        <v>19.58980410958894</v>
      </c>
      <c r="L96" s="4">
        <v>2039.5761</v>
      </c>
      <c r="M96" s="7">
        <v>1.0051000000000001</v>
      </c>
      <c r="N96" s="61">
        <v>1</v>
      </c>
      <c r="O96" s="1">
        <v>1</v>
      </c>
      <c r="P96" s="1" t="s">
        <v>925</v>
      </c>
      <c r="Q96" s="30">
        <v>45385</v>
      </c>
      <c r="R96" s="1">
        <v>2</v>
      </c>
      <c r="S96" s="1">
        <v>1000</v>
      </c>
      <c r="T96" s="9">
        <v>45413</v>
      </c>
      <c r="U96" s="1">
        <v>4</v>
      </c>
      <c r="V96" s="62">
        <f>aktuelleAnleihen[[#This Row],[Stückelung]]*aktuelleAnleihen[[#This Row],[Anteile]]*aktuelleAnleihen[[#This Row],[Coupon]]/aktuelleAnleihen[[#This Row],[Aktueller Wechselkurs]]*($AC$1-aktuelleAnleihen[[#This Row],[Letzte Zinszahlung]])/365</f>
        <v>17.530904109589041</v>
      </c>
      <c r="W96" s="4">
        <v>29.376100000000001</v>
      </c>
      <c r="X96" s="120" t="s">
        <v>102</v>
      </c>
      <c r="Y96" s="120" t="s">
        <v>61</v>
      </c>
      <c r="Z96" s="1" t="s">
        <v>366</v>
      </c>
      <c r="AA96" s="1" t="s">
        <v>367</v>
      </c>
      <c r="AB96" s="3">
        <f>SUMIF('Zinszahlungen Anleihen'!K:K,aktuelleAnleihen[[#This Row],[ISIN]],'Zinszahlungen Anleihen'!D:D)</f>
        <v>43.234999999999999</v>
      </c>
      <c r="AE96" s="10"/>
      <c r="AF96" s="1"/>
      <c r="AH96" s="7"/>
      <c r="AJ96" s="1"/>
      <c r="AN96" s="1"/>
      <c r="AQ96" s="1"/>
    </row>
    <row r="97" spans="1:43" x14ac:dyDescent="0.2">
      <c r="A97" s="1" t="s">
        <v>1299</v>
      </c>
      <c r="B97" s="1" t="s">
        <v>7</v>
      </c>
      <c r="C97" s="7">
        <v>0.09</v>
      </c>
      <c r="D97" s="7">
        <v>1.0349999999999999</v>
      </c>
      <c r="E97" s="7">
        <f>aktuelleAnleihen[[#This Row],[Aktueller Kurs]]-aktuelleAnleihen[[#This Row],[Kaufkurs]]</f>
        <v>-6.2999999999999723E-3</v>
      </c>
      <c r="F97" s="8">
        <f>aktuelleAnleihen[[#This Row],[Stückelung]]*aktuelleAnleihen[[#This Row],[Aktueller Kurs]]*aktuelleAnleihen[[#This Row],[Anteile]]/aktuelleAnleihen[[#This Row],[Aktueller Wechselkurs]]+aktuelleAnleihen[[#This Row],[Stückzinsen]]</f>
        <v>1963.5919063497197</v>
      </c>
      <c r="G97" s="8">
        <f>aktuelleAnleihen[[#This Row],[Kursdifferenz]]*aktuelleAnleihen[[#This Row],[Anteile]]*aktuelleAnleihen[[#This Row],[Stückelung]]/aktuelleAnleihen[[#This Row],[Wechselkurs am Kauftag]]</f>
        <v>-11.750442973048536</v>
      </c>
      <c r="H97" s="8">
        <f>aktuelleAnleihen[[#This Row],[Stückzinsen]]-aktuelleAnleihen[[#This Row],[Stückzinsen am Kauftag]]+aktuelleAnleihen[[#This Row],[Zinszahlungen]]</f>
        <v>16.490091924965064</v>
      </c>
      <c r="I97" s="8">
        <f>aktuelleAnleihen[[#This Row],[Gewinn gesamt]]-aktuelleAnleihen[[#This Row],[Gewinn aus Kursänderung]]-aktuelleAnleihen[[#This Row],[Gewinn aus Zinsen]]</f>
        <v>-29.778042602196869</v>
      </c>
      <c r="J97" s="7">
        <f>aktuelleAnleihen[[#This Row],[Gewinn gesamt]]/aktuelleAnleihen[[#This Row],[Kaufpreis]]</f>
        <v>-1.2590773483779434E-2</v>
      </c>
      <c r="K97" s="3">
        <f>aktuelleAnleihen[[#This Row],[Verkaufspreis]]-aktuelleAnleihen[[#This Row],[Kaufpreis]]+aktuelleAnleihen[[#This Row],[Zinszahlungen]]</f>
        <v>-25.038393650280341</v>
      </c>
      <c r="L97" s="4">
        <v>1988.6303</v>
      </c>
      <c r="M97" s="7">
        <v>1.0412999999999999</v>
      </c>
      <c r="N97" s="61">
        <v>1.0723</v>
      </c>
      <c r="O97" s="1">
        <v>1.0891</v>
      </c>
      <c r="P97" s="1" t="s">
        <v>887</v>
      </c>
      <c r="Q97" s="30">
        <v>45412</v>
      </c>
      <c r="R97" s="1">
        <v>2</v>
      </c>
      <c r="S97" s="1">
        <v>1000</v>
      </c>
      <c r="T97" s="9">
        <v>45311</v>
      </c>
      <c r="U97" s="1">
        <v>2</v>
      </c>
      <c r="V97" s="62">
        <f>aktuelleAnleihen[[#This Row],[Stückelung]]*aktuelleAnleihen[[#This Row],[Anteile]]*aktuelleAnleihen[[#This Row],[Coupon]]/aktuelleAnleihen[[#This Row],[Aktueller Wechselkurs]]*($AC$1-aktuelleAnleihen[[#This Row],[Letzte Zinszahlung]])/365</f>
        <v>62.939991924965064</v>
      </c>
      <c r="W97" s="4">
        <v>46.4499</v>
      </c>
      <c r="X97" s="120" t="s">
        <v>35</v>
      </c>
      <c r="Y97" s="120" t="s">
        <v>52</v>
      </c>
      <c r="Z97" s="1" t="s">
        <v>1310</v>
      </c>
      <c r="AA97" s="1" t="s">
        <v>1311</v>
      </c>
      <c r="AB97" s="3">
        <f>SUMIF('Zinszahlungen Anleihen'!K:K,aktuelleAnleihen[[#This Row],[ISIN]],'Zinszahlungen Anleihen'!D:D)</f>
        <v>0</v>
      </c>
      <c r="AE97" s="10"/>
      <c r="AF97" s="1"/>
      <c r="AH97" s="7"/>
      <c r="AJ97" s="1"/>
      <c r="AN97" s="1"/>
      <c r="AQ97" s="1"/>
    </row>
    <row r="98" spans="1:43" x14ac:dyDescent="0.2">
      <c r="A98" s="1" t="s">
        <v>317</v>
      </c>
      <c r="B98" s="1" t="s">
        <v>0</v>
      </c>
      <c r="C98" s="7">
        <v>9.1249999999999998E-2</v>
      </c>
      <c r="D98" s="7">
        <v>1.1089</v>
      </c>
      <c r="E98" s="7">
        <f>aktuelleAnleihen[[#This Row],[Aktueller Kurs]]-aktuelleAnleihen[[#This Row],[Kaufkurs]]</f>
        <v>-5.8000000000000274E-3</v>
      </c>
      <c r="F98" s="8">
        <f>aktuelleAnleihen[[#This Row],[Stückelung]]*aktuelleAnleihen[[#This Row],[Aktueller Kurs]]*aktuelleAnleihen[[#This Row],[Anteile]]/aktuelleAnleihen[[#This Row],[Aktueller Wechselkurs]]+aktuelleAnleihen[[#This Row],[Stückzinsen]]</f>
        <v>2263.8000000000002</v>
      </c>
      <c r="G98" s="8">
        <f>aktuelleAnleihen[[#This Row],[Kursdifferenz]]*aktuelleAnleihen[[#This Row],[Anteile]]*aktuelleAnleihen[[#This Row],[Stückelung]]/aktuelleAnleihen[[#This Row],[Wechselkurs am Kauftag]]</f>
        <v>-11.600000000000055</v>
      </c>
      <c r="H98" s="8">
        <f>aktuelleAnleihen[[#This Row],[Stückzinsen]]-aktuelleAnleihen[[#This Row],[Stückzinsen am Kauftag]]+aktuelleAnleihen[[#This Row],[Zinszahlungen]]</f>
        <v>32.5</v>
      </c>
      <c r="I98" s="8">
        <f>aktuelleAnleihen[[#This Row],[Gewinn gesamt]]-aktuelleAnleihen[[#This Row],[Gewinn aus Kursänderung]]-aktuelleAnleihen[[#This Row],[Gewinn aus Zinsen]]</f>
        <v>1.4210854715202004E-13</v>
      </c>
      <c r="J98" s="7">
        <f>aktuelleAnleihen[[#This Row],[Gewinn gesamt]]/aktuelleAnleihen[[#This Row],[Kaufpreis]]</f>
        <v>9.3182932810201482E-3</v>
      </c>
      <c r="K98" s="3">
        <f>aktuelleAnleihen[[#This Row],[Verkaufspreis]]-aktuelleAnleihen[[#This Row],[Kaufpreis]]+aktuelleAnleihen[[#This Row],[Zinszahlungen]]</f>
        <v>20.900000000000091</v>
      </c>
      <c r="L98" s="4">
        <v>2242.9</v>
      </c>
      <c r="M98" s="7">
        <v>1.1147</v>
      </c>
      <c r="N98" s="61">
        <v>1</v>
      </c>
      <c r="O98" s="1">
        <v>1</v>
      </c>
      <c r="P98" s="1" t="s">
        <v>925</v>
      </c>
      <c r="Q98" s="30">
        <v>45385</v>
      </c>
      <c r="R98" s="1">
        <v>2</v>
      </c>
      <c r="S98" s="1">
        <v>1000</v>
      </c>
      <c r="T98" s="9">
        <v>45358</v>
      </c>
      <c r="U98" s="1">
        <v>2</v>
      </c>
      <c r="V98" s="62">
        <f>aktuelleAnleihen[[#This Row],[Stückelung]]*aktuelleAnleihen[[#This Row],[Anteile]]*aktuelleAnleihen[[#This Row],[Coupon]]/aktuelleAnleihen[[#This Row],[Aktueller Wechselkurs]]*($AC$1-aktuelleAnleihen[[#This Row],[Letzte Zinszahlung]])/365</f>
        <v>46</v>
      </c>
      <c r="W98" s="4">
        <v>13.5</v>
      </c>
      <c r="X98" s="120" t="s">
        <v>170</v>
      </c>
      <c r="Y98" s="120" t="s">
        <v>81</v>
      </c>
      <c r="Z98" s="1" t="s">
        <v>318</v>
      </c>
      <c r="AA98" s="1" t="s">
        <v>319</v>
      </c>
      <c r="AB98" s="3">
        <f>SUMIF('Zinszahlungen Anleihen'!K:K,aktuelleAnleihen[[#This Row],[ISIN]],'Zinszahlungen Anleihen'!D:D)</f>
        <v>0</v>
      </c>
      <c r="AE98" s="10"/>
      <c r="AF98" s="1"/>
      <c r="AH98" s="7"/>
      <c r="AJ98" s="1"/>
      <c r="AN98" s="1"/>
      <c r="AQ98" s="1"/>
    </row>
    <row r="99" spans="1:43" x14ac:dyDescent="0.2">
      <c r="A99" s="1" t="s">
        <v>678</v>
      </c>
      <c r="B99" s="1" t="s">
        <v>11</v>
      </c>
      <c r="C99" s="7">
        <v>6.9599999999999995E-2</v>
      </c>
      <c r="D99" s="7">
        <v>1.0379</v>
      </c>
      <c r="E99" s="7">
        <f>aktuelleAnleihen[[#This Row],[Aktueller Kurs]]-aktuelleAnleihen[[#This Row],[Kaufkurs]]</f>
        <v>-5.6000000000000494E-3</v>
      </c>
      <c r="F99" s="8">
        <f>aktuelleAnleihen[[#This Row],[Stückelung]]*aktuelleAnleihen[[#This Row],[Aktueller Kurs]]*aktuelleAnleihen[[#This Row],[Anteile]]/aktuelleAnleihen[[#This Row],[Aktueller Wechselkurs]]+aktuelleAnleihen[[#This Row],[Stückzinsen]]</f>
        <v>2108.5978082191782</v>
      </c>
      <c r="G99" s="8">
        <f>aktuelleAnleihen[[#This Row],[Kursdifferenz]]*aktuelleAnleihen[[#This Row],[Anteile]]*aktuelleAnleihen[[#This Row],[Stückelung]]/aktuelleAnleihen[[#This Row],[Wechselkurs am Kauftag]]</f>
        <v>-11.200000000000099</v>
      </c>
      <c r="H99" s="8">
        <f>aktuelleAnleihen[[#This Row],[Stückzinsen]]-aktuelleAnleihen[[#This Row],[Stückzinsen am Kauftag]]+aktuelleAnleihen[[#This Row],[Zinszahlungen]]</f>
        <v>24.789008219178079</v>
      </c>
      <c r="I99" s="8">
        <f>aktuelleAnleihen[[#This Row],[Gewinn gesamt]]-aktuelleAnleihen[[#This Row],[Gewinn aus Kursänderung]]-aktuelleAnleihen[[#This Row],[Gewinn aus Zinsen]]</f>
        <v>1.5987211554602254E-13</v>
      </c>
      <c r="J99" s="7">
        <f>aktuelleAnleihen[[#This Row],[Gewinn gesamt]]/aktuelleAnleihen[[#This Row],[Kaufpreis]]</f>
        <v>6.4863728587575093E-3</v>
      </c>
      <c r="K99" s="3">
        <f>aktuelleAnleihen[[#This Row],[Verkaufspreis]]-aktuelleAnleihen[[#This Row],[Kaufpreis]]+aktuelleAnleihen[[#This Row],[Zinszahlungen]]</f>
        <v>13.58900821917814</v>
      </c>
      <c r="L99" s="4">
        <v>2095.0088000000001</v>
      </c>
      <c r="M99" s="7">
        <v>1.0435000000000001</v>
      </c>
      <c r="N99" s="61">
        <v>1</v>
      </c>
      <c r="O99" s="1">
        <v>1</v>
      </c>
      <c r="P99" s="1" t="s">
        <v>925</v>
      </c>
      <c r="Q99" s="30">
        <v>45385</v>
      </c>
      <c r="R99" s="1">
        <v>2</v>
      </c>
      <c r="S99" s="1">
        <v>1000</v>
      </c>
      <c r="T99" s="9">
        <v>45364</v>
      </c>
      <c r="U99" s="1">
        <v>1</v>
      </c>
      <c r="V99" s="62">
        <f>aktuelleAnleihen[[#This Row],[Stückelung]]*aktuelleAnleihen[[#This Row],[Anteile]]*aktuelleAnleihen[[#This Row],[Coupon]]/aktuelleAnleihen[[#This Row],[Aktueller Wechselkurs]]*($AC$1-aktuelleAnleihen[[#This Row],[Letzte Zinszahlung]])/365</f>
        <v>32.79780821917808</v>
      </c>
      <c r="W99" s="4">
        <v>8.0088000000000008</v>
      </c>
      <c r="X99" s="120" t="s">
        <v>679</v>
      </c>
      <c r="Y99" s="120" t="s">
        <v>61</v>
      </c>
      <c r="Z99" s="1" t="s">
        <v>680</v>
      </c>
      <c r="AA99" s="1" t="s">
        <v>681</v>
      </c>
      <c r="AB99" s="3">
        <f>SUMIF('Zinszahlungen Anleihen'!K:K,aktuelleAnleihen[[#This Row],[ISIN]],'Zinszahlungen Anleihen'!D:D)</f>
        <v>0</v>
      </c>
      <c r="AE99" s="10"/>
      <c r="AF99" s="1"/>
      <c r="AH99" s="7"/>
      <c r="AJ99" s="1"/>
      <c r="AN99" s="1"/>
      <c r="AQ99" s="1"/>
    </row>
    <row r="100" spans="1:43" x14ac:dyDescent="0.2">
      <c r="A100" s="1" t="s">
        <v>1296</v>
      </c>
      <c r="B100" s="1" t="s">
        <v>1</v>
      </c>
      <c r="C100" s="7">
        <v>9.1249999999999998E-2</v>
      </c>
      <c r="D100" s="7">
        <v>1.0248999999999999</v>
      </c>
      <c r="E100" s="7">
        <f>aktuelleAnleihen[[#This Row],[Aktueller Kurs]]-aktuelleAnleihen[[#This Row],[Kaufkurs]]</f>
        <v>-6.0000000000000053E-3</v>
      </c>
      <c r="F100" s="8">
        <f>aktuelleAnleihen[[#This Row],[Stückelung]]*aktuelleAnleihen[[#This Row],[Aktueller Kurs]]*aktuelleAnleihen[[#This Row],[Anteile]]/aktuelleAnleihen[[#This Row],[Aktueller Wechselkurs]]+aktuelleAnleihen[[#This Row],[Stückzinsen]]</f>
        <v>1940.8686071067852</v>
      </c>
      <c r="G100" s="8">
        <f>aktuelleAnleihen[[#This Row],[Kursdifferenz]]*aktuelleAnleihen[[#This Row],[Anteile]]*aktuelleAnleihen[[#This Row],[Stückelung]]/aktuelleAnleihen[[#This Row],[Wechselkurs am Kauftag]]</f>
        <v>-11.190898069570093</v>
      </c>
      <c r="H100" s="8">
        <f>aktuelleAnleihen[[#This Row],[Stückzinsen]]-aktuelleAnleihen[[#This Row],[Stückzinsen am Kauftag]]+aktuelleAnleihen[[#This Row],[Zinszahlungen]]</f>
        <v>16.7982171609586</v>
      </c>
      <c r="I100" s="8">
        <f>aktuelleAnleihen[[#This Row],[Gewinn gesamt]]-aktuelleAnleihen[[#This Row],[Gewinn aus Kursänderung]]-aktuelleAnleihen[[#This Row],[Gewinn aus Zinsen]]</f>
        <v>-29.487411984603359</v>
      </c>
      <c r="J100" s="7">
        <f>aktuelleAnleihen[[#This Row],[Gewinn gesamt]]/aktuelleAnleihen[[#This Row],[Kaufpreis]]</f>
        <v>-1.2154273415839313E-2</v>
      </c>
      <c r="K100" s="3">
        <f>aktuelleAnleihen[[#This Row],[Verkaufspreis]]-aktuelleAnleihen[[#This Row],[Kaufpreis]]+aktuelleAnleihen[[#This Row],[Zinszahlungen]]</f>
        <v>-23.880092893214851</v>
      </c>
      <c r="L100" s="4">
        <v>1964.7487000000001</v>
      </c>
      <c r="M100" s="7">
        <v>1.0308999999999999</v>
      </c>
      <c r="N100" s="61">
        <v>1.0723</v>
      </c>
      <c r="O100" s="1">
        <v>1.0891</v>
      </c>
      <c r="P100" s="1" t="s">
        <v>887</v>
      </c>
      <c r="Q100" s="30">
        <v>45412</v>
      </c>
      <c r="R100" s="1">
        <v>2</v>
      </c>
      <c r="S100" s="1">
        <v>1000</v>
      </c>
      <c r="T100" s="9">
        <v>45322</v>
      </c>
      <c r="U100" s="1">
        <v>2</v>
      </c>
      <c r="V100" s="62">
        <f>aktuelleAnleihen[[#This Row],[Stückelung]]*aktuelleAnleihen[[#This Row],[Anteile]]*aktuelleAnleihen[[#This Row],[Coupon]]/aktuelleAnleihen[[#This Row],[Aktueller Wechselkurs]]*($AC$1-aktuelleAnleihen[[#This Row],[Letzte Zinszahlung]])/365</f>
        <v>58.764117160958598</v>
      </c>
      <c r="W100" s="4">
        <v>41.965899999999998</v>
      </c>
      <c r="X100" s="120" t="s">
        <v>276</v>
      </c>
      <c r="Y100" s="120" t="s">
        <v>39</v>
      </c>
      <c r="Z100" s="1" t="s">
        <v>1297</v>
      </c>
      <c r="AA100" s="1" t="s">
        <v>1298</v>
      </c>
      <c r="AB100" s="3">
        <f>SUMIF('Zinszahlungen Anleihen'!K:K,aktuelleAnleihen[[#This Row],[ISIN]],'Zinszahlungen Anleihen'!D:D)</f>
        <v>0</v>
      </c>
      <c r="AE100" s="10"/>
      <c r="AF100" s="1"/>
      <c r="AH100" s="7"/>
      <c r="AJ100" s="1"/>
      <c r="AN100" s="1"/>
      <c r="AQ100" s="1"/>
    </row>
    <row r="101" spans="1:43" x14ac:dyDescent="0.2">
      <c r="A101" s="1" t="s">
        <v>754</v>
      </c>
      <c r="B101" s="1" t="s">
        <v>5</v>
      </c>
      <c r="C101" s="7">
        <v>6.5000000000000002E-2</v>
      </c>
      <c r="D101" s="7">
        <v>0.98375000000000001</v>
      </c>
      <c r="E101" s="7">
        <f>aktuelleAnleihen[[#This Row],[Aktueller Kurs]]-aktuelleAnleihen[[#This Row],[Kaufkurs]]</f>
        <v>-5.4499999999999549E-3</v>
      </c>
      <c r="F101" s="8">
        <f>aktuelleAnleihen[[#This Row],[Stückelung]]*aktuelleAnleihen[[#This Row],[Aktueller Kurs]]*aktuelleAnleihen[[#This Row],[Anteile]]/aktuelleAnleihen[[#This Row],[Aktueller Wechselkurs]]+aktuelleAnleihen[[#This Row],[Stückzinsen]]</f>
        <v>1991.3630136986301</v>
      </c>
      <c r="G101" s="8">
        <f>aktuelleAnleihen[[#This Row],[Kursdifferenz]]*aktuelleAnleihen[[#This Row],[Anteile]]*aktuelleAnleihen[[#This Row],[Stückelung]]/aktuelleAnleihen[[#This Row],[Wechselkurs am Kauftag]]</f>
        <v>-10.89999999999991</v>
      </c>
      <c r="H101" s="8">
        <f>aktuelleAnleihen[[#This Row],[Stückzinsen]]-aktuelleAnleihen[[#This Row],[Stückzinsen am Kauftag]]+aktuelleAnleihen[[#This Row],[Zinszahlungen]]</f>
        <v>23.150713698630138</v>
      </c>
      <c r="I101" s="8">
        <f>aktuelleAnleihen[[#This Row],[Gewinn gesamt]]-aktuelleAnleihen[[#This Row],[Gewinn aus Kursänderung]]-aktuelleAnleihen[[#This Row],[Gewinn aus Zinsen]]</f>
        <v>-1.4921397450962104E-13</v>
      </c>
      <c r="J101" s="7">
        <f>aktuelleAnleihen[[#This Row],[Gewinn gesamt]]/aktuelleAnleihen[[#This Row],[Kaufpreis]]</f>
        <v>6.1900043259950832E-3</v>
      </c>
      <c r="K101" s="3">
        <f>aktuelleAnleihen[[#This Row],[Verkaufspreis]]-aktuelleAnleihen[[#This Row],[Kaufpreis]]+aktuelleAnleihen[[#This Row],[Zinszahlungen]]</f>
        <v>12.250713698630079</v>
      </c>
      <c r="L101" s="4">
        <v>1979.1123</v>
      </c>
      <c r="M101" s="7">
        <v>0.98919999999999997</v>
      </c>
      <c r="N101" s="61">
        <v>1</v>
      </c>
      <c r="O101" s="1">
        <v>1</v>
      </c>
      <c r="P101" s="1" t="s">
        <v>925</v>
      </c>
      <c r="Q101" s="30">
        <v>45385</v>
      </c>
      <c r="R101" s="1">
        <v>2</v>
      </c>
      <c r="S101" s="1">
        <v>1000</v>
      </c>
      <c r="T101" s="9">
        <v>45383</v>
      </c>
      <c r="U101" s="1">
        <v>2</v>
      </c>
      <c r="V101" s="62">
        <f>aktuelleAnleihen[[#This Row],[Stückelung]]*aktuelleAnleihen[[#This Row],[Anteile]]*aktuelleAnleihen[[#This Row],[Coupon]]/aktuelleAnleihen[[#This Row],[Aktueller Wechselkurs]]*($AC$1-aktuelleAnleihen[[#This Row],[Letzte Zinszahlung]])/365</f>
        <v>23.863013698630137</v>
      </c>
      <c r="W101" s="4">
        <v>0.71230000000000004</v>
      </c>
      <c r="X101" s="120" t="s">
        <v>276</v>
      </c>
      <c r="Y101" s="120" t="s">
        <v>52</v>
      </c>
      <c r="Z101" s="1" t="s">
        <v>755</v>
      </c>
      <c r="AA101" s="1" t="s">
        <v>756</v>
      </c>
      <c r="AB101" s="3">
        <f>SUMIF('Zinszahlungen Anleihen'!K:K,aktuelleAnleihen[[#This Row],[ISIN]],'Zinszahlungen Anleihen'!D:D)</f>
        <v>0</v>
      </c>
      <c r="AE101" s="10"/>
      <c r="AF101" s="1"/>
      <c r="AH101" s="7"/>
      <c r="AJ101" s="1"/>
      <c r="AN101" s="1"/>
      <c r="AQ101" s="1"/>
    </row>
    <row r="102" spans="1:43" x14ac:dyDescent="0.2">
      <c r="A102" s="1" t="s">
        <v>592</v>
      </c>
      <c r="B102" s="1" t="s">
        <v>0</v>
      </c>
      <c r="C102" s="7">
        <v>7.3499999999999996E-2</v>
      </c>
      <c r="D102" s="7">
        <v>1.0142</v>
      </c>
      <c r="E102" s="7">
        <f>aktuelleAnleihen[[#This Row],[Aktueller Kurs]]-aktuelleAnleihen[[#This Row],[Kaufkurs]]</f>
        <v>-5.0000000000001155E-3</v>
      </c>
      <c r="F102" s="8">
        <f>aktuelleAnleihen[[#This Row],[Stückelung]]*aktuelleAnleihen[[#This Row],[Aktueller Kurs]]*aktuelleAnleihen[[#This Row],[Anteile]]/aktuelleAnleihen[[#This Row],[Aktueller Wechselkurs]]+aktuelleAnleihen[[#This Row],[Stückzinsen]]</f>
        <v>2066.6602739726027</v>
      </c>
      <c r="G102" s="8">
        <f>aktuelleAnleihen[[#This Row],[Kursdifferenz]]*aktuelleAnleihen[[#This Row],[Anteile]]*aktuelleAnleihen[[#This Row],[Stückelung]]/aktuelleAnleihen[[#This Row],[Wechselkurs am Kauftag]]</f>
        <v>-10.000000000000231</v>
      </c>
      <c r="H102" s="8">
        <f>aktuelleAnleihen[[#This Row],[Stückzinsen]]-aktuelleAnleihen[[#This Row],[Stückzinsen am Kauftag]]+aktuelleAnleihen[[#This Row],[Zinszahlungen]]</f>
        <v>26.178073972602739</v>
      </c>
      <c r="I102" s="8">
        <f>aktuelleAnleihen[[#This Row],[Gewinn gesamt]]-aktuelleAnleihen[[#This Row],[Gewinn aus Kursänderung]]-aktuelleAnleihen[[#This Row],[Gewinn aus Zinsen]]</f>
        <v>2.5224267119483557E-13</v>
      </c>
      <c r="J102" s="7">
        <f>aktuelleAnleihen[[#This Row],[Gewinn gesamt]]/aktuelleAnleihen[[#This Row],[Kaufpreis]]</f>
        <v>7.8898875457698494E-3</v>
      </c>
      <c r="K102" s="3">
        <f>aktuelleAnleihen[[#This Row],[Verkaufspreis]]-aktuelleAnleihen[[#This Row],[Kaufpreis]]+aktuelleAnleihen[[#This Row],[Zinszahlungen]]</f>
        <v>16.17807397260276</v>
      </c>
      <c r="L102" s="4">
        <v>2050.4821999999999</v>
      </c>
      <c r="M102" s="7">
        <v>1.0192000000000001</v>
      </c>
      <c r="N102" s="61">
        <v>1</v>
      </c>
      <c r="O102" s="1">
        <v>1</v>
      </c>
      <c r="P102" s="1" t="s">
        <v>925</v>
      </c>
      <c r="Q102" s="30">
        <v>45385</v>
      </c>
      <c r="R102" s="1">
        <v>2</v>
      </c>
      <c r="S102" s="1">
        <v>1000</v>
      </c>
      <c r="T102" s="9">
        <v>45355</v>
      </c>
      <c r="U102" s="1">
        <v>1</v>
      </c>
      <c r="V102" s="62">
        <f>aktuelleAnleihen[[#This Row],[Stückelung]]*aktuelleAnleihen[[#This Row],[Anteile]]*aktuelleAnleihen[[#This Row],[Coupon]]/aktuelleAnleihen[[#This Row],[Aktueller Wechselkurs]]*($AC$1-aktuelleAnleihen[[#This Row],[Letzte Zinszahlung]])/365</f>
        <v>38.260273972602739</v>
      </c>
      <c r="W102" s="4">
        <v>12.0822</v>
      </c>
      <c r="X102" s="120" t="s">
        <v>369</v>
      </c>
      <c r="Y102" s="120" t="s">
        <v>61</v>
      </c>
      <c r="Z102" s="1" t="s">
        <v>593</v>
      </c>
      <c r="AA102" s="1" t="s">
        <v>594</v>
      </c>
      <c r="AB102" s="3">
        <f>SUMIF('Zinszahlungen Anleihen'!K:K,aktuelleAnleihen[[#This Row],[ISIN]],'Zinszahlungen Anleihen'!D:D)</f>
        <v>0</v>
      </c>
      <c r="AE102" s="10"/>
      <c r="AF102" s="1"/>
      <c r="AH102" s="7"/>
      <c r="AJ102" s="1"/>
      <c r="AN102" s="1"/>
      <c r="AQ102" s="1"/>
    </row>
    <row r="103" spans="1:43" x14ac:dyDescent="0.2">
      <c r="A103" s="1" t="s">
        <v>519</v>
      </c>
      <c r="B103" s="1" t="s">
        <v>10</v>
      </c>
      <c r="C103" s="7">
        <v>7.7499999999999999E-2</v>
      </c>
      <c r="D103" s="7">
        <v>0.71</v>
      </c>
      <c r="E103" s="7">
        <f>aktuelleAnleihen[[#This Row],[Aktueller Kurs]]-aktuelleAnleihen[[#This Row],[Kaufkurs]]</f>
        <v>-5.0000000000000044E-3</v>
      </c>
      <c r="F103" s="8">
        <f>aktuelleAnleihen[[#This Row],[Stückelung]]*aktuelleAnleihen[[#This Row],[Aktueller Kurs]]*aktuelleAnleihen[[#This Row],[Anteile]]/aktuelleAnleihen[[#This Row],[Aktueller Wechselkurs]]+aktuelleAnleihen[[#This Row],[Stückzinsen]]</f>
        <v>1494.3150684931506</v>
      </c>
      <c r="G103" s="8">
        <f>aktuelleAnleihen[[#This Row],[Kursdifferenz]]*aktuelleAnleihen[[#This Row],[Anteile]]*aktuelleAnleihen[[#This Row],[Stückelung]]/aktuelleAnleihen[[#This Row],[Wechselkurs am Kauftag]]</f>
        <v>-10.000000000000009</v>
      </c>
      <c r="H103" s="8">
        <f>aktuelleAnleihen[[#This Row],[Stückzinsen]]-aktuelleAnleihen[[#This Row],[Stückzinsen am Kauftag]]+aktuelleAnleihen[[#This Row],[Zinszahlungen]]</f>
        <v>27.602768493150691</v>
      </c>
      <c r="I103" s="8">
        <f>aktuelleAnleihen[[#This Row],[Gewinn gesamt]]-aktuelleAnleihen[[#This Row],[Gewinn aus Kursänderung]]-aktuelleAnleihen[[#This Row],[Gewinn aus Zinsen]]</f>
        <v>4.9737991503207013E-14</v>
      </c>
      <c r="J103" s="7">
        <f>aktuelleAnleihen[[#This Row],[Gewinn gesamt]]/aktuelleAnleihen[[#This Row],[Kaufpreis]]</f>
        <v>1.1920242347240376E-2</v>
      </c>
      <c r="K103" s="3">
        <f>aktuelleAnleihen[[#This Row],[Verkaufspreis]]-aktuelleAnleihen[[#This Row],[Kaufpreis]]+aktuelleAnleihen[[#This Row],[Zinszahlungen]]</f>
        <v>17.602768493150734</v>
      </c>
      <c r="L103" s="4">
        <v>1476.7122999999999</v>
      </c>
      <c r="M103" s="7">
        <v>0.71499999999999997</v>
      </c>
      <c r="N103" s="61">
        <v>1</v>
      </c>
      <c r="O103" s="1">
        <v>1</v>
      </c>
      <c r="P103" s="1" t="s">
        <v>925</v>
      </c>
      <c r="Q103" s="30">
        <v>45385</v>
      </c>
      <c r="R103" s="1">
        <v>2</v>
      </c>
      <c r="S103" s="1">
        <v>1000</v>
      </c>
      <c r="T103" s="9">
        <v>45275</v>
      </c>
      <c r="U103" s="1">
        <v>2</v>
      </c>
      <c r="V103" s="62">
        <f>aktuelleAnleihen[[#This Row],[Stückelung]]*aktuelleAnleihen[[#This Row],[Anteile]]*aktuelleAnleihen[[#This Row],[Coupon]]/aktuelleAnleihen[[#This Row],[Aktueller Wechselkurs]]*($AC$1-aktuelleAnleihen[[#This Row],[Letzte Zinszahlung]])/365</f>
        <v>74.31506849315069</v>
      </c>
      <c r="W103" s="4">
        <v>46.712299999999999</v>
      </c>
      <c r="X103" s="120" t="s">
        <v>56</v>
      </c>
      <c r="Y103" s="120" t="s">
        <v>39</v>
      </c>
      <c r="Z103" s="1" t="s">
        <v>520</v>
      </c>
      <c r="AA103" s="1" t="s">
        <v>521</v>
      </c>
      <c r="AB103" s="3">
        <f>SUMIF('Zinszahlungen Anleihen'!K:K,aktuelleAnleihen[[#This Row],[ISIN]],'Zinszahlungen Anleihen'!D:D)</f>
        <v>0</v>
      </c>
      <c r="AE103" s="10"/>
      <c r="AF103" s="1"/>
      <c r="AH103" s="7"/>
      <c r="AJ103" s="1"/>
      <c r="AN103" s="1"/>
      <c r="AQ103" s="1"/>
    </row>
    <row r="104" spans="1:43" x14ac:dyDescent="0.2">
      <c r="A104" s="1" t="s">
        <v>320</v>
      </c>
      <c r="B104" s="1" t="s">
        <v>10</v>
      </c>
      <c r="C104" s="7">
        <v>0.09</v>
      </c>
      <c r="D104" s="7">
        <v>0.995</v>
      </c>
      <c r="E104" s="7">
        <f>aktuelleAnleihen[[#This Row],[Aktueller Kurs]]-aktuelleAnleihen[[#This Row],[Kaufkurs]]</f>
        <v>-5.0000000000000044E-3</v>
      </c>
      <c r="F104" s="8">
        <f>aktuelleAnleihen[[#This Row],[Stückelung]]*aktuelleAnleihen[[#This Row],[Aktueller Kurs]]*aktuelleAnleihen[[#This Row],[Anteile]]/aktuelleAnleihen[[#This Row],[Aktueller Wechselkurs]]+aktuelleAnleihen[[#This Row],[Stückzinsen]]</f>
        <v>2074.821917808219</v>
      </c>
      <c r="G104" s="8">
        <f>aktuelleAnleihen[[#This Row],[Kursdifferenz]]*aktuelleAnleihen[[#This Row],[Anteile]]*aktuelleAnleihen[[#This Row],[Stückelung]]/aktuelleAnleihen[[#This Row],[Wechselkurs am Kauftag]]</f>
        <v>-10.000000000000009</v>
      </c>
      <c r="H104" s="8">
        <f>aktuelleAnleihen[[#This Row],[Stückzinsen]]-aktuelleAnleihen[[#This Row],[Stückzinsen am Kauftag]]+aktuelleAnleihen[[#This Row],[Zinszahlungen]]</f>
        <v>32.054817808219184</v>
      </c>
      <c r="I104" s="8">
        <f>aktuelleAnleihen[[#This Row],[Gewinn gesamt]]-aktuelleAnleihen[[#This Row],[Gewinn aus Kursänderung]]-aktuelleAnleihen[[#This Row],[Gewinn aus Zinsen]]</f>
        <v>-1.6342482922482304E-13</v>
      </c>
      <c r="J104" s="7">
        <f>aktuelleAnleihen[[#This Row],[Gewinn gesamt]]/aktuelleAnleihen[[#This Row],[Kaufpreis]]</f>
        <v>1.0743945481306191E-2</v>
      </c>
      <c r="K104" s="3">
        <f>aktuelleAnleihen[[#This Row],[Verkaufspreis]]-aktuelleAnleihen[[#This Row],[Kaufpreis]]+aktuelleAnleihen[[#This Row],[Zinszahlungen]]</f>
        <v>22.054817808219013</v>
      </c>
      <c r="L104" s="4">
        <v>2052.7671</v>
      </c>
      <c r="M104" s="7">
        <v>1</v>
      </c>
      <c r="N104" s="61">
        <v>1</v>
      </c>
      <c r="O104" s="1">
        <v>1</v>
      </c>
      <c r="P104" s="1" t="s">
        <v>925</v>
      </c>
      <c r="Q104" s="30">
        <v>45385</v>
      </c>
      <c r="R104" s="1">
        <v>2</v>
      </c>
      <c r="S104" s="1">
        <v>1000</v>
      </c>
      <c r="T104" s="9">
        <v>45278</v>
      </c>
      <c r="U104" s="1">
        <v>2</v>
      </c>
      <c r="V104" s="62">
        <f>aktuelleAnleihen[[#This Row],[Stückelung]]*aktuelleAnleihen[[#This Row],[Anteile]]*aktuelleAnleihen[[#This Row],[Coupon]]/aktuelleAnleihen[[#This Row],[Aktueller Wechselkurs]]*($AC$1-aktuelleAnleihen[[#This Row],[Letzte Zinszahlung]])/365</f>
        <v>84.821917808219183</v>
      </c>
      <c r="W104" s="4">
        <v>52.767099999999999</v>
      </c>
      <c r="X104" s="120" t="s">
        <v>56</v>
      </c>
      <c r="Y104" s="120" t="s">
        <v>39</v>
      </c>
      <c r="Z104" s="1" t="s">
        <v>321</v>
      </c>
      <c r="AA104" s="1" t="s">
        <v>322</v>
      </c>
      <c r="AB104" s="3">
        <f>SUMIF('Zinszahlungen Anleihen'!K:K,aktuelleAnleihen[[#This Row],[ISIN]],'Zinszahlungen Anleihen'!D:D)</f>
        <v>0</v>
      </c>
      <c r="AE104" s="10"/>
      <c r="AF104" s="1"/>
      <c r="AH104" s="7"/>
      <c r="AJ104" s="1"/>
      <c r="AN104" s="1"/>
      <c r="AQ104" s="1"/>
    </row>
    <row r="105" spans="1:43" x14ac:dyDescent="0.2">
      <c r="A105" s="1" t="s">
        <v>960</v>
      </c>
      <c r="B105" s="1" t="s">
        <v>7</v>
      </c>
      <c r="C105" s="7">
        <v>0.08</v>
      </c>
      <c r="D105" s="7">
        <v>0.96499999999999997</v>
      </c>
      <c r="E105" s="7">
        <f>aktuelleAnleihen[[#This Row],[Aktueller Kurs]]-aktuelleAnleihen[[#This Row],[Kaufkurs]]</f>
        <v>-5.0000000000000044E-3</v>
      </c>
      <c r="F105" s="8">
        <f>aktuelleAnleihen[[#This Row],[Stückelung]]*aktuelleAnleihen[[#This Row],[Aktueller Kurs]]*aktuelleAnleihen[[#This Row],[Anteile]]/aktuelleAnleihen[[#This Row],[Aktueller Wechselkurs]]+aktuelleAnleihen[[#This Row],[Stückzinsen]]</f>
        <v>1937.013698630137</v>
      </c>
      <c r="G105" s="8">
        <f>aktuelleAnleihen[[#This Row],[Kursdifferenz]]*aktuelleAnleihen[[#This Row],[Anteile]]*aktuelleAnleihen[[#This Row],[Stückelung]]/aktuelleAnleihen[[#This Row],[Wechselkurs am Kauftag]]</f>
        <v>-10.000000000000009</v>
      </c>
      <c r="H105" s="8">
        <f>aktuelleAnleihen[[#This Row],[Stückzinsen]]-aktuelleAnleihen[[#This Row],[Stückzinsen am Kauftag]]+aktuelleAnleihen[[#This Row],[Zinszahlungen]]</f>
        <v>19.506898630136988</v>
      </c>
      <c r="I105" s="8">
        <f>aktuelleAnleihen[[#This Row],[Gewinn gesamt]]-aktuelleAnleihen[[#This Row],[Gewinn aus Kursänderung]]-aktuelleAnleihen[[#This Row],[Gewinn aus Zinsen]]</f>
        <v>-7.815970093361102E-14</v>
      </c>
      <c r="J105" s="7">
        <f>aktuelleAnleihen[[#This Row],[Gewinn gesamt]]/aktuelleAnleihen[[#This Row],[Kaufpreis]]</f>
        <v>4.7356744346454529E-3</v>
      </c>
      <c r="K105" s="3">
        <f>aktuelleAnleihen[[#This Row],[Verkaufspreis]]-aktuelleAnleihen[[#This Row],[Kaufpreis]]+aktuelleAnleihen[[#This Row],[Zinszahlungen]]</f>
        <v>9.5068986301369023</v>
      </c>
      <c r="L105" s="4">
        <v>2007.5068000000001</v>
      </c>
      <c r="M105" s="7">
        <v>0.97</v>
      </c>
      <c r="N105" s="61">
        <v>1</v>
      </c>
      <c r="O105" s="1">
        <v>1</v>
      </c>
      <c r="P105" s="1" t="s">
        <v>925</v>
      </c>
      <c r="Q105" s="30">
        <v>45406</v>
      </c>
      <c r="R105" s="1">
        <v>2</v>
      </c>
      <c r="S105" s="1">
        <v>1000</v>
      </c>
      <c r="T105" s="9">
        <v>45434</v>
      </c>
      <c r="U105" s="1">
        <v>2</v>
      </c>
      <c r="V105" s="62">
        <f>aktuelleAnleihen[[#This Row],[Stückelung]]*aktuelleAnleihen[[#This Row],[Anteile]]*aktuelleAnleihen[[#This Row],[Coupon]]/aktuelleAnleihen[[#This Row],[Aktueller Wechselkurs]]*($AC$1-aktuelleAnleihen[[#This Row],[Letzte Zinszahlung]])/365</f>
        <v>7.0136986301369859</v>
      </c>
      <c r="W105" s="4">
        <v>67.506799999999998</v>
      </c>
      <c r="X105" s="120" t="s">
        <v>56</v>
      </c>
      <c r="Y105" s="120" t="s">
        <v>52</v>
      </c>
      <c r="Z105" s="1" t="s">
        <v>961</v>
      </c>
      <c r="AA105" s="1" t="s">
        <v>962</v>
      </c>
      <c r="AB105" s="3">
        <f>SUMIF('Zinszahlungen Anleihen'!K:K,aktuelleAnleihen[[#This Row],[ISIN]],'Zinszahlungen Anleihen'!D:D)</f>
        <v>80</v>
      </c>
      <c r="AE105" s="10"/>
      <c r="AF105" s="1"/>
      <c r="AH105" s="7"/>
      <c r="AJ105" s="1"/>
      <c r="AN105" s="1"/>
      <c r="AQ105" s="1"/>
    </row>
    <row r="106" spans="1:43" x14ac:dyDescent="0.2">
      <c r="A106" s="1" t="s">
        <v>1850</v>
      </c>
      <c r="B106" s="1" t="s">
        <v>1</v>
      </c>
      <c r="C106" s="7">
        <v>8.9290000000000008E-2</v>
      </c>
      <c r="D106" s="7">
        <v>1.0059</v>
      </c>
      <c r="E106" s="7">
        <f>aktuelleAnleihen[[#This Row],[Aktueller Kurs]]-aktuelleAnleihen[[#This Row],[Kaufkurs]]</f>
        <v>-4.9999999999998934E-3</v>
      </c>
      <c r="F106" s="8">
        <f>aktuelleAnleihen[[#This Row],[Stückelung]]*aktuelleAnleihen[[#This Row],[Aktueller Kurs]]*aktuelleAnleihen[[#This Row],[Anteile]]/aktuelleAnleihen[[#This Row],[Aktueller Wechselkurs]]+aktuelleAnleihen[[#This Row],[Stückzinsen]]</f>
        <v>2042.623397260274</v>
      </c>
      <c r="G106" s="8">
        <f>aktuelleAnleihen[[#This Row],[Kursdifferenz]]*aktuelleAnleihen[[#This Row],[Anteile]]*aktuelleAnleihen[[#This Row],[Stückelung]]/aktuelleAnleihen[[#This Row],[Wechselkurs am Kauftag]]</f>
        <v>-9.9999999999997868</v>
      </c>
      <c r="H106" s="8">
        <f>aktuelleAnleihen[[#This Row],[Stückzinsen]]-aktuelleAnleihen[[#This Row],[Stückzinsen am Kauftag]]+aktuelleAnleihen[[#This Row],[Zinszahlungen]]</f>
        <v>31.924197260273981</v>
      </c>
      <c r="I106" s="8">
        <f>aktuelleAnleihen[[#This Row],[Gewinn gesamt]]-aktuelleAnleihen[[#This Row],[Gewinn aus Kursänderung]]-aktuelleAnleihen[[#This Row],[Gewinn aus Zinsen]]</f>
        <v>-1.5987211554602254E-13</v>
      </c>
      <c r="J106" s="7">
        <f>aktuelleAnleihen[[#This Row],[Gewinn gesamt]]/aktuelleAnleihen[[#This Row],[Kaufpreis]]</f>
        <v>1.0615275294197469E-2</v>
      </c>
      <c r="K106" s="3">
        <f>aktuelleAnleihen[[#This Row],[Verkaufspreis]]-aktuelleAnleihen[[#This Row],[Kaufpreis]]+aktuelleAnleihen[[#This Row],[Zinszahlungen]]</f>
        <v>21.924197260274035</v>
      </c>
      <c r="L106" s="4">
        <v>2065.3442</v>
      </c>
      <c r="M106" s="7">
        <v>1.0108999999999999</v>
      </c>
      <c r="N106" s="61">
        <v>1</v>
      </c>
      <c r="O106" s="1">
        <v>1</v>
      </c>
      <c r="P106" s="1" t="s">
        <v>925</v>
      </c>
      <c r="Q106" s="30">
        <v>45385</v>
      </c>
      <c r="R106" s="1">
        <v>2</v>
      </c>
      <c r="S106" s="1">
        <v>1000</v>
      </c>
      <c r="T106" s="9">
        <v>45387</v>
      </c>
      <c r="U106" s="1">
        <v>4</v>
      </c>
      <c r="V106" s="62">
        <f>aktuelleAnleihen[[#This Row],[Stückelung]]*aktuelleAnleihen[[#This Row],[Anteile]]*aktuelleAnleihen[[#This Row],[Coupon]]/aktuelleAnleihen[[#This Row],[Aktueller Wechselkurs]]*($AC$1-aktuelleAnleihen[[#This Row],[Letzte Zinszahlung]])/365</f>
        <v>30.823397260273975</v>
      </c>
      <c r="W106" s="4">
        <v>43.544199999999996</v>
      </c>
      <c r="X106" s="120" t="s">
        <v>98</v>
      </c>
      <c r="Y106" s="120" t="s">
        <v>109</v>
      </c>
      <c r="Z106" s="1" t="s">
        <v>332</v>
      </c>
      <c r="AA106" s="1" t="s">
        <v>1849</v>
      </c>
      <c r="AB106" s="3">
        <f>SUMIF('Zinszahlungen Anleihen'!K:K,aktuelleAnleihen[[#This Row],[ISIN]],'Zinszahlungen Anleihen'!D:D)</f>
        <v>44.645000000000003</v>
      </c>
      <c r="AE106" s="10"/>
      <c r="AF106" s="1"/>
      <c r="AH106" s="7"/>
      <c r="AJ106" s="1"/>
      <c r="AN106" s="1"/>
      <c r="AQ106" s="1"/>
    </row>
    <row r="107" spans="1:43" x14ac:dyDescent="0.2">
      <c r="A107" s="1" t="s">
        <v>47</v>
      </c>
      <c r="B107" s="1" t="s">
        <v>0</v>
      </c>
      <c r="C107" s="7">
        <v>8.8969999999999994E-2</v>
      </c>
      <c r="D107" s="7">
        <v>0.55509999999999993</v>
      </c>
      <c r="E107" s="7">
        <f>aktuelleAnleihen[[#This Row],[Aktueller Kurs]]-aktuelleAnleihen[[#This Row],[Kaufkurs]]</f>
        <v>-4.9000000000001265E-3</v>
      </c>
      <c r="F107" s="8">
        <f>aktuelleAnleihen[[#This Row],[Stückelung]]*aktuelleAnleihen[[#This Row],[Aktueller Kurs]]*aktuelleAnleihen[[#This Row],[Anteile]]/aktuelleAnleihen[[#This Row],[Aktueller Wechselkurs]]+aktuelleAnleihen[[#This Row],[Stückzinsen]]</f>
        <v>1128.7252602739725</v>
      </c>
      <c r="G107" s="8">
        <f>aktuelleAnleihen[[#This Row],[Kursdifferenz]]*aktuelleAnleihen[[#This Row],[Anteile]]*aktuelleAnleihen[[#This Row],[Stückelung]]/aktuelleAnleihen[[#This Row],[Wechselkurs am Kauftag]]</f>
        <v>-9.800000000000253</v>
      </c>
      <c r="H107" s="8">
        <f>aktuelleAnleihen[[#This Row],[Stückzinsen]]-aktuelleAnleihen[[#This Row],[Stückzinsen am Kauftag]]+aktuelleAnleihen[[#This Row],[Zinszahlungen]]</f>
        <v>35.222360273972598</v>
      </c>
      <c r="I107" s="8">
        <f>aktuelleAnleihen[[#This Row],[Gewinn gesamt]]-aktuelleAnleihen[[#This Row],[Gewinn aus Kursänderung]]-aktuelleAnleihen[[#This Row],[Gewinn aus Zinsen]]</f>
        <v>9.9475983006414026E-14</v>
      </c>
      <c r="J107" s="7">
        <f>aktuelleAnleihen[[#This Row],[Gewinn gesamt]]/aktuelleAnleihen[[#This Row],[Kaufpreis]]</f>
        <v>2.214900529442107E-2</v>
      </c>
      <c r="K107" s="3">
        <f>aktuelleAnleihen[[#This Row],[Verkaufspreis]]-aktuelleAnleihen[[#This Row],[Kaufpreis]]+aktuelleAnleihen[[#This Row],[Zinszahlungen]]</f>
        <v>25.422360273972444</v>
      </c>
      <c r="L107" s="4">
        <v>1147.7879</v>
      </c>
      <c r="M107" s="7">
        <v>0.56000000000000005</v>
      </c>
      <c r="N107" s="61">
        <v>1</v>
      </c>
      <c r="O107" s="1">
        <v>1</v>
      </c>
      <c r="P107" s="1" t="s">
        <v>925</v>
      </c>
      <c r="Q107" s="30">
        <v>45378</v>
      </c>
      <c r="R107" s="1">
        <v>2</v>
      </c>
      <c r="S107" s="1">
        <v>1000</v>
      </c>
      <c r="T107" s="9">
        <v>45412</v>
      </c>
      <c r="U107" s="1">
        <v>4</v>
      </c>
      <c r="V107" s="62">
        <f>aktuelleAnleihen[[#This Row],[Stückelung]]*aktuelleAnleihen[[#This Row],[Anteile]]*aktuelleAnleihen[[#This Row],[Coupon]]/aktuelleAnleihen[[#This Row],[Aktueller Wechselkurs]]*($AC$1-aktuelleAnleihen[[#This Row],[Letzte Zinszahlung]])/365</f>
        <v>18.525260273972602</v>
      </c>
      <c r="W107" s="4">
        <v>27.7879</v>
      </c>
      <c r="X107" s="120" t="s">
        <v>35</v>
      </c>
      <c r="Y107" s="120" t="s">
        <v>39</v>
      </c>
      <c r="Z107" s="1" t="s">
        <v>48</v>
      </c>
      <c r="AA107" s="1" t="s">
        <v>49</v>
      </c>
      <c r="AB107" s="3">
        <f>SUMIF('Zinszahlungen Anleihen'!K:K,aktuelleAnleihen[[#This Row],[ISIN]],'Zinszahlungen Anleihen'!D:D)</f>
        <v>44.484999999999999</v>
      </c>
      <c r="AE107" s="10"/>
      <c r="AF107" s="1"/>
      <c r="AH107" s="7"/>
      <c r="AJ107" s="1"/>
      <c r="AN107" s="1"/>
      <c r="AQ107" s="1"/>
    </row>
    <row r="108" spans="1:43" x14ac:dyDescent="0.2">
      <c r="A108" s="1" t="s">
        <v>580</v>
      </c>
      <c r="B108" s="1" t="s">
        <v>0</v>
      </c>
      <c r="C108" s="7">
        <v>7.4999999999999997E-2</v>
      </c>
      <c r="D108" s="7">
        <v>1.0286999999999999</v>
      </c>
      <c r="E108" s="7">
        <f>aktuelleAnleihen[[#This Row],[Aktueller Kurs]]-aktuelleAnleihen[[#This Row],[Kaufkurs]]</f>
        <v>-4.8000000000001375E-3</v>
      </c>
      <c r="F108" s="8">
        <f>aktuelleAnleihen[[#This Row],[Stückelung]]*aktuelleAnleihen[[#This Row],[Aktueller Kurs]]*aktuelleAnleihen[[#This Row],[Anteile]]/aktuelleAnleihen[[#This Row],[Aktueller Wechselkurs]]+aktuelleAnleihen[[#This Row],[Stückzinsen]]</f>
        <v>2093.5643835616438</v>
      </c>
      <c r="G108" s="8">
        <f>aktuelleAnleihen[[#This Row],[Kursdifferenz]]*aktuelleAnleihen[[#This Row],[Anteile]]*aktuelleAnleihen[[#This Row],[Stückelung]]/aktuelleAnleihen[[#This Row],[Wechselkurs am Kauftag]]</f>
        <v>-9.600000000000275</v>
      </c>
      <c r="H108" s="8">
        <f>aktuelleAnleihen[[#This Row],[Stückzinsen]]-aktuelleAnleihen[[#This Row],[Stückzinsen am Kauftag]]+aktuelleAnleihen[[#This Row],[Zinszahlungen]]</f>
        <v>26.712283561643837</v>
      </c>
      <c r="I108" s="8">
        <f>aktuelleAnleihen[[#This Row],[Gewinn gesamt]]-aktuelleAnleihen[[#This Row],[Gewinn aus Kursänderung]]-aktuelleAnleihen[[#This Row],[Gewinn aus Zinsen]]</f>
        <v>2.7355895326763857E-13</v>
      </c>
      <c r="J108" s="7">
        <f>aktuelleAnleihen[[#This Row],[Gewinn gesamt]]/aktuelleAnleihen[[#This Row],[Kaufpreis]]</f>
        <v>8.2411164512987498E-3</v>
      </c>
      <c r="K108" s="3">
        <f>aktuelleAnleihen[[#This Row],[Verkaufspreis]]-aktuelleAnleihen[[#This Row],[Kaufpreis]]+aktuelleAnleihen[[#This Row],[Zinszahlungen]]</f>
        <v>17.112283561643835</v>
      </c>
      <c r="L108" s="4">
        <v>2076.4521</v>
      </c>
      <c r="M108" s="7">
        <v>1.0335000000000001</v>
      </c>
      <c r="N108" s="61">
        <v>1</v>
      </c>
      <c r="O108" s="1">
        <v>1</v>
      </c>
      <c r="P108" s="1" t="s">
        <v>925</v>
      </c>
      <c r="Q108" s="30">
        <v>45385</v>
      </c>
      <c r="R108" s="1">
        <v>2</v>
      </c>
      <c r="S108" s="1">
        <v>1000</v>
      </c>
      <c r="T108" s="9">
        <v>45362</v>
      </c>
      <c r="U108" s="1">
        <v>2</v>
      </c>
      <c r="V108" s="62">
        <f>aktuelleAnleihen[[#This Row],[Stückelung]]*aktuelleAnleihen[[#This Row],[Anteile]]*aktuelleAnleihen[[#This Row],[Coupon]]/aktuelleAnleihen[[#This Row],[Aktueller Wechselkurs]]*($AC$1-aktuelleAnleihen[[#This Row],[Letzte Zinszahlung]])/365</f>
        <v>36.164383561643838</v>
      </c>
      <c r="W108" s="4">
        <v>9.4520999999999997</v>
      </c>
      <c r="X108" s="120" t="s">
        <v>170</v>
      </c>
      <c r="Y108" s="120" t="s">
        <v>61</v>
      </c>
      <c r="Z108" s="1" t="s">
        <v>581</v>
      </c>
      <c r="AA108" s="1" t="s">
        <v>582</v>
      </c>
      <c r="AB108" s="3">
        <f>SUMIF('Zinszahlungen Anleihen'!K:K,aktuelleAnleihen[[#This Row],[ISIN]],'Zinszahlungen Anleihen'!D:D)</f>
        <v>0</v>
      </c>
      <c r="AE108" s="10"/>
      <c r="AF108" s="1"/>
      <c r="AH108" s="7"/>
      <c r="AJ108" s="1"/>
      <c r="AN108" s="1"/>
      <c r="AQ108" s="1"/>
    </row>
    <row r="109" spans="1:43" x14ac:dyDescent="0.2">
      <c r="A109" s="1" t="s">
        <v>1091</v>
      </c>
      <c r="B109" s="1" t="s">
        <v>10</v>
      </c>
      <c r="C109" s="7">
        <v>0.1</v>
      </c>
      <c r="D109" s="7">
        <v>0.97499999999999998</v>
      </c>
      <c r="E109" s="7">
        <f>aktuelleAnleihen[[#This Row],[Aktueller Kurs]]-aktuelleAnleihen[[#This Row],[Kaufkurs]]</f>
        <v>-5.0999999999999934E-3</v>
      </c>
      <c r="F109" s="8">
        <f>aktuelleAnleihen[[#This Row],[Stückelung]]*aktuelleAnleihen[[#This Row],[Aktueller Kurs]]*aktuelleAnleihen[[#This Row],[Anteile]]/aktuelleAnleihen[[#This Row],[Aktueller Wechselkurs]]+aktuelleAnleihen[[#This Row],[Stückzinsen]]</f>
        <v>1809.0845400814799</v>
      </c>
      <c r="G109" s="8">
        <f>aktuelleAnleihen[[#This Row],[Kursdifferenz]]*aktuelleAnleihen[[#This Row],[Anteile]]*aktuelleAnleihen[[#This Row],[Stückelung]]/aktuelleAnleihen[[#This Row],[Wechselkurs am Kauftag]]</f>
        <v>-9.5122633591345576</v>
      </c>
      <c r="H109" s="8">
        <f>aktuelleAnleihen[[#This Row],[Stückzinsen]]-aktuelleAnleihen[[#This Row],[Stückzinsen am Kauftag]]+aktuelleAnleihen[[#This Row],[Zinszahlungen]]</f>
        <v>19.468880011017475</v>
      </c>
      <c r="I109" s="8">
        <f>aktuelleAnleihen[[#This Row],[Gewinn gesamt]]-aktuelleAnleihen[[#This Row],[Gewinn aus Kursänderung]]-aktuelleAnleihen[[#This Row],[Gewinn aus Zinsen]]</f>
        <v>-28.051741892908474</v>
      </c>
      <c r="J109" s="7">
        <f>aktuelleAnleihen[[#This Row],[Gewinn gesamt]]/aktuelleAnleihen[[#This Row],[Kaufpreis]]</f>
        <v>-9.4219720017199235E-3</v>
      </c>
      <c r="K109" s="3">
        <f>aktuelleAnleihen[[#This Row],[Verkaufspreis]]-aktuelleAnleihen[[#This Row],[Kaufpreis]]+aktuelleAnleihen[[#This Row],[Zinszahlungen]]</f>
        <v>-18.095125241025556</v>
      </c>
      <c r="L109" s="4">
        <v>1920.5242000000001</v>
      </c>
      <c r="M109" s="7">
        <v>0.98009999999999997</v>
      </c>
      <c r="N109" s="61">
        <v>1.0723</v>
      </c>
      <c r="O109" s="1">
        <v>1.0891</v>
      </c>
      <c r="P109" s="1" t="s">
        <v>887</v>
      </c>
      <c r="Q109" s="30">
        <v>45412</v>
      </c>
      <c r="R109" s="1">
        <v>2</v>
      </c>
      <c r="S109" s="1">
        <v>1000</v>
      </c>
      <c r="T109" s="9">
        <v>45413</v>
      </c>
      <c r="U109" s="1">
        <v>2</v>
      </c>
      <c r="V109" s="62">
        <f>aktuelleAnleihen[[#This Row],[Stückelung]]*aktuelleAnleihen[[#This Row],[Anteile]]*aktuelleAnleihen[[#This Row],[Coupon]]/aktuelleAnleihen[[#This Row],[Aktueller Wechselkurs]]*($AC$1-aktuelleAnleihen[[#This Row],[Letzte Zinszahlung]])/365</f>
        <v>18.615345333522843</v>
      </c>
      <c r="W109" s="4">
        <v>92.491</v>
      </c>
      <c r="X109" s="120" t="s">
        <v>284</v>
      </c>
      <c r="Y109" s="120" t="s">
        <v>109</v>
      </c>
      <c r="Z109" s="1" t="s">
        <v>1099</v>
      </c>
      <c r="AA109" s="1" t="s">
        <v>1100</v>
      </c>
      <c r="AB109" s="3">
        <f>SUMIF('Zinszahlungen Anleihen'!K:K,aktuelleAnleihen[[#This Row],[ISIN]],'Zinszahlungen Anleihen'!D:D)</f>
        <v>93.344534677494636</v>
      </c>
      <c r="AE109" s="10"/>
      <c r="AF109" s="1"/>
      <c r="AH109" s="7"/>
      <c r="AJ109" s="1"/>
      <c r="AN109" s="1"/>
      <c r="AQ109" s="1"/>
    </row>
    <row r="110" spans="1:43" x14ac:dyDescent="0.2">
      <c r="A110" s="1" t="s">
        <v>1526</v>
      </c>
      <c r="B110" s="1" t="s">
        <v>8</v>
      </c>
      <c r="C110" s="7">
        <v>8.8749999999999996E-2</v>
      </c>
      <c r="D110" s="7">
        <v>0.97124999999999995</v>
      </c>
      <c r="E110" s="7">
        <f>aktuelleAnleihen[[#This Row],[Aktueller Kurs]]-aktuelleAnleihen[[#This Row],[Kaufkurs]]</f>
        <v>-5.0499999999999989E-3</v>
      </c>
      <c r="F110" s="8">
        <f>aktuelleAnleihen[[#This Row],[Stückelung]]*aktuelleAnleihen[[#This Row],[Aktueller Kurs]]*aktuelleAnleihen[[#This Row],[Anteile]]/aktuelleAnleihen[[#This Row],[Aktueller Wechselkurs]]+aktuelleAnleihen[[#This Row],[Stückzinsen]]</f>
        <v>1840.290399387203</v>
      </c>
      <c r="G110" s="8">
        <f>aktuelleAnleihen[[#This Row],[Kursdifferenz]]*aktuelleAnleihen[[#This Row],[Anteile]]*aktuelleAnleihen[[#This Row],[Stückelung]]/aktuelleAnleihen[[#This Row],[Wechselkurs am Kauftag]]</f>
        <v>-9.4190058752214849</v>
      </c>
      <c r="H110" s="8">
        <f>aktuelleAnleihen[[#This Row],[Stückzinsen]]-aktuelleAnleihen[[#This Row],[Stückzinsen am Kauftag]]+aktuelleAnleihen[[#This Row],[Zinszahlungen]]</f>
        <v>16.345024619045766</v>
      </c>
      <c r="I110" s="8">
        <f>aktuelleAnleihen[[#This Row],[Gewinn gesamt]]-aktuelleAnleihen[[#This Row],[Gewinn aus Kursänderung]]-aktuelleAnleihen[[#This Row],[Gewinn aus Zinsen]]</f>
        <v>-27.943819356621198</v>
      </c>
      <c r="J110" s="7">
        <f>aktuelleAnleihen[[#This Row],[Gewinn gesamt]]/aktuelleAnleihen[[#This Row],[Kaufpreis]]</f>
        <v>-1.1291950797184969E-2</v>
      </c>
      <c r="K110" s="3">
        <f>aktuelleAnleihen[[#This Row],[Verkaufspreis]]-aktuelleAnleihen[[#This Row],[Kaufpreis]]+aktuelleAnleihen[[#This Row],[Zinszahlungen]]</f>
        <v>-21.017800612796918</v>
      </c>
      <c r="L110" s="4">
        <v>1861.3081999999999</v>
      </c>
      <c r="M110" s="7">
        <v>0.97629999999999995</v>
      </c>
      <c r="N110" s="61">
        <v>1.0723</v>
      </c>
      <c r="O110" s="1">
        <v>1.0891</v>
      </c>
      <c r="P110" s="1" t="s">
        <v>887</v>
      </c>
      <c r="Q110" s="30">
        <v>45412</v>
      </c>
      <c r="R110" s="1">
        <v>2</v>
      </c>
      <c r="S110" s="1">
        <v>1000</v>
      </c>
      <c r="T110" s="9">
        <v>45323</v>
      </c>
      <c r="U110" s="1">
        <v>2</v>
      </c>
      <c r="V110" s="62">
        <f>aktuelleAnleihen[[#This Row],[Stückelung]]*aktuelleAnleihen[[#This Row],[Anteile]]*aktuelleAnleihen[[#This Row],[Coupon]]/aktuelleAnleihen[[#This Row],[Aktueller Wechselkurs]]*($AC$1-aktuelleAnleihen[[#This Row],[Letzte Zinszahlung]])/365</f>
        <v>56.707624619045767</v>
      </c>
      <c r="W110" s="4">
        <v>40.3626</v>
      </c>
      <c r="X110" s="120" t="s">
        <v>276</v>
      </c>
      <c r="Y110" s="120" t="s">
        <v>1011</v>
      </c>
      <c r="Z110" s="1" t="s">
        <v>1527</v>
      </c>
      <c r="AA110" s="1" t="s">
        <v>1528</v>
      </c>
      <c r="AB110" s="3">
        <f>SUMIF('Zinszahlungen Anleihen'!K:K,aktuelleAnleihen[[#This Row],[ISIN]],'Zinszahlungen Anleihen'!D:D)</f>
        <v>0</v>
      </c>
      <c r="AE110" s="10"/>
      <c r="AF110" s="1"/>
      <c r="AH110" s="7"/>
      <c r="AJ110" s="1"/>
      <c r="AN110" s="1"/>
      <c r="AQ110" s="1"/>
    </row>
    <row r="111" spans="1:43" x14ac:dyDescent="0.2">
      <c r="A111" s="1" t="s">
        <v>450</v>
      </c>
      <c r="B111" s="1" t="s">
        <v>0</v>
      </c>
      <c r="C111" s="7">
        <v>0.08</v>
      </c>
      <c r="D111" s="7">
        <v>1.0134000000000001</v>
      </c>
      <c r="E111" s="7">
        <f>aktuelleAnleihen[[#This Row],[Aktueller Kurs]]-aktuelleAnleihen[[#This Row],[Kaufkurs]]</f>
        <v>-4.5999999999999375E-3</v>
      </c>
      <c r="F111" s="8">
        <f>aktuelleAnleihen[[#This Row],[Stückelung]]*aktuelleAnleihen[[#This Row],[Aktueller Kurs]]*aktuelleAnleihen[[#This Row],[Anteile]]/aktuelleAnleihen[[#This Row],[Aktueller Wechselkurs]]+aktuelleAnleihen[[#This Row],[Stückzinsen]]</f>
        <v>2053.5397260273976</v>
      </c>
      <c r="G111" s="8">
        <f>aktuelleAnleihen[[#This Row],[Kursdifferenz]]*aktuelleAnleihen[[#This Row],[Anteile]]*aktuelleAnleihen[[#This Row],[Stückelung]]/aktuelleAnleihen[[#This Row],[Wechselkurs am Kauftag]]</f>
        <v>-9.1999999999998749</v>
      </c>
      <c r="H111" s="8">
        <f>aktuelleAnleihen[[#This Row],[Stückzinsen]]-aktuelleAnleihen[[#This Row],[Stückzinsen am Kauftag]]+aktuelleAnleihen[[#This Row],[Zinszahlungen]]</f>
        <v>28.60272602739726</v>
      </c>
      <c r="I111" s="8">
        <f>aktuelleAnleihen[[#This Row],[Gewinn gesamt]]-aktuelleAnleihen[[#This Row],[Gewinn aus Kursänderung]]-aktuelleAnleihen[[#This Row],[Gewinn aus Zinsen]]</f>
        <v>3.5527136788005009E-14</v>
      </c>
      <c r="J111" s="7">
        <f>aktuelleAnleihen[[#This Row],[Gewinn gesamt]]/aktuelleAnleihen[[#This Row],[Kaufpreis]]</f>
        <v>9.3546019512681274E-3</v>
      </c>
      <c r="K111" s="3">
        <f>aktuelleAnleihen[[#This Row],[Verkaufspreis]]-aktuelleAnleihen[[#This Row],[Kaufpreis]]+aktuelleAnleihen[[#This Row],[Zinszahlungen]]</f>
        <v>19.402726027397421</v>
      </c>
      <c r="L111" s="4">
        <v>2074.1370000000002</v>
      </c>
      <c r="M111" s="7">
        <v>1.018</v>
      </c>
      <c r="N111" s="61">
        <v>1</v>
      </c>
      <c r="O111" s="1">
        <v>1</v>
      </c>
      <c r="P111" s="1" t="s">
        <v>925</v>
      </c>
      <c r="Q111" s="30">
        <v>45385</v>
      </c>
      <c r="R111" s="1">
        <v>2</v>
      </c>
      <c r="S111" s="1">
        <v>1000</v>
      </c>
      <c r="T111" s="9">
        <v>45389</v>
      </c>
      <c r="U111" s="1">
        <v>4</v>
      </c>
      <c r="V111" s="62">
        <f>aktuelleAnleihen[[#This Row],[Stückelung]]*aktuelleAnleihen[[#This Row],[Anteile]]*aktuelleAnleihen[[#This Row],[Coupon]]/aktuelleAnleihen[[#This Row],[Aktueller Wechselkurs]]*($AC$1-aktuelleAnleihen[[#This Row],[Letzte Zinszahlung]])/365</f>
        <v>26.739726027397261</v>
      </c>
      <c r="W111" s="4">
        <v>38.137</v>
      </c>
      <c r="X111" s="120" t="s">
        <v>35</v>
      </c>
      <c r="Y111" s="120" t="s">
        <v>81</v>
      </c>
      <c r="Z111" s="1" t="s">
        <v>451</v>
      </c>
      <c r="AA111" s="1" t="s">
        <v>452</v>
      </c>
      <c r="AB111" s="3">
        <f>SUMIF('Zinszahlungen Anleihen'!K:K,aktuelleAnleihen[[#This Row],[ISIN]],'Zinszahlungen Anleihen'!D:D)</f>
        <v>40</v>
      </c>
      <c r="AE111" s="10"/>
      <c r="AF111" s="1"/>
      <c r="AH111" s="7"/>
      <c r="AJ111" s="1"/>
      <c r="AN111" s="1"/>
      <c r="AQ111" s="1"/>
    </row>
    <row r="112" spans="1:43" x14ac:dyDescent="0.2">
      <c r="A112" s="1" t="s">
        <v>408</v>
      </c>
      <c r="B112" s="1" t="s">
        <v>0</v>
      </c>
      <c r="C112" s="7">
        <v>8.2500000000000004E-2</v>
      </c>
      <c r="D112" s="7">
        <v>1.0022</v>
      </c>
      <c r="E112" s="7">
        <f>aktuelleAnleihen[[#This Row],[Aktueller Kurs]]-aktuelleAnleihen[[#This Row],[Kaufkurs]]</f>
        <v>-4.5999999999999375E-3</v>
      </c>
      <c r="F112" s="8">
        <f>aktuelleAnleihen[[#This Row],[Stückelung]]*aktuelleAnleihen[[#This Row],[Aktueller Kurs]]*aktuelleAnleihen[[#This Row],[Anteile]]/aktuelleAnleihen[[#This Row],[Aktueller Wechselkurs]]+aktuelleAnleihen[[#This Row],[Stückzinsen]]</f>
        <v>2151.317808219178</v>
      </c>
      <c r="G112" s="8">
        <f>aktuelleAnleihen[[#This Row],[Kursdifferenz]]*aktuelleAnleihen[[#This Row],[Anteile]]*aktuelleAnleihen[[#This Row],[Stückelung]]/aktuelleAnleihen[[#This Row],[Wechselkurs am Kauftag]]</f>
        <v>-9.1999999999998749</v>
      </c>
      <c r="H112" s="8">
        <f>aktuelleAnleihen[[#This Row],[Stückzinsen]]-aktuelleAnleihen[[#This Row],[Stückzinsen am Kauftag]]+aktuelleAnleihen[[#This Row],[Zinszahlungen]]</f>
        <v>29.383608219178086</v>
      </c>
      <c r="I112" s="8">
        <f>aktuelleAnleihen[[#This Row],[Gewinn gesamt]]-aktuelleAnleihen[[#This Row],[Gewinn aus Kursänderung]]-aktuelleAnleihen[[#This Row],[Gewinn aus Zinsen]]</f>
        <v>-1.7053025658242404E-13</v>
      </c>
      <c r="J112" s="7">
        <f>aktuelleAnleihen[[#This Row],[Gewinn gesamt]]/aktuelleAnleihen[[#This Row],[Kaufpreis]]</f>
        <v>9.4708292979287928E-3</v>
      </c>
      <c r="K112" s="3">
        <f>aktuelleAnleihen[[#This Row],[Verkaufspreis]]-aktuelleAnleihen[[#This Row],[Kaufpreis]]+aktuelleAnleihen[[#This Row],[Zinszahlungen]]</f>
        <v>20.183608219178041</v>
      </c>
      <c r="L112" s="4">
        <v>2131.1342</v>
      </c>
      <c r="M112" s="7">
        <v>1.0067999999999999</v>
      </c>
      <c r="N112" s="61">
        <v>1</v>
      </c>
      <c r="O112" s="1">
        <v>1</v>
      </c>
      <c r="P112" s="1" t="s">
        <v>925</v>
      </c>
      <c r="Q112" s="30">
        <v>45385</v>
      </c>
      <c r="R112" s="1">
        <v>2</v>
      </c>
      <c r="S112" s="1">
        <v>1000</v>
      </c>
      <c r="T112" s="9">
        <v>45125</v>
      </c>
      <c r="U112" s="1">
        <v>1</v>
      </c>
      <c r="V112" s="62">
        <f>aktuelleAnleihen[[#This Row],[Stückelung]]*aktuelleAnleihen[[#This Row],[Anteile]]*aktuelleAnleihen[[#This Row],[Coupon]]/aktuelleAnleihen[[#This Row],[Aktueller Wechselkurs]]*($AC$1-aktuelleAnleihen[[#This Row],[Letzte Zinszahlung]])/365</f>
        <v>146.91780821917808</v>
      </c>
      <c r="W112" s="4">
        <v>117.5342</v>
      </c>
      <c r="X112" s="120" t="s">
        <v>183</v>
      </c>
      <c r="Y112" s="120" t="s">
        <v>61</v>
      </c>
      <c r="Z112" s="1" t="s">
        <v>409</v>
      </c>
      <c r="AA112" s="1" t="s">
        <v>410</v>
      </c>
      <c r="AB112" s="3">
        <f>SUMIF('Zinszahlungen Anleihen'!K:K,aktuelleAnleihen[[#This Row],[ISIN]],'Zinszahlungen Anleihen'!D:D)</f>
        <v>0</v>
      </c>
      <c r="AE112" s="10"/>
      <c r="AF112" s="1"/>
      <c r="AH112" s="7"/>
      <c r="AJ112" s="1"/>
      <c r="AN112" s="1"/>
      <c r="AQ112" s="1"/>
    </row>
    <row r="113" spans="1:43" x14ac:dyDescent="0.2">
      <c r="A113" s="1" t="s">
        <v>607</v>
      </c>
      <c r="B113" s="1" t="s">
        <v>10</v>
      </c>
      <c r="C113" s="7">
        <v>7.2499999999999995E-2</v>
      </c>
      <c r="D113" s="7">
        <v>1.0438000000000001</v>
      </c>
      <c r="E113" s="7">
        <f>aktuelleAnleihen[[#This Row],[Aktueller Kurs]]-aktuelleAnleihen[[#This Row],[Kaufkurs]]</f>
        <v>-4.3999999999999595E-3</v>
      </c>
      <c r="F113" s="8">
        <f>aktuelleAnleihen[[#This Row],[Stückelung]]*aktuelleAnleihen[[#This Row],[Aktueller Kurs]]*aktuelleAnleihen[[#This Row],[Anteile]]/aktuelleAnleihen[[#This Row],[Aktueller Wechselkurs]]+aktuelleAnleihen[[#This Row],[Stückzinsen]]</f>
        <v>2157.1205479452055</v>
      </c>
      <c r="G113" s="8">
        <f>aktuelleAnleihen[[#This Row],[Kursdifferenz]]*aktuelleAnleihen[[#This Row],[Anteile]]*aktuelleAnleihen[[#This Row],[Stückelung]]/aktuelleAnleihen[[#This Row],[Wechselkurs am Kauftag]]</f>
        <v>-8.799999999999919</v>
      </c>
      <c r="H113" s="8">
        <f>aktuelleAnleihen[[#This Row],[Stückzinsen]]-aktuelleAnleihen[[#This Row],[Stückzinsen am Kauftag]]+aktuelleAnleihen[[#This Row],[Zinszahlungen]]</f>
        <v>25.82194794520548</v>
      </c>
      <c r="I113" s="8">
        <f>aktuelleAnleihen[[#This Row],[Gewinn gesamt]]-aktuelleAnleihen[[#This Row],[Gewinn aus Kursänderung]]-aktuelleAnleihen[[#This Row],[Gewinn aus Zinsen]]</f>
        <v>1.7763568394002505E-13</v>
      </c>
      <c r="J113" s="7">
        <f>aktuelleAnleihen[[#This Row],[Gewinn gesamt]]/aktuelleAnleihen[[#This Row],[Kaufpreis]]</f>
        <v>7.953814812647295E-3</v>
      </c>
      <c r="K113" s="3">
        <f>aktuelleAnleihen[[#This Row],[Verkaufspreis]]-aktuelleAnleihen[[#This Row],[Kaufpreis]]+aktuelleAnleihen[[#This Row],[Zinszahlungen]]</f>
        <v>17.021947945205739</v>
      </c>
      <c r="L113" s="4">
        <v>2140.0985999999998</v>
      </c>
      <c r="M113" s="7">
        <v>1.0482</v>
      </c>
      <c r="N113" s="61">
        <v>1</v>
      </c>
      <c r="O113" s="1">
        <v>1</v>
      </c>
      <c r="P113" s="1" t="s">
        <v>925</v>
      </c>
      <c r="Q113" s="30">
        <v>45385</v>
      </c>
      <c r="R113" s="1">
        <v>2</v>
      </c>
      <c r="S113" s="1">
        <v>1000</v>
      </c>
      <c r="T113" s="9">
        <v>45275</v>
      </c>
      <c r="U113" s="1">
        <v>2</v>
      </c>
      <c r="V113" s="62">
        <f>aktuelleAnleihen[[#This Row],[Stückelung]]*aktuelleAnleihen[[#This Row],[Anteile]]*aktuelleAnleihen[[#This Row],[Coupon]]/aktuelleAnleihen[[#This Row],[Aktueller Wechselkurs]]*($AC$1-aktuelleAnleihen[[#This Row],[Letzte Zinszahlung]])/365</f>
        <v>69.520547945205479</v>
      </c>
      <c r="W113" s="4">
        <v>43.698599999999999</v>
      </c>
      <c r="X113" s="120" t="s">
        <v>102</v>
      </c>
      <c r="Y113" s="120" t="s">
        <v>44</v>
      </c>
      <c r="Z113" s="1" t="s">
        <v>608</v>
      </c>
      <c r="AA113" s="1" t="s">
        <v>609</v>
      </c>
      <c r="AB113" s="3">
        <f>SUMIF('Zinszahlungen Anleihen'!K:K,aktuelleAnleihen[[#This Row],[ISIN]],'Zinszahlungen Anleihen'!D:D)</f>
        <v>0</v>
      </c>
      <c r="AE113" s="10"/>
      <c r="AF113" s="1"/>
      <c r="AH113" s="7"/>
      <c r="AJ113" s="1"/>
      <c r="AN113" s="1"/>
      <c r="AQ113" s="1"/>
    </row>
    <row r="114" spans="1:43" x14ac:dyDescent="0.2">
      <c r="A114" s="1" t="s">
        <v>213</v>
      </c>
      <c r="B114" s="1" t="s">
        <v>10</v>
      </c>
      <c r="C114" s="7">
        <v>0.10375</v>
      </c>
      <c r="D114" s="7">
        <v>1.0693999999999999</v>
      </c>
      <c r="E114" s="7">
        <f>aktuelleAnleihen[[#This Row],[Aktueller Kurs]]-aktuelleAnleihen[[#This Row],[Kaufkurs]]</f>
        <v>-4.3000000000001926E-3</v>
      </c>
      <c r="F114" s="8">
        <f>aktuelleAnleihen[[#This Row],[Stückelung]]*aktuelleAnleihen[[#This Row],[Aktueller Kurs]]*aktuelleAnleihen[[#This Row],[Anteile]]/aktuelleAnleihen[[#This Row],[Aktueller Wechselkurs]]+aktuelleAnleihen[[#This Row],[Stückzinsen]]</f>
        <v>2186.5534246575339</v>
      </c>
      <c r="G114" s="8">
        <f>aktuelleAnleihen[[#This Row],[Kursdifferenz]]*aktuelleAnleihen[[#This Row],[Anteile]]*aktuelleAnleihen[[#This Row],[Stückelung]]/aktuelleAnleihen[[#This Row],[Wechselkurs am Kauftag]]</f>
        <v>-8.6000000000003851</v>
      </c>
      <c r="H114" s="8">
        <f>aktuelleAnleihen[[#This Row],[Stückzinsen]]-aktuelleAnleihen[[#This Row],[Stückzinsen am Kauftag]]+aktuelleAnleihen[[#This Row],[Zinszahlungen]]</f>
        <v>36.952024657534245</v>
      </c>
      <c r="I114" s="8">
        <f>aktuelleAnleihen[[#This Row],[Gewinn gesamt]]-aktuelleAnleihen[[#This Row],[Gewinn aus Kursänderung]]-aktuelleAnleihen[[#This Row],[Gewinn aus Zinsen]]</f>
        <v>1.4210854715202004E-13</v>
      </c>
      <c r="J114" s="7">
        <f>aktuelleAnleihen[[#This Row],[Gewinn gesamt]]/aktuelleAnleihen[[#This Row],[Kaufpreis]]</f>
        <v>1.3136876223661982E-2</v>
      </c>
      <c r="K114" s="3">
        <f>aktuelleAnleihen[[#This Row],[Verkaufspreis]]-aktuelleAnleihen[[#This Row],[Kaufpreis]]+aktuelleAnleihen[[#This Row],[Zinszahlungen]]</f>
        <v>28.352024657534002</v>
      </c>
      <c r="L114" s="4">
        <v>2158.2013999999999</v>
      </c>
      <c r="M114" s="7">
        <v>1.0737000000000001</v>
      </c>
      <c r="N114" s="61">
        <v>1</v>
      </c>
      <c r="O114" s="1">
        <v>1</v>
      </c>
      <c r="P114" s="1" t="s">
        <v>925</v>
      </c>
      <c r="Q114" s="30">
        <v>45385</v>
      </c>
      <c r="R114" s="1">
        <v>2</v>
      </c>
      <c r="S114" s="1">
        <v>1000</v>
      </c>
      <c r="T114" s="9">
        <v>45366</v>
      </c>
      <c r="U114" s="1">
        <v>2</v>
      </c>
      <c r="V114" s="62">
        <f>aktuelleAnleihen[[#This Row],[Stückelung]]*aktuelleAnleihen[[#This Row],[Anteile]]*aktuelleAnleihen[[#This Row],[Coupon]]/aktuelleAnleihen[[#This Row],[Aktueller Wechselkurs]]*($AC$1-aktuelleAnleihen[[#This Row],[Letzte Zinszahlung]])/365</f>
        <v>47.753424657534246</v>
      </c>
      <c r="W114" s="4">
        <v>10.801399999999999</v>
      </c>
      <c r="X114" s="120" t="s">
        <v>35</v>
      </c>
      <c r="Y114" s="120" t="s">
        <v>39</v>
      </c>
      <c r="Z114" s="1" t="s">
        <v>214</v>
      </c>
      <c r="AA114" s="1" t="s">
        <v>215</v>
      </c>
      <c r="AB114" s="3">
        <f>SUMIF('Zinszahlungen Anleihen'!K:K,aktuelleAnleihen[[#This Row],[ISIN]],'Zinszahlungen Anleihen'!D:D)</f>
        <v>0</v>
      </c>
      <c r="AE114" s="10"/>
      <c r="AF114" s="1"/>
      <c r="AH114" s="7"/>
      <c r="AJ114" s="1"/>
      <c r="AN114" s="1"/>
      <c r="AQ114" s="1"/>
    </row>
    <row r="115" spans="1:43" x14ac:dyDescent="0.2">
      <c r="A115" s="1" t="s">
        <v>1419</v>
      </c>
      <c r="B115" s="1" t="s">
        <v>0</v>
      </c>
      <c r="C115" s="7">
        <v>8.6059999999999998E-2</v>
      </c>
      <c r="D115" s="7">
        <v>0.91610000000000003</v>
      </c>
      <c r="E115" s="7">
        <f>aktuelleAnleihen[[#This Row],[Aktueller Kurs]]-aktuelleAnleihen[[#This Row],[Kaufkurs]]</f>
        <v>-4.3999999999999595E-3</v>
      </c>
      <c r="F115" s="8">
        <f>aktuelleAnleihen[[#This Row],[Stückelung]]*aktuelleAnleihen[[#This Row],[Aktueller Kurs]]*aktuelleAnleihen[[#This Row],[Anteile]]/aktuelleAnleihen[[#This Row],[Aktueller Wechselkurs]]+aktuelleAnleihen[[#This Row],[Stückzinsen]]</f>
        <v>1737.2953161023997</v>
      </c>
      <c r="G115" s="8">
        <f>aktuelleAnleihen[[#This Row],[Kursdifferenz]]*aktuelleAnleihen[[#This Row],[Anteile]]*aktuelleAnleihen[[#This Row],[Stückelung]]/aktuelleAnleihen[[#This Row],[Wechselkurs am Kauftag]]</f>
        <v>-8.2066585843513185</v>
      </c>
      <c r="H115" s="8">
        <f>aktuelleAnleihen[[#This Row],[Stückzinsen]]-aktuelleAnleihen[[#This Row],[Stückzinsen am Kauftag]]+aktuelleAnleihen[[#This Row],[Zinszahlungen]]</f>
        <v>15.849624503831876</v>
      </c>
      <c r="I115" s="8">
        <f>aktuelleAnleihen[[#This Row],[Gewinn gesamt]]-aktuelleAnleihen[[#This Row],[Gewinn aus Kursänderung]]-aktuelleAnleihen[[#This Row],[Gewinn aus Zinsen]]</f>
        <v>-26.35714981708071</v>
      </c>
      <c r="J115" s="7">
        <f>aktuelleAnleihen[[#This Row],[Gewinn gesamt]]/aktuelleAnleihen[[#This Row],[Kaufpreis]]</f>
        <v>-1.0657222468101768E-2</v>
      </c>
      <c r="K115" s="3">
        <f>aktuelleAnleihen[[#This Row],[Verkaufspreis]]-aktuelleAnleihen[[#This Row],[Kaufpreis]]+aktuelleAnleihen[[#This Row],[Zinszahlungen]]</f>
        <v>-18.714183897600151</v>
      </c>
      <c r="L115" s="4">
        <v>1756.0094999999999</v>
      </c>
      <c r="M115" s="7">
        <v>0.92049999999999998</v>
      </c>
      <c r="N115" s="61">
        <v>1.0723</v>
      </c>
      <c r="O115" s="1">
        <v>1.0891</v>
      </c>
      <c r="P115" s="1" t="s">
        <v>887</v>
      </c>
      <c r="Q115" s="30">
        <v>45412</v>
      </c>
      <c r="R115" s="1">
        <v>2</v>
      </c>
      <c r="S115" s="1">
        <v>1000</v>
      </c>
      <c r="T115" s="9">
        <v>45323</v>
      </c>
      <c r="U115" s="1">
        <v>2</v>
      </c>
      <c r="V115" s="62">
        <f>aktuelleAnleihen[[#This Row],[Stückelung]]*aktuelleAnleihen[[#This Row],[Anteile]]*aktuelleAnleihen[[#This Row],[Coupon]]/aktuelleAnleihen[[#This Row],[Aktueller Wechselkurs]]*($AC$1-aktuelleAnleihen[[#This Row],[Letzte Zinszahlung]])/365</f>
        <v>54.988824503831879</v>
      </c>
      <c r="W115" s="4">
        <v>39.139200000000002</v>
      </c>
      <c r="X115" s="120" t="s">
        <v>1004</v>
      </c>
      <c r="Y115" s="120" t="s">
        <v>52</v>
      </c>
      <c r="Z115" s="1" t="s">
        <v>1420</v>
      </c>
      <c r="AA115" s="1" t="s">
        <v>1421</v>
      </c>
      <c r="AB115" s="3">
        <f>SUMIF('Zinszahlungen Anleihen'!K:K,aktuelleAnleihen[[#This Row],[ISIN]],'Zinszahlungen Anleihen'!D:D)</f>
        <v>0</v>
      </c>
      <c r="AE115" s="10"/>
      <c r="AF115" s="1"/>
      <c r="AH115" s="7"/>
      <c r="AJ115" s="1"/>
      <c r="AN115" s="1"/>
      <c r="AQ115" s="1"/>
    </row>
    <row r="116" spans="1:43" x14ac:dyDescent="0.2">
      <c r="A116" s="1" t="s">
        <v>791</v>
      </c>
      <c r="B116" s="1" t="s">
        <v>11</v>
      </c>
      <c r="C116" s="7">
        <v>6.3750000000000001E-2</v>
      </c>
      <c r="D116" s="7">
        <v>1.0593999999999999</v>
      </c>
      <c r="E116" s="7">
        <f>aktuelleAnleihen[[#This Row],[Aktueller Kurs]]-aktuelleAnleihen[[#This Row],[Kaufkurs]]</f>
        <v>-4.0000000000000036E-3</v>
      </c>
      <c r="F116" s="8">
        <f>aktuelleAnleihen[[#This Row],[Stückelung]]*aktuelleAnleihen[[#This Row],[Aktueller Kurs]]*aktuelleAnleihen[[#This Row],[Anteile]]/aktuelleAnleihen[[#This Row],[Aktueller Wechselkurs]]+aktuelleAnleihen[[#This Row],[Stückzinsen]]</f>
        <v>2210.6698630136984</v>
      </c>
      <c r="G116" s="8">
        <f>aktuelleAnleihen[[#This Row],[Kursdifferenz]]*aktuelleAnleihen[[#This Row],[Anteile]]*aktuelleAnleihen[[#This Row],[Stückelung]]/aktuelleAnleihen[[#This Row],[Wechselkurs am Kauftag]]</f>
        <v>-8.0000000000000071</v>
      </c>
      <c r="H116" s="8">
        <f>aktuelleAnleihen[[#This Row],[Stückzinsen]]-aktuelleAnleihen[[#This Row],[Stückzinsen am Kauftag]]+aktuelleAnleihen[[#This Row],[Zinszahlungen]]</f>
        <v>22.705463013698633</v>
      </c>
      <c r="I116" s="8">
        <f>aktuelleAnleihen[[#This Row],[Gewinn gesamt]]-aktuelleAnleihen[[#This Row],[Gewinn aus Kursänderung]]-aktuelleAnleihen[[#This Row],[Gewinn aus Zinsen]]</f>
        <v>-3.5527136788005009E-14</v>
      </c>
      <c r="J116" s="7">
        <f>aktuelleAnleihen[[#This Row],[Gewinn gesamt]]/aktuelleAnleihen[[#This Row],[Kaufpreis]]</f>
        <v>6.6965853425030898E-3</v>
      </c>
      <c r="K116" s="3">
        <f>aktuelleAnleihen[[#This Row],[Verkaufspreis]]-aktuelleAnleihen[[#This Row],[Kaufpreis]]+aktuelleAnleihen[[#This Row],[Zinszahlungen]]</f>
        <v>14.705463013698591</v>
      </c>
      <c r="L116" s="4">
        <v>2195.9643999999998</v>
      </c>
      <c r="M116" s="7">
        <v>1.0633999999999999</v>
      </c>
      <c r="N116" s="61">
        <v>1</v>
      </c>
      <c r="O116" s="1">
        <v>1</v>
      </c>
      <c r="P116" s="1" t="s">
        <v>925</v>
      </c>
      <c r="Q116" s="30">
        <v>45385</v>
      </c>
      <c r="R116" s="1">
        <v>2</v>
      </c>
      <c r="S116" s="1">
        <v>1000</v>
      </c>
      <c r="T116" s="9">
        <v>45187</v>
      </c>
      <c r="U116" s="1">
        <v>1</v>
      </c>
      <c r="V116" s="62">
        <f>aktuelleAnleihen[[#This Row],[Stückelung]]*aktuelleAnleihen[[#This Row],[Anteile]]*aktuelleAnleihen[[#This Row],[Coupon]]/aktuelleAnleihen[[#This Row],[Aktueller Wechselkurs]]*($AC$1-aktuelleAnleihen[[#This Row],[Letzte Zinszahlung]])/365</f>
        <v>91.869863013698634</v>
      </c>
      <c r="W116" s="4">
        <v>69.164400000000001</v>
      </c>
      <c r="X116" s="120" t="s">
        <v>337</v>
      </c>
      <c r="Y116" s="120" t="s">
        <v>81</v>
      </c>
      <c r="Z116" s="1" t="s">
        <v>792</v>
      </c>
      <c r="AA116" s="1" t="s">
        <v>793</v>
      </c>
      <c r="AB116" s="3">
        <f>SUMIF('Zinszahlungen Anleihen'!K:K,aktuelleAnleihen[[#This Row],[ISIN]],'Zinszahlungen Anleihen'!D:D)</f>
        <v>0</v>
      </c>
      <c r="AE116" s="10"/>
      <c r="AF116" s="1"/>
      <c r="AH116" s="7"/>
      <c r="AJ116" s="1"/>
      <c r="AN116" s="1"/>
      <c r="AQ116" s="1"/>
    </row>
    <row r="117" spans="1:43" x14ac:dyDescent="0.2">
      <c r="A117" s="1" t="s">
        <v>1062</v>
      </c>
      <c r="B117" s="1" t="s">
        <v>11</v>
      </c>
      <c r="C117" s="7">
        <v>0.10625</v>
      </c>
      <c r="D117" s="7">
        <v>1.0368999999999999</v>
      </c>
      <c r="E117" s="7">
        <f>aktuelleAnleihen[[#This Row],[Aktueller Kurs]]-aktuelleAnleihen[[#This Row],[Kaufkurs]]</f>
        <v>-4.1999999999999815E-3</v>
      </c>
      <c r="F117" s="8">
        <f>aktuelleAnleihen[[#This Row],[Stückelung]]*aktuelleAnleihen[[#This Row],[Aktueller Kurs]]*aktuelleAnleihen[[#This Row],[Anteile]]/aktuelleAnleihen[[#This Row],[Aktueller Wechselkurs]]+aktuelleAnleihen[[#This Row],[Stückzinsen]]</f>
        <v>1948.5097032487549</v>
      </c>
      <c r="G117" s="8">
        <f>aktuelleAnleihen[[#This Row],[Kursdifferenz]]*aktuelleAnleihen[[#This Row],[Anteile]]*aktuelleAnleihen[[#This Row],[Stückelung]]/aktuelleAnleihen[[#This Row],[Wechselkurs am Kauftag]]</f>
        <v>-7.8336286486990234</v>
      </c>
      <c r="H117" s="8">
        <f>aktuelleAnleihen[[#This Row],[Stückzinsen]]-aktuelleAnleihen[[#This Row],[Stückzinsen am Kauftag]]+aktuelleAnleihen[[#This Row],[Zinszahlungen]]</f>
        <v>19.936469367568797</v>
      </c>
      <c r="I117" s="8">
        <f>aktuelleAnleihen[[#This Row],[Gewinn gesamt]]-aktuelleAnleihen[[#This Row],[Gewinn aus Kursänderung]]-aktuelleAnleihen[[#This Row],[Gewinn aus Zinsen]]</f>
        <v>-29.832637470114751</v>
      </c>
      <c r="J117" s="7">
        <f>aktuelleAnleihen[[#This Row],[Gewinn gesamt]]/aktuelleAnleihen[[#This Row],[Kaufpreis]]</f>
        <v>-9.0171094371997804E-3</v>
      </c>
      <c r="K117" s="3">
        <f>aktuelleAnleihen[[#This Row],[Verkaufspreis]]-aktuelleAnleihen[[#This Row],[Kaufpreis]]+aktuelleAnleihen[[#This Row],[Zinszahlungen]]</f>
        <v>-17.729796751244976</v>
      </c>
      <c r="L117" s="4">
        <v>1966.2394999999999</v>
      </c>
      <c r="M117" s="7">
        <v>1.0410999999999999</v>
      </c>
      <c r="N117" s="61">
        <v>1.0723</v>
      </c>
      <c r="O117" s="1">
        <v>1.0891</v>
      </c>
      <c r="P117" s="1" t="s">
        <v>887</v>
      </c>
      <c r="Q117" s="30">
        <v>45412</v>
      </c>
      <c r="R117" s="1">
        <v>2</v>
      </c>
      <c r="S117" s="1">
        <v>1000</v>
      </c>
      <c r="T117" s="9">
        <v>45367</v>
      </c>
      <c r="U117" s="1">
        <v>2</v>
      </c>
      <c r="V117" s="62">
        <f>aktuelleAnleihen[[#This Row],[Stückelung]]*aktuelleAnleihen[[#This Row],[Anteile]]*aktuelleAnleihen[[#This Row],[Coupon]]/aktuelleAnleihen[[#This Row],[Aktueller Wechselkurs]]*($AC$1-aktuelleAnleihen[[#This Row],[Letzte Zinszahlung]])/365</f>
        <v>44.368669367568799</v>
      </c>
      <c r="W117" s="4">
        <v>24.432200000000002</v>
      </c>
      <c r="X117" s="120" t="s">
        <v>1063</v>
      </c>
      <c r="Y117" s="120" t="s">
        <v>61</v>
      </c>
      <c r="Z117" s="1" t="s">
        <v>1064</v>
      </c>
      <c r="AA117" s="1" t="s">
        <v>1065</v>
      </c>
      <c r="AB117" s="3">
        <f>SUMIF('Zinszahlungen Anleihen'!K:K,aktuelleAnleihen[[#This Row],[ISIN]],'Zinszahlungen Anleihen'!D:D)</f>
        <v>0</v>
      </c>
      <c r="AE117" s="10"/>
      <c r="AF117" s="1"/>
      <c r="AH117" s="7"/>
      <c r="AJ117" s="1"/>
      <c r="AN117" s="1"/>
      <c r="AQ117" s="1"/>
    </row>
    <row r="118" spans="1:43" x14ac:dyDescent="0.2">
      <c r="A118" s="1" t="s">
        <v>579</v>
      </c>
      <c r="B118" s="1" t="s">
        <v>0</v>
      </c>
      <c r="C118" s="7">
        <v>7.0000000000000007E-2</v>
      </c>
      <c r="D118" s="7">
        <v>1.0087900000000001</v>
      </c>
      <c r="E118" s="7">
        <f>aktuelleAnleihen[[#This Row],[Aktueller Kurs]]-aktuelleAnleihen[[#This Row],[Kaufkurs]]</f>
        <v>-3.909999999999858E-3</v>
      </c>
      <c r="F118" s="8">
        <f>aktuelleAnleihen[[#This Row],[Stückelung]]*aktuelleAnleihen[[#This Row],[Aktueller Kurs]]*aktuelleAnleihen[[#This Row],[Anteile]]/aktuelleAnleihen[[#This Row],[Aktueller Wechselkurs]]+aktuelleAnleihen[[#This Row],[Stückzinsen]]</f>
        <v>2101.58</v>
      </c>
      <c r="G118" s="8">
        <f>aktuelleAnleihen[[#This Row],[Kursdifferenz]]*aktuelleAnleihen[[#This Row],[Anteile]]*aktuelleAnleihen[[#This Row],[Stückelung]]/aktuelleAnleihen[[#This Row],[Wechselkurs am Kauftag]]</f>
        <v>-7.8199999999997161</v>
      </c>
      <c r="H118" s="8">
        <f>aktuelleAnleihen[[#This Row],[Stückzinsen]]-aktuelleAnleihen[[#This Row],[Stückzinsen am Kauftag]]+aktuelleAnleihen[[#This Row],[Zinszahlungen]]</f>
        <v>24.9315</v>
      </c>
      <c r="I118" s="8">
        <f>aktuelleAnleihen[[#This Row],[Gewinn gesamt]]-aktuelleAnleihen[[#This Row],[Gewinn aus Kursänderung]]-aktuelleAnleihen[[#This Row],[Gewinn aus Zinsen]]</f>
        <v>-3.0553337637684308E-13</v>
      </c>
      <c r="J118" s="7">
        <f>aktuelleAnleihen[[#This Row],[Gewinn gesamt]]/aktuelleAnleihen[[#This Row],[Kaufpreis]]</f>
        <v>8.2090470544409662E-3</v>
      </c>
      <c r="K118" s="3">
        <f>aktuelleAnleihen[[#This Row],[Verkaufspreis]]-aktuelleAnleihen[[#This Row],[Kaufpreis]]+aktuelleAnleihen[[#This Row],[Zinszahlungen]]</f>
        <v>17.111499999999978</v>
      </c>
      <c r="L118" s="4">
        <v>2084.4684999999999</v>
      </c>
      <c r="M118" s="7">
        <v>1.0126999999999999</v>
      </c>
      <c r="N118" s="61">
        <v>1</v>
      </c>
      <c r="O118" s="1">
        <v>1</v>
      </c>
      <c r="P118" s="1" t="s">
        <v>925</v>
      </c>
      <c r="Q118" s="30">
        <v>45385</v>
      </c>
      <c r="R118" s="1">
        <v>2</v>
      </c>
      <c r="S118" s="1">
        <v>1000</v>
      </c>
      <c r="T118" s="9">
        <v>45231</v>
      </c>
      <c r="U118" s="1">
        <v>1</v>
      </c>
      <c r="V118" s="62">
        <f>aktuelleAnleihen[[#This Row],[Stückelung]]*aktuelleAnleihen[[#This Row],[Anteile]]*aktuelleAnleihen[[#This Row],[Coupon]]/aktuelleAnleihen[[#This Row],[Aktueller Wechselkurs]]*($AC$1-aktuelleAnleihen[[#This Row],[Letzte Zinszahlung]])/365</f>
        <v>84</v>
      </c>
      <c r="W118" s="4">
        <v>59.0685</v>
      </c>
      <c r="X118" s="120" t="s">
        <v>183</v>
      </c>
      <c r="Y118" s="120" t="s">
        <v>52</v>
      </c>
      <c r="Z118" s="1" t="s">
        <v>666</v>
      </c>
      <c r="AA118" s="1" t="s">
        <v>667</v>
      </c>
      <c r="AB118" s="3">
        <f>SUMIF('Zinszahlungen Anleihen'!K:K,aktuelleAnleihen[[#This Row],[ISIN]],'Zinszahlungen Anleihen'!D:D)</f>
        <v>0</v>
      </c>
      <c r="AE118" s="10"/>
      <c r="AF118" s="1"/>
      <c r="AH118" s="7"/>
      <c r="AJ118" s="1"/>
      <c r="AN118" s="1"/>
      <c r="AQ118" s="1"/>
    </row>
    <row r="119" spans="1:43" x14ac:dyDescent="0.2">
      <c r="A119" s="1" t="s">
        <v>347</v>
      </c>
      <c r="B119" s="1" t="s">
        <v>1</v>
      </c>
      <c r="C119" s="7">
        <v>8.7499999999999994E-2</v>
      </c>
      <c r="D119" s="7">
        <v>1.075</v>
      </c>
      <c r="E119" s="7">
        <f>aktuelleAnleihen[[#This Row],[Aktueller Kurs]]-aktuelleAnleihen[[#This Row],[Kaufkurs]]</f>
        <v>-3.9000000000000146E-3</v>
      </c>
      <c r="F119" s="8">
        <f>aktuelleAnleihen[[#This Row],[Stückelung]]*aktuelleAnleihen[[#This Row],[Aktueller Kurs]]*aktuelleAnleihen[[#This Row],[Anteile]]/aktuelleAnleihen[[#This Row],[Aktueller Wechselkurs]]+aktuelleAnleihen[[#This Row],[Stückzinsen]]</f>
        <v>2161.027397260274</v>
      </c>
      <c r="G119" s="8">
        <f>aktuelleAnleihen[[#This Row],[Kursdifferenz]]*aktuelleAnleihen[[#This Row],[Anteile]]*aktuelleAnleihen[[#This Row],[Stückelung]]/aktuelleAnleihen[[#This Row],[Wechselkurs am Kauftag]]</f>
        <v>-7.8000000000000291</v>
      </c>
      <c r="H119" s="8">
        <f>aktuelleAnleihen[[#This Row],[Stückzinsen]]-aktuelleAnleihen[[#This Row],[Stückzinsen am Kauftag]]+aktuelleAnleihen[[#This Row],[Zinszahlungen]]</f>
        <v>31.404097260273971</v>
      </c>
      <c r="I119" s="8">
        <f>aktuelleAnleihen[[#This Row],[Gewinn gesamt]]-aktuelleAnleihen[[#This Row],[Gewinn aus Kursänderung]]-aktuelleAnleihen[[#This Row],[Gewinn aus Zinsen]]</f>
        <v>1.5987211554602254E-13</v>
      </c>
      <c r="J119" s="7">
        <f>aktuelleAnleihen[[#This Row],[Gewinn gesamt]]/aktuelleAnleihen[[#This Row],[Kaufpreis]]</f>
        <v>1.0608948749053104E-2</v>
      </c>
      <c r="K119" s="3">
        <f>aktuelleAnleihen[[#This Row],[Verkaufspreis]]-aktuelleAnleihen[[#This Row],[Kaufpreis]]+aktuelleAnleihen[[#This Row],[Zinszahlungen]]</f>
        <v>23.604097260274102</v>
      </c>
      <c r="L119" s="4">
        <v>2224.9232999999999</v>
      </c>
      <c r="M119" s="7">
        <v>1.0789</v>
      </c>
      <c r="N119" s="61">
        <v>1</v>
      </c>
      <c r="O119" s="1">
        <v>1</v>
      </c>
      <c r="P119" s="1" t="s">
        <v>925</v>
      </c>
      <c r="Q119" s="30">
        <v>45385</v>
      </c>
      <c r="R119" s="1">
        <v>2000</v>
      </c>
      <c r="S119" s="1">
        <v>1</v>
      </c>
      <c r="T119" s="9">
        <v>45427</v>
      </c>
      <c r="U119" s="1">
        <v>2</v>
      </c>
      <c r="V119" s="62">
        <f>aktuelleAnleihen[[#This Row],[Stückelung]]*aktuelleAnleihen[[#This Row],[Anteile]]*aktuelleAnleihen[[#This Row],[Coupon]]/aktuelleAnleihen[[#This Row],[Aktueller Wechselkurs]]*($AC$1-aktuelleAnleihen[[#This Row],[Letzte Zinszahlung]])/365</f>
        <v>11.027397260273972</v>
      </c>
      <c r="W119" s="4">
        <v>67.1233</v>
      </c>
      <c r="X119" s="120" t="s">
        <v>56</v>
      </c>
      <c r="Y119" s="120" t="s">
        <v>61</v>
      </c>
      <c r="Z119" s="1" t="s">
        <v>348</v>
      </c>
      <c r="AA119" s="1" t="s">
        <v>349</v>
      </c>
      <c r="AB119" s="3">
        <f>SUMIF('Zinszahlungen Anleihen'!K:K,aktuelleAnleihen[[#This Row],[ISIN]],'Zinszahlungen Anleihen'!D:D)</f>
        <v>87.5</v>
      </c>
      <c r="AE119" s="10"/>
      <c r="AF119" s="1"/>
      <c r="AH119" s="7"/>
      <c r="AJ119" s="1"/>
      <c r="AN119" s="1"/>
      <c r="AQ119" s="1"/>
    </row>
    <row r="120" spans="1:43" x14ac:dyDescent="0.2">
      <c r="A120" s="1" t="s">
        <v>668</v>
      </c>
      <c r="B120" s="1" t="s">
        <v>0</v>
      </c>
      <c r="C120" s="7">
        <v>6.6250000000000003E-2</v>
      </c>
      <c r="D120" s="7">
        <v>0.99050000000000005</v>
      </c>
      <c r="E120" s="7">
        <f>aktuelleAnleihen[[#This Row],[Aktueller Kurs]]-aktuelleAnleihen[[#This Row],[Kaufkurs]]</f>
        <v>-3.8999999999999035E-3</v>
      </c>
      <c r="F120" s="8">
        <f>aktuelleAnleihen[[#This Row],[Stückelung]]*aktuelleAnleihen[[#This Row],[Aktueller Kurs]]*aktuelleAnleihen[[#This Row],[Anteile]]/aktuelleAnleihen[[#This Row],[Aktueller Wechselkurs]]+aktuelleAnleihen[[#This Row],[Stückzinsen]]</f>
        <v>2040.1712328767123</v>
      </c>
      <c r="G120" s="8">
        <f>aktuelleAnleihen[[#This Row],[Kursdifferenz]]*aktuelleAnleihen[[#This Row],[Anteile]]*aktuelleAnleihen[[#This Row],[Stückelung]]/aktuelleAnleihen[[#This Row],[Wechselkurs am Kauftag]]</f>
        <v>-7.7999999999998071</v>
      </c>
      <c r="H120" s="8">
        <f>aktuelleAnleihen[[#This Row],[Stückzinsen]]-aktuelleAnleihen[[#This Row],[Stückzinsen am Kauftag]]+aktuelleAnleihen[[#This Row],[Zinszahlungen]]</f>
        <v>23.595932876712332</v>
      </c>
      <c r="I120" s="8">
        <f>aktuelleAnleihen[[#This Row],[Gewinn gesamt]]-aktuelleAnleihen[[#This Row],[Gewinn aus Kursänderung]]-aktuelleAnleihen[[#This Row],[Gewinn aus Zinsen]]</f>
        <v>-1.1368683772161603E-13</v>
      </c>
      <c r="J120" s="7">
        <f>aktuelleAnleihen[[#This Row],[Gewinn gesamt]]/aktuelleAnleihen[[#This Row],[Kaufpreis]]</f>
        <v>7.8028678164134948E-3</v>
      </c>
      <c r="K120" s="3">
        <f>aktuelleAnleihen[[#This Row],[Verkaufspreis]]-aktuelleAnleihen[[#This Row],[Kaufpreis]]+aktuelleAnleihen[[#This Row],[Zinszahlungen]]</f>
        <v>15.795932876712413</v>
      </c>
      <c r="L120" s="4">
        <v>2024.3752999999999</v>
      </c>
      <c r="M120" s="7">
        <v>0.99439999999999995</v>
      </c>
      <c r="N120" s="61">
        <v>1</v>
      </c>
      <c r="O120" s="1">
        <v>1</v>
      </c>
      <c r="P120" s="1" t="s">
        <v>925</v>
      </c>
      <c r="Q120" s="30">
        <v>45385</v>
      </c>
      <c r="R120" s="1">
        <v>2</v>
      </c>
      <c r="S120" s="1">
        <v>1000</v>
      </c>
      <c r="T120" s="9">
        <v>45287</v>
      </c>
      <c r="U120" s="1">
        <v>2</v>
      </c>
      <c r="V120" s="62">
        <f>aktuelleAnleihen[[#This Row],[Stückelung]]*aktuelleAnleihen[[#This Row],[Anteile]]*aktuelleAnleihen[[#This Row],[Coupon]]/aktuelleAnleihen[[#This Row],[Aktueller Wechselkurs]]*($AC$1-aktuelleAnleihen[[#This Row],[Letzte Zinszahlung]])/365</f>
        <v>59.171232876712331</v>
      </c>
      <c r="W120" s="4">
        <v>35.575299999999999</v>
      </c>
      <c r="X120" s="120" t="s">
        <v>51</v>
      </c>
      <c r="Y120" s="120" t="s">
        <v>61</v>
      </c>
      <c r="Z120" s="1" t="s">
        <v>734</v>
      </c>
      <c r="AA120" s="1" t="s">
        <v>735</v>
      </c>
      <c r="AB120" s="3">
        <f>SUMIF('Zinszahlungen Anleihen'!K:K,aktuelleAnleihen[[#This Row],[ISIN]],'Zinszahlungen Anleihen'!D:D)</f>
        <v>0</v>
      </c>
      <c r="AE120" s="10"/>
      <c r="AF120" s="1"/>
      <c r="AH120" s="7"/>
      <c r="AJ120" s="1"/>
      <c r="AN120" s="1"/>
      <c r="AQ120" s="1"/>
    </row>
    <row r="121" spans="1:43" x14ac:dyDescent="0.2">
      <c r="A121" s="1" t="s">
        <v>1050</v>
      </c>
      <c r="B121" s="1" t="s">
        <v>1</v>
      </c>
      <c r="C121" s="7">
        <v>0.1075</v>
      </c>
      <c r="D121" s="7">
        <v>0.99750000000000005</v>
      </c>
      <c r="E121" s="7">
        <f>aktuelleAnleihen[[#This Row],[Aktueller Kurs]]-aktuelleAnleihen[[#This Row],[Kaufkurs]]</f>
        <v>-4.0999999999999925E-3</v>
      </c>
      <c r="F121" s="8">
        <f>aktuelleAnleihen[[#This Row],[Stückelung]]*aktuelleAnleihen[[#This Row],[Aktueller Kurs]]*aktuelleAnleihen[[#This Row],[Anteile]]/aktuelleAnleihen[[#This Row],[Aktueller Wechselkurs]]+aktuelleAnleihen[[#This Row],[Stückzinsen]]</f>
        <v>1900.4758233202481</v>
      </c>
      <c r="G121" s="8">
        <f>aktuelleAnleihen[[#This Row],[Kursdifferenz]]*aktuelleAnleihen[[#This Row],[Anteile]]*aktuelleAnleihen[[#This Row],[Stückelung]]/aktuelleAnleihen[[#This Row],[Wechselkurs am Kauftag]]</f>
        <v>-7.6471136808728764</v>
      </c>
      <c r="H121" s="8">
        <f>aktuelleAnleihen[[#This Row],[Stückzinsen]]-aktuelleAnleihen[[#This Row],[Stückzinsen am Kauftag]]+aktuelleAnleihen[[#This Row],[Zinszahlungen]]</f>
        <v>19.798208693492057</v>
      </c>
      <c r="I121" s="8">
        <f>aktuelleAnleihen[[#This Row],[Gewinn gesamt]]-aktuelleAnleihen[[#This Row],[Gewinn aus Kursänderung]]-aktuelleAnleihen[[#This Row],[Gewinn aus Zinsen]]</f>
        <v>-28.699071692371035</v>
      </c>
      <c r="J121" s="7">
        <f>aktuelleAnleihen[[#This Row],[Gewinn gesamt]]/aktuelleAnleihen[[#This Row],[Kaufpreis]]</f>
        <v>-8.6321185369487088E-3</v>
      </c>
      <c r="K121" s="3">
        <f>aktuelleAnleihen[[#This Row],[Verkaufspreis]]-aktuelleAnleihen[[#This Row],[Kaufpreis]]+aktuelleAnleihen[[#This Row],[Zinszahlungen]]</f>
        <v>-16.547976679751855</v>
      </c>
      <c r="L121" s="4">
        <v>1917.0237999999999</v>
      </c>
      <c r="M121" s="7">
        <v>1.0016</v>
      </c>
      <c r="N121" s="61">
        <v>1.0723</v>
      </c>
      <c r="O121" s="1">
        <v>1.0891</v>
      </c>
      <c r="P121" s="1" t="s">
        <v>887</v>
      </c>
      <c r="Q121" s="30">
        <v>45412</v>
      </c>
      <c r="R121" s="1">
        <v>2</v>
      </c>
      <c r="S121" s="1">
        <v>1000</v>
      </c>
      <c r="T121" s="9">
        <v>45323</v>
      </c>
      <c r="U121" s="1">
        <v>2</v>
      </c>
      <c r="V121" s="62">
        <f>aktuelleAnleihen[[#This Row],[Stückelung]]*aktuelleAnleihen[[#This Row],[Anteile]]*aktuelleAnleihen[[#This Row],[Coupon]]/aktuelleAnleihen[[#This Row],[Aktueller Wechselkurs]]*($AC$1-aktuelleAnleihen[[#This Row],[Letzte Zinszahlung]])/365</f>
        <v>68.688108693492055</v>
      </c>
      <c r="W121" s="4">
        <v>48.889899999999997</v>
      </c>
      <c r="X121" s="120" t="s">
        <v>1051</v>
      </c>
      <c r="Y121" s="120" t="s">
        <v>52</v>
      </c>
      <c r="Z121" s="1" t="s">
        <v>1052</v>
      </c>
      <c r="AA121" s="1" t="s">
        <v>1053</v>
      </c>
      <c r="AB121" s="3">
        <f>SUMIF('Zinszahlungen Anleihen'!K:K,aktuelleAnleihen[[#This Row],[ISIN]],'Zinszahlungen Anleihen'!D:D)</f>
        <v>0</v>
      </c>
      <c r="AE121" s="10"/>
      <c r="AF121" s="1"/>
      <c r="AH121" s="7"/>
      <c r="AJ121" s="1"/>
      <c r="AN121" s="1"/>
      <c r="AQ121" s="1"/>
    </row>
    <row r="122" spans="1:43" x14ac:dyDescent="0.2">
      <c r="A122" s="1" t="s">
        <v>489</v>
      </c>
      <c r="B122" s="1" t="s">
        <v>8</v>
      </c>
      <c r="C122" s="7">
        <v>7.8750000000000001E-2</v>
      </c>
      <c r="D122" s="7">
        <v>1.0829</v>
      </c>
      <c r="E122" s="7">
        <f>aktuelleAnleihen[[#This Row],[Aktueller Kurs]]-aktuelleAnleihen[[#This Row],[Kaufkurs]]</f>
        <v>-3.8000000000000256E-3</v>
      </c>
      <c r="F122" s="8">
        <f>aktuelleAnleihen[[#This Row],[Stückelung]]*aktuelleAnleihen[[#This Row],[Aktueller Kurs]]*aktuelleAnleihen[[#This Row],[Anteile]]/aktuelleAnleihen[[#This Row],[Aktueller Wechselkurs]]+aktuelleAnleihen[[#This Row],[Stückzinsen]]</f>
        <v>2221.0328767123283</v>
      </c>
      <c r="G122" s="8">
        <f>aktuelleAnleihen[[#This Row],[Kursdifferenz]]*aktuelleAnleihen[[#This Row],[Anteile]]*aktuelleAnleihen[[#This Row],[Stückelung]]/aktuelleAnleihen[[#This Row],[Wechselkurs am Kauftag]]</f>
        <v>-7.6000000000000512</v>
      </c>
      <c r="H122" s="8">
        <f>aktuelleAnleihen[[#This Row],[Stückzinsen]]-aktuelleAnleihen[[#This Row],[Stückzinsen am Kauftag]]+aktuelleAnleihen[[#This Row],[Zinszahlungen]]</f>
        <v>28.047976712328769</v>
      </c>
      <c r="I122" s="8">
        <f>aktuelleAnleihen[[#This Row],[Gewinn gesamt]]-aktuelleAnleihen[[#This Row],[Gewinn aus Kursänderung]]-aktuelleAnleihen[[#This Row],[Gewinn aus Zinsen]]</f>
        <v>-2.6290081223123707E-13</v>
      </c>
      <c r="J122" s="7">
        <f>aktuelleAnleihen[[#This Row],[Gewinn gesamt]]/aktuelleAnleihen[[#This Row],[Kaufpreis]]</f>
        <v>9.2920644471969505E-3</v>
      </c>
      <c r="K122" s="3">
        <f>aktuelleAnleihen[[#This Row],[Verkaufspreis]]-aktuelleAnleihen[[#This Row],[Kaufpreis]]+aktuelleAnleihen[[#This Row],[Zinszahlungen]]</f>
        <v>20.447976712328455</v>
      </c>
      <c r="L122" s="4">
        <v>2200.5848999999998</v>
      </c>
      <c r="M122" s="7">
        <v>1.0867</v>
      </c>
      <c r="N122" s="61">
        <v>1</v>
      </c>
      <c r="O122" s="1">
        <v>1</v>
      </c>
      <c r="P122" s="1" t="s">
        <v>925</v>
      </c>
      <c r="Q122" s="30">
        <v>45385</v>
      </c>
      <c r="R122" s="1">
        <v>2</v>
      </c>
      <c r="S122" s="1">
        <v>1000</v>
      </c>
      <c r="T122" s="9">
        <v>45322</v>
      </c>
      <c r="U122" s="1">
        <v>2</v>
      </c>
      <c r="V122" s="62">
        <f>aktuelleAnleihen[[#This Row],[Stückelung]]*aktuelleAnleihen[[#This Row],[Anteile]]*aktuelleAnleihen[[#This Row],[Coupon]]/aktuelleAnleihen[[#This Row],[Aktueller Wechselkurs]]*($AC$1-aktuelleAnleihen[[#This Row],[Letzte Zinszahlung]])/365</f>
        <v>55.232876712328768</v>
      </c>
      <c r="W122" s="4">
        <v>27.184899999999999</v>
      </c>
      <c r="X122" s="120" t="s">
        <v>170</v>
      </c>
      <c r="Y122" s="120" t="s">
        <v>57</v>
      </c>
      <c r="Z122" s="1" t="s">
        <v>490</v>
      </c>
      <c r="AA122" s="1" t="s">
        <v>491</v>
      </c>
      <c r="AB122" s="3">
        <f>SUMIF('Zinszahlungen Anleihen'!K:K,aktuelleAnleihen[[#This Row],[ISIN]],'Zinszahlungen Anleihen'!D:D)</f>
        <v>0</v>
      </c>
      <c r="AE122" s="10"/>
      <c r="AF122" s="1"/>
      <c r="AH122" s="7"/>
      <c r="AJ122" s="1"/>
      <c r="AN122" s="1"/>
      <c r="AQ122" s="1"/>
    </row>
    <row r="123" spans="1:43" x14ac:dyDescent="0.2">
      <c r="A123" s="1" t="s">
        <v>570</v>
      </c>
      <c r="B123" s="1" t="s">
        <v>0</v>
      </c>
      <c r="C123" s="7">
        <v>7.4999999999999997E-2</v>
      </c>
      <c r="D123" s="7">
        <v>1.0108999999999999</v>
      </c>
      <c r="E123" s="7">
        <f>aktuelleAnleihen[[#This Row],[Aktueller Kurs]]-aktuelleAnleihen[[#This Row],[Kaufkurs]]</f>
        <v>-3.7000000000000366E-3</v>
      </c>
      <c r="F123" s="8">
        <f>aktuelleAnleihen[[#This Row],[Stückelung]]*aktuelleAnleihen[[#This Row],[Aktueller Kurs]]*aktuelleAnleihen[[#This Row],[Anteile]]/aktuelleAnleihen[[#This Row],[Aktueller Wechselkurs]]+aktuelleAnleihen[[#This Row],[Stückzinsen]]</f>
        <v>2037.416438356164</v>
      </c>
      <c r="G123" s="8">
        <f>aktuelleAnleihen[[#This Row],[Kursdifferenz]]*aktuelleAnleihen[[#This Row],[Anteile]]*aktuelleAnleihen[[#This Row],[Stückelung]]/aktuelleAnleihen[[#This Row],[Wechselkurs am Kauftag]]</f>
        <v>-7.4000000000000732</v>
      </c>
      <c r="H123" s="8">
        <f>aktuelleAnleihen[[#This Row],[Stückzinsen]]-aktuelleAnleihen[[#This Row],[Stückzinsen am Kauftag]]+aktuelleAnleihen[[#This Row],[Zinszahlungen]]</f>
        <v>26.50683835616438</v>
      </c>
      <c r="I123" s="8">
        <f>aktuelleAnleihen[[#This Row],[Gewinn gesamt]]-aktuelleAnleihen[[#This Row],[Gewinn aus Kursänderung]]-aktuelleAnleihen[[#This Row],[Gewinn aus Zinsen]]</f>
        <v>-3.4461322684364859E-13</v>
      </c>
      <c r="J123" s="7">
        <f>aktuelleAnleihen[[#This Row],[Gewinn gesamt]]/aktuelleAnleihen[[#This Row],[Kaufpreis]]</f>
        <v>9.1275740369049854E-3</v>
      </c>
      <c r="K123" s="3">
        <f>aktuelleAnleihen[[#This Row],[Verkaufspreis]]-aktuelleAnleihen[[#This Row],[Kaufpreis]]+aktuelleAnleihen[[#This Row],[Zinszahlungen]]</f>
        <v>19.106838356163962</v>
      </c>
      <c r="L123" s="4">
        <v>2093.3096</v>
      </c>
      <c r="M123" s="7">
        <v>1.0145999999999999</v>
      </c>
      <c r="N123" s="61">
        <v>1</v>
      </c>
      <c r="O123" s="1">
        <v>1</v>
      </c>
      <c r="P123" s="1" t="s">
        <v>925</v>
      </c>
      <c r="Q123" s="30">
        <v>45385</v>
      </c>
      <c r="R123" s="1">
        <v>2</v>
      </c>
      <c r="S123" s="1">
        <v>1000</v>
      </c>
      <c r="T123" s="9">
        <v>45412</v>
      </c>
      <c r="U123" s="1">
        <v>2</v>
      </c>
      <c r="V123" s="62">
        <f>aktuelleAnleihen[[#This Row],[Stückelung]]*aktuelleAnleihen[[#This Row],[Anteile]]*aktuelleAnleihen[[#This Row],[Coupon]]/aktuelleAnleihen[[#This Row],[Aktueller Wechselkurs]]*($AC$1-aktuelleAnleihen[[#This Row],[Letzte Zinszahlung]])/365</f>
        <v>15.616438356164384</v>
      </c>
      <c r="W123" s="4">
        <v>64.1096</v>
      </c>
      <c r="X123" s="120" t="s">
        <v>102</v>
      </c>
      <c r="Y123" s="120" t="s">
        <v>61</v>
      </c>
      <c r="Z123" s="1" t="s">
        <v>571</v>
      </c>
      <c r="AA123" s="1" t="s">
        <v>572</v>
      </c>
      <c r="AB123" s="3">
        <f>SUMIF('Zinszahlungen Anleihen'!K:K,aktuelleAnleihen[[#This Row],[ISIN]],'Zinszahlungen Anleihen'!D:D)</f>
        <v>75</v>
      </c>
      <c r="AE123" s="10"/>
      <c r="AF123" s="1"/>
      <c r="AH123" s="7"/>
      <c r="AJ123" s="1"/>
      <c r="AN123" s="1"/>
      <c r="AQ123" s="1"/>
    </row>
    <row r="124" spans="1:43" x14ac:dyDescent="0.2">
      <c r="A124" s="1" t="s">
        <v>275</v>
      </c>
      <c r="B124" s="1" t="s">
        <v>2</v>
      </c>
      <c r="C124" s="7">
        <v>9.5000000000000001E-2</v>
      </c>
      <c r="D124" s="7">
        <v>1.0801000000000001</v>
      </c>
      <c r="E124" s="7">
        <f>aktuelleAnleihen[[#This Row],[Aktueller Kurs]]-aktuelleAnleihen[[#This Row],[Kaufkurs]]</f>
        <v>-3.7000000000000366E-3</v>
      </c>
      <c r="F124" s="8">
        <f>aktuelleAnleihen[[#This Row],[Stückelung]]*aktuelleAnleihen[[#This Row],[Aktueller Kurs]]*aktuelleAnleihen[[#This Row],[Anteile]]/aktuelleAnleihen[[#This Row],[Aktueller Wechselkurs]]+aktuelleAnleihen[[#This Row],[Stückzinsen]]</f>
        <v>2235.1589041095895</v>
      </c>
      <c r="G124" s="8">
        <f>aktuelleAnleihen[[#This Row],[Kursdifferenz]]*aktuelleAnleihen[[#This Row],[Anteile]]*aktuelleAnleihen[[#This Row],[Stückelung]]/aktuelleAnleihen[[#This Row],[Wechselkurs am Kauftag]]</f>
        <v>-7.4000000000000732</v>
      </c>
      <c r="H124" s="8">
        <f>aktuelleAnleihen[[#This Row],[Stückzinsen]]-aktuelleAnleihen[[#This Row],[Stückzinsen am Kauftag]]+aktuelleAnleihen[[#This Row],[Zinszahlungen]]</f>
        <v>33.835604109589042</v>
      </c>
      <c r="I124" s="8">
        <f>aktuelleAnleihen[[#This Row],[Gewinn gesamt]]-aktuelleAnleihen[[#This Row],[Gewinn aus Kursänderung]]-aktuelleAnleihen[[#This Row],[Gewinn aus Zinsen]]</f>
        <v>3.836930773104541E-13</v>
      </c>
      <c r="J124" s="7">
        <f>aktuelleAnleihen[[#This Row],[Gewinn gesamt]]/aktuelleAnleihen[[#This Row],[Kaufpreis]]</f>
        <v>1.1968726055268828E-2</v>
      </c>
      <c r="K124" s="3">
        <f>aktuelleAnleihen[[#This Row],[Verkaufspreis]]-aktuelleAnleihen[[#This Row],[Kaufpreis]]+aktuelleAnleihen[[#This Row],[Zinszahlungen]]</f>
        <v>26.435604109589349</v>
      </c>
      <c r="L124" s="4">
        <v>2208.7233000000001</v>
      </c>
      <c r="M124" s="7">
        <v>1.0838000000000001</v>
      </c>
      <c r="N124" s="61">
        <v>1</v>
      </c>
      <c r="O124" s="1">
        <v>1</v>
      </c>
      <c r="P124" s="1" t="s">
        <v>925</v>
      </c>
      <c r="Q124" s="30">
        <v>45385</v>
      </c>
      <c r="R124" s="1">
        <v>2</v>
      </c>
      <c r="S124" s="1">
        <v>1000</v>
      </c>
      <c r="T124" s="9">
        <v>45306</v>
      </c>
      <c r="U124" s="1">
        <v>2</v>
      </c>
      <c r="V124" s="62">
        <f>aktuelleAnleihen[[#This Row],[Stückelung]]*aktuelleAnleihen[[#This Row],[Anteile]]*aktuelleAnleihen[[#This Row],[Coupon]]/aktuelleAnleihen[[#This Row],[Aktueller Wechselkurs]]*($AC$1-aktuelleAnleihen[[#This Row],[Letzte Zinszahlung]])/365</f>
        <v>74.958904109589042</v>
      </c>
      <c r="W124" s="4">
        <v>41.1233</v>
      </c>
      <c r="X124" s="120" t="s">
        <v>276</v>
      </c>
      <c r="Y124" s="120" t="s">
        <v>39</v>
      </c>
      <c r="Z124" s="1" t="s">
        <v>277</v>
      </c>
      <c r="AA124" s="1" t="s">
        <v>278</v>
      </c>
      <c r="AB124" s="3">
        <f>SUMIF('Zinszahlungen Anleihen'!K:K,aktuelleAnleihen[[#This Row],[ISIN]],'Zinszahlungen Anleihen'!D:D)</f>
        <v>0</v>
      </c>
      <c r="AE124" s="10"/>
      <c r="AF124" s="1"/>
      <c r="AH124" s="7"/>
      <c r="AJ124" s="1"/>
      <c r="AN124" s="1"/>
      <c r="AQ124" s="1"/>
    </row>
    <row r="125" spans="1:43" x14ac:dyDescent="0.2">
      <c r="A125" s="1" t="s">
        <v>1690</v>
      </c>
      <c r="B125" s="1" t="s">
        <v>0</v>
      </c>
      <c r="C125" s="7">
        <v>8.1250000000000003E-2</v>
      </c>
      <c r="D125" s="7">
        <v>1.0087000000000002</v>
      </c>
      <c r="E125" s="7">
        <f>aktuelleAnleihen[[#This Row],[Aktueller Kurs]]-aktuelleAnleihen[[#This Row],[Kaufkurs]]</f>
        <v>-3.8999999999997925E-3</v>
      </c>
      <c r="F125" s="8">
        <f>aktuelleAnleihen[[#This Row],[Stückelung]]*aktuelleAnleihen[[#This Row],[Aktueller Kurs]]*aktuelleAnleihen[[#This Row],[Anteile]]/aktuelleAnleihen[[#This Row],[Aktueller Wechselkurs]]+aktuelleAnleihen[[#This Row],[Stückzinsen]]</f>
        <v>1926.7536472870024</v>
      </c>
      <c r="G125" s="8">
        <f>aktuelleAnleihen[[#This Row],[Kursdifferenz]]*aktuelleAnleihen[[#This Row],[Anteile]]*aktuelleAnleihen[[#This Row],[Stückelung]]/aktuelleAnleihen[[#This Row],[Wechselkurs am Kauftag]]</f>
        <v>-7.2740837452201665</v>
      </c>
      <c r="H125" s="8">
        <f>aktuelleAnleihen[[#This Row],[Stückzinsen]]-aktuelleAnleihen[[#This Row],[Stückzinsen am Kauftag]]+aktuelleAnleihen[[#This Row],[Zinszahlungen]]</f>
        <v>14.611491653910541</v>
      </c>
      <c r="I125" s="8">
        <f>aktuelleAnleihen[[#This Row],[Gewinn gesamt]]-aktuelleAnleihen[[#This Row],[Gewinn aus Kursänderung]]-aktuelleAnleihen[[#This Row],[Gewinn aus Zinsen]]</f>
        <v>-29.021360621687926</v>
      </c>
      <c r="J125" s="7">
        <f>aktuelleAnleihen[[#This Row],[Gewinn gesamt]]/aktuelleAnleihen[[#This Row],[Kaufpreis]]</f>
        <v>-1.1128892561402814E-2</v>
      </c>
      <c r="K125" s="3">
        <f>aktuelleAnleihen[[#This Row],[Verkaufspreis]]-aktuelleAnleihen[[#This Row],[Kaufpreis]]+aktuelleAnleihen[[#This Row],[Zinszahlungen]]</f>
        <v>-21.683952712997552</v>
      </c>
      <c r="L125" s="4">
        <v>1948.4376</v>
      </c>
      <c r="M125" s="7">
        <v>1.0125999999999999</v>
      </c>
      <c r="N125" s="61">
        <v>1.0723</v>
      </c>
      <c r="O125" s="1">
        <v>1.0891</v>
      </c>
      <c r="P125" s="1" t="s">
        <v>887</v>
      </c>
      <c r="Q125" s="30">
        <v>45412</v>
      </c>
      <c r="R125" s="1">
        <v>2</v>
      </c>
      <c r="S125" s="1">
        <v>1000</v>
      </c>
      <c r="T125" s="9">
        <v>45268</v>
      </c>
      <c r="U125" s="1">
        <v>2</v>
      </c>
      <c r="V125" s="62">
        <f>aktuelleAnleihen[[#This Row],[Stückelung]]*aktuelleAnleihen[[#This Row],[Anteile]]*aktuelleAnleihen[[#This Row],[Coupon]]/aktuelleAnleihen[[#This Row],[Aktueller Wechselkurs]]*($AC$1-aktuelleAnleihen[[#This Row],[Letzte Zinszahlung]])/365</f>
        <v>74.39849165391054</v>
      </c>
      <c r="W125" s="4">
        <v>59.786999999999999</v>
      </c>
      <c r="X125" s="120" t="s">
        <v>986</v>
      </c>
      <c r="Y125" s="120" t="s">
        <v>39</v>
      </c>
      <c r="Z125" s="1" t="s">
        <v>1691</v>
      </c>
      <c r="AA125" s="1" t="s">
        <v>1692</v>
      </c>
      <c r="AB125" s="3">
        <f>SUMIF('Zinszahlungen Anleihen'!K:K,aktuelleAnleihen[[#This Row],[ISIN]],'Zinszahlungen Anleihen'!D:D)</f>
        <v>0</v>
      </c>
      <c r="AE125" s="10"/>
      <c r="AF125" s="1"/>
      <c r="AH125" s="7"/>
      <c r="AJ125" s="1"/>
      <c r="AN125" s="1"/>
      <c r="AQ125" s="1"/>
    </row>
    <row r="126" spans="1:43" x14ac:dyDescent="0.2">
      <c r="A126" s="1" t="s">
        <v>1254</v>
      </c>
      <c r="B126" s="1" t="s">
        <v>11</v>
      </c>
      <c r="C126" s="7">
        <v>9.2499999999999999E-2</v>
      </c>
      <c r="D126" s="7">
        <v>1.0248999999999999</v>
      </c>
      <c r="E126" s="7">
        <f>aktuelleAnleihen[[#This Row],[Aktueller Kurs]]-aktuelleAnleihen[[#This Row],[Kaufkurs]]</f>
        <v>-3.8000000000000256E-3</v>
      </c>
      <c r="F126" s="8">
        <f>aktuelleAnleihen[[#This Row],[Stückelung]]*aktuelleAnleihen[[#This Row],[Aktueller Kurs]]*aktuelleAnleihen[[#This Row],[Anteile]]/aktuelleAnleihen[[#This Row],[Aktueller Wechselkurs]]+aktuelleAnleihen[[#This Row],[Stückzinsen]]</f>
        <v>1905.8390552460683</v>
      </c>
      <c r="G126" s="8">
        <f>aktuelleAnleihen[[#This Row],[Kursdifferenz]]*aktuelleAnleihen[[#This Row],[Anteile]]*aktuelleAnleihen[[#This Row],[Stückelung]]/aktuelleAnleihen[[#This Row],[Wechselkurs am Kauftag]]</f>
        <v>-7.0875687773944334</v>
      </c>
      <c r="H126" s="8">
        <f>aktuelleAnleihen[[#This Row],[Stückzinsen]]-aktuelleAnleihen[[#This Row],[Stückzinsen am Kauftag]]+aktuelleAnleihen[[#This Row],[Zinszahlungen]]</f>
        <v>17.589765300241623</v>
      </c>
      <c r="I126" s="8">
        <f>aktuelleAnleihen[[#This Row],[Gewinn gesamt]]-aktuelleAnleihen[[#This Row],[Gewinn aus Kursänderung]]-aktuelleAnleihen[[#This Row],[Gewinn aus Zinsen]]</f>
        <v>-29.487341276778952</v>
      </c>
      <c r="J126" s="7">
        <f>aktuelleAnleihen[[#This Row],[Gewinn gesamt]]/aktuelleAnleihen[[#This Row],[Kaufpreis]]</f>
        <v>-9.8633136230995861E-3</v>
      </c>
      <c r="K126" s="3">
        <f>aktuelleAnleihen[[#This Row],[Verkaufspreis]]-aktuelleAnleihen[[#This Row],[Kaufpreis]]+aktuelleAnleihen[[#This Row],[Zinszahlungen]]</f>
        <v>-18.985144753931763</v>
      </c>
      <c r="L126" s="4">
        <v>1924.8242</v>
      </c>
      <c r="M126" s="7">
        <v>1.0286999999999999</v>
      </c>
      <c r="N126" s="61">
        <v>1.0723</v>
      </c>
      <c r="O126" s="1">
        <v>1.0891</v>
      </c>
      <c r="P126" s="1" t="s">
        <v>887</v>
      </c>
      <c r="Q126" s="30">
        <v>45412</v>
      </c>
      <c r="R126" s="1">
        <v>2</v>
      </c>
      <c r="S126" s="1">
        <v>1000</v>
      </c>
      <c r="T126" s="9">
        <v>45399</v>
      </c>
      <c r="U126" s="1">
        <v>2</v>
      </c>
      <c r="V126" s="62">
        <f>aktuelleAnleihen[[#This Row],[Stückelung]]*aktuelleAnleihen[[#This Row],[Anteile]]*aktuelleAnleihen[[#This Row],[Coupon]]/aktuelleAnleihen[[#This Row],[Aktueller Wechselkurs]]*($AC$1-aktuelleAnleihen[[#This Row],[Letzte Zinszahlung]])/365</f>
        <v>23.734565300241623</v>
      </c>
      <c r="W126" s="4">
        <v>6.1448</v>
      </c>
      <c r="X126" s="120" t="s">
        <v>1255</v>
      </c>
      <c r="Y126" s="120" t="s">
        <v>52</v>
      </c>
      <c r="Z126" s="1" t="s">
        <v>1256</v>
      </c>
      <c r="AA126" s="1" t="s">
        <v>1257</v>
      </c>
      <c r="AB126" s="3">
        <f>SUMIF('Zinszahlungen Anleihen'!K:K,aktuelleAnleihen[[#This Row],[ISIN]],'Zinszahlungen Anleihen'!D:D)</f>
        <v>0</v>
      </c>
      <c r="AE126" s="10"/>
      <c r="AF126" s="1"/>
      <c r="AH126" s="7"/>
      <c r="AJ126" s="1"/>
      <c r="AN126" s="1"/>
      <c r="AQ126" s="1"/>
    </row>
    <row r="127" spans="1:43" x14ac:dyDescent="0.2">
      <c r="A127" s="1" t="s">
        <v>1251</v>
      </c>
      <c r="B127" s="1" t="s">
        <v>0</v>
      </c>
      <c r="C127" s="7">
        <v>9.2499999999999999E-2</v>
      </c>
      <c r="D127" s="7">
        <v>1.0587500000000001</v>
      </c>
      <c r="E127" s="7">
        <f>aktuelleAnleihen[[#This Row],[Aktueller Kurs]]-aktuelleAnleihen[[#This Row],[Kaufkurs]]</f>
        <v>-3.7499999999999201E-3</v>
      </c>
      <c r="F127" s="8">
        <f>aktuelleAnleihen[[#This Row],[Stückelung]]*aktuelleAnleihen[[#This Row],[Aktueller Kurs]]*aktuelleAnleihen[[#This Row],[Anteile]]/aktuelleAnleihen[[#This Row],[Aktueller Wechselkurs]]+aktuelleAnleihen[[#This Row],[Stückzinsen]]</f>
        <v>2025.7080434643158</v>
      </c>
      <c r="G127" s="8">
        <f>aktuelleAnleihen[[#This Row],[Kursdifferenz]]*aktuelleAnleihen[[#This Row],[Anteile]]*aktuelleAnleihen[[#This Row],[Stückelung]]/aktuelleAnleihen[[#This Row],[Wechselkurs am Kauftag]]</f>
        <v>-6.9943112934811529</v>
      </c>
      <c r="H127" s="8">
        <f>aktuelleAnleihen[[#This Row],[Stückzinsen]]-aktuelleAnleihen[[#This Row],[Stückzinsen am Kauftag]]+aktuelleAnleihen[[#This Row],[Zinszahlungen]]</f>
        <v>16.685635834162426</v>
      </c>
      <c r="I127" s="8">
        <f>aktuelleAnleihen[[#This Row],[Gewinn gesamt]]-aktuelleAnleihen[[#This Row],[Gewinn aus Kursänderung]]-aktuelleAnleihen[[#This Row],[Gewinn aus Zinsen]]</f>
        <v>-30.461281076365559</v>
      </c>
      <c r="J127" s="7">
        <f>aktuelleAnleihen[[#This Row],[Gewinn gesamt]]/aktuelleAnleihen[[#This Row],[Kaufpreis]]</f>
        <v>-1.0149122803022699E-2</v>
      </c>
      <c r="K127" s="3">
        <f>aktuelleAnleihen[[#This Row],[Verkaufspreis]]-aktuelleAnleihen[[#This Row],[Kaufpreis]]+aktuelleAnleihen[[#This Row],[Zinszahlungen]]</f>
        <v>-20.769956535684287</v>
      </c>
      <c r="L127" s="4">
        <v>2046.4780000000001</v>
      </c>
      <c r="M127" s="7">
        <v>1.0625</v>
      </c>
      <c r="N127" s="61">
        <v>1.0723</v>
      </c>
      <c r="O127" s="1">
        <v>1.0891</v>
      </c>
      <c r="P127" s="1" t="s">
        <v>887</v>
      </c>
      <c r="Q127" s="30">
        <v>45412</v>
      </c>
      <c r="R127" s="1">
        <v>2</v>
      </c>
      <c r="S127" s="1">
        <v>1000</v>
      </c>
      <c r="T127" s="9">
        <v>45275</v>
      </c>
      <c r="U127" s="1">
        <v>2</v>
      </c>
      <c r="V127" s="62">
        <f>aktuelleAnleihen[[#This Row],[Stückelung]]*aktuelleAnleihen[[#This Row],[Anteile]]*aktuelleAnleihen[[#This Row],[Coupon]]/aktuelleAnleihen[[#This Row],[Aktueller Wechselkurs]]*($AC$1-aktuelleAnleihen[[#This Row],[Letzte Zinszahlung]])/365</f>
        <v>81.442135834162428</v>
      </c>
      <c r="W127" s="4">
        <v>64.756500000000003</v>
      </c>
      <c r="X127" s="120" t="s">
        <v>276</v>
      </c>
      <c r="Y127" s="120" t="s">
        <v>1011</v>
      </c>
      <c r="Z127" s="1" t="s">
        <v>1252</v>
      </c>
      <c r="AA127" s="1" t="s">
        <v>1253</v>
      </c>
      <c r="AB127" s="3">
        <f>SUMIF('Zinszahlungen Anleihen'!K:K,aktuelleAnleihen[[#This Row],[ISIN]],'Zinszahlungen Anleihen'!D:D)</f>
        <v>0</v>
      </c>
      <c r="AE127" s="10"/>
      <c r="AF127" s="1"/>
      <c r="AH127" s="7"/>
      <c r="AJ127" s="1"/>
      <c r="AN127" s="1"/>
      <c r="AQ127" s="1"/>
    </row>
    <row r="128" spans="1:43" x14ac:dyDescent="0.2">
      <c r="A128" s="1" t="s">
        <v>1504</v>
      </c>
      <c r="B128" s="1" t="s">
        <v>1</v>
      </c>
      <c r="C128" s="7">
        <v>0.10375</v>
      </c>
      <c r="D128" s="7">
        <v>1.08375</v>
      </c>
      <c r="E128" s="7">
        <f>aktuelleAnleihen[[#This Row],[Aktueller Kurs]]-aktuelleAnleihen[[#This Row],[Kaufkurs]]</f>
        <v>-3.7499999999999201E-3</v>
      </c>
      <c r="F128" s="8">
        <f>aktuelleAnleihen[[#This Row],[Stückelung]]*aktuelleAnleihen[[#This Row],[Aktueller Kurs]]*aktuelleAnleihen[[#This Row],[Anteile]]/aktuelleAnleihen[[#This Row],[Aktueller Wechselkurs]]+aktuelleAnleihen[[#This Row],[Stückzinsen]]</f>
        <v>2009.4887949456822</v>
      </c>
      <c r="G128" s="8">
        <f>aktuelleAnleihen[[#This Row],[Kursdifferenz]]*aktuelleAnleihen[[#This Row],[Anteile]]*aktuelleAnleihen[[#This Row],[Stückelung]]/aktuelleAnleihen[[#This Row],[Wechselkurs am Kauftag]]</f>
        <v>-6.9943112934811529</v>
      </c>
      <c r="H128" s="8">
        <f>aktuelleAnleihen[[#This Row],[Stückzinsen]]-aktuelleAnleihen[[#This Row],[Stückzinsen am Kauftag]]+aktuelleAnleihen[[#This Row],[Zinszahlungen]]</f>
        <v>20.198975511430632</v>
      </c>
      <c r="I128" s="8">
        <f>aktuelleAnleihen[[#This Row],[Gewinn gesamt]]-aktuelleAnleihen[[#This Row],[Gewinn aus Kursänderung]]-aktuelleAnleihen[[#This Row],[Gewinn aus Zinsen]]</f>
        <v>-31.180614544366357</v>
      </c>
      <c r="J128" s="7">
        <f>aktuelleAnleihen[[#This Row],[Gewinn gesamt]]/aktuelleAnleihen[[#This Row],[Kaufpreis]]</f>
        <v>-8.4620196040233117E-3</v>
      </c>
      <c r="K128" s="3">
        <f>aktuelleAnleihen[[#This Row],[Verkaufspreis]]-aktuelleAnleihen[[#This Row],[Kaufpreis]]+aktuelleAnleihen[[#This Row],[Zinszahlungen]]</f>
        <v>-17.975950326416879</v>
      </c>
      <c r="L128" s="4">
        <v>2124.3096999999998</v>
      </c>
      <c r="M128" s="7">
        <v>1.0874999999999999</v>
      </c>
      <c r="N128" s="61">
        <v>1.0723</v>
      </c>
      <c r="O128" s="1">
        <v>1.0891</v>
      </c>
      <c r="P128" s="1" t="s">
        <v>887</v>
      </c>
      <c r="Q128" s="30">
        <v>45412</v>
      </c>
      <c r="R128" s="1">
        <v>2</v>
      </c>
      <c r="S128" s="1">
        <v>1000</v>
      </c>
      <c r="T128" s="9">
        <v>45413</v>
      </c>
      <c r="U128" s="1">
        <v>2</v>
      </c>
      <c r="V128" s="62">
        <f>aktuelleAnleihen[[#This Row],[Stückelung]]*aktuelleAnleihen[[#This Row],[Anteile]]*aktuelleAnleihen[[#This Row],[Coupon]]/aktuelleAnleihen[[#This Row],[Aktueller Wechselkurs]]*($AC$1-aktuelleAnleihen[[#This Row],[Letzte Zinszahlung]])/365</f>
        <v>19.313420783529946</v>
      </c>
      <c r="W128" s="4">
        <v>95.959400000000002</v>
      </c>
      <c r="X128" s="120" t="s">
        <v>981</v>
      </c>
      <c r="Y128" s="120" t="s">
        <v>1011</v>
      </c>
      <c r="Z128" s="1" t="s">
        <v>1505</v>
      </c>
      <c r="AA128" s="1" t="s">
        <v>1506</v>
      </c>
      <c r="AB128" s="3">
        <f>SUMIF('Zinszahlungen Anleihen'!K:K,aktuelleAnleihen[[#This Row],[ISIN]],'Zinszahlungen Anleihen'!D:D)</f>
        <v>96.844954727900685</v>
      </c>
      <c r="AE128" s="10"/>
      <c r="AF128" s="1"/>
      <c r="AH128" s="7"/>
      <c r="AJ128" s="1"/>
      <c r="AN128" s="1"/>
      <c r="AQ128" s="1"/>
    </row>
    <row r="129" spans="1:43" x14ac:dyDescent="0.2">
      <c r="A129" s="1" t="s">
        <v>808</v>
      </c>
      <c r="B129" s="1" t="s">
        <v>2</v>
      </c>
      <c r="C129" s="7">
        <v>6.25E-2</v>
      </c>
      <c r="D129" s="7">
        <v>1.0382400000000001</v>
      </c>
      <c r="E129" s="7">
        <f>aktuelleAnleihen[[#This Row],[Aktueller Kurs]]-aktuelleAnleihen[[#This Row],[Kaufkurs]]</f>
        <v>-3.4600000000000186E-3</v>
      </c>
      <c r="F129" s="8">
        <f>aktuelleAnleihen[[#This Row],[Stückelung]]*aktuelleAnleihen[[#This Row],[Aktueller Kurs]]*aktuelleAnleihen[[#This Row],[Anteile]]/aktuelleAnleihen[[#This Row],[Aktueller Wechselkurs]]+aktuelleAnleihen[[#This Row],[Stückzinsen]]</f>
        <v>2084.3567123287671</v>
      </c>
      <c r="G129" s="8">
        <f>aktuelleAnleihen[[#This Row],[Kursdifferenz]]*aktuelleAnleihen[[#This Row],[Anteile]]*aktuelleAnleihen[[#This Row],[Stückelung]]/aktuelleAnleihen[[#This Row],[Wechselkurs am Kauftag]]</f>
        <v>-6.9200000000000372</v>
      </c>
      <c r="H129" s="8">
        <f>aktuelleAnleihen[[#This Row],[Stückzinsen]]-aktuelleAnleihen[[#This Row],[Stückzinsen am Kauftag]]+aktuelleAnleihen[[#This Row],[Zinszahlungen]]</f>
        <v>22.431512328767127</v>
      </c>
      <c r="I129" s="8">
        <f>aktuelleAnleihen[[#This Row],[Gewinn gesamt]]-aktuelleAnleihen[[#This Row],[Gewinn aus Kursänderung]]-aktuelleAnleihen[[#This Row],[Gewinn aus Zinsen]]</f>
        <v>-1.7763568394002505E-13</v>
      </c>
      <c r="J129" s="7">
        <f>aktuelleAnleihen[[#This Row],[Gewinn gesamt]]/aktuelleAnleihen[[#This Row],[Kaufpreis]]</f>
        <v>7.2778038624465484E-3</v>
      </c>
      <c r="K129" s="3">
        <f>aktuelleAnleihen[[#This Row],[Verkaufspreis]]-aktuelleAnleihen[[#This Row],[Kaufpreis]]+aktuelleAnleihen[[#This Row],[Zinszahlungen]]</f>
        <v>15.511512328766912</v>
      </c>
      <c r="L129" s="4">
        <v>2131.3452000000002</v>
      </c>
      <c r="M129" s="7">
        <v>1.0417000000000001</v>
      </c>
      <c r="N129" s="61">
        <v>1</v>
      </c>
      <c r="O129" s="1">
        <v>1</v>
      </c>
      <c r="P129" s="1" t="s">
        <v>925</v>
      </c>
      <c r="Q129" s="30">
        <v>45385</v>
      </c>
      <c r="R129" s="1">
        <v>2</v>
      </c>
      <c r="S129" s="1">
        <v>1000</v>
      </c>
      <c r="T129" s="9">
        <v>45427</v>
      </c>
      <c r="U129" s="1">
        <v>2</v>
      </c>
      <c r="V129" s="62">
        <f>aktuelleAnleihen[[#This Row],[Stückelung]]*aktuelleAnleihen[[#This Row],[Anteile]]*aktuelleAnleihen[[#This Row],[Coupon]]/aktuelleAnleihen[[#This Row],[Aktueller Wechselkurs]]*($AC$1-aktuelleAnleihen[[#This Row],[Letzte Zinszahlung]])/365</f>
        <v>7.8767123287671232</v>
      </c>
      <c r="W129" s="4">
        <v>47.9452</v>
      </c>
      <c r="X129" s="120" t="s">
        <v>51</v>
      </c>
      <c r="Y129" s="120" t="s">
        <v>52</v>
      </c>
      <c r="Z129" s="1" t="s">
        <v>809</v>
      </c>
      <c r="AA129" s="1" t="s">
        <v>810</v>
      </c>
      <c r="AB129" s="3">
        <f>SUMIF('Zinszahlungen Anleihen'!K:K,aktuelleAnleihen[[#This Row],[ISIN]],'Zinszahlungen Anleihen'!D:D)</f>
        <v>62.5</v>
      </c>
      <c r="AE129" s="10"/>
      <c r="AF129" s="1"/>
      <c r="AH129" s="7"/>
      <c r="AJ129" s="1"/>
      <c r="AN129" s="1"/>
      <c r="AQ129" s="1"/>
    </row>
    <row r="130" spans="1:43" x14ac:dyDescent="0.2">
      <c r="A130" s="1" t="s">
        <v>1270</v>
      </c>
      <c r="B130" s="1" t="s">
        <v>10</v>
      </c>
      <c r="C130" s="7">
        <v>9.2499999999999999E-2</v>
      </c>
      <c r="D130" s="7">
        <v>1.0182</v>
      </c>
      <c r="E130" s="7">
        <f>aktuelleAnleihen[[#This Row],[Aktueller Kurs]]-aktuelleAnleihen[[#This Row],[Kaufkurs]]</f>
        <v>-3.6000000000000476E-3</v>
      </c>
      <c r="F130" s="8">
        <f>aktuelleAnleihen[[#This Row],[Stückelung]]*aktuelleAnleihen[[#This Row],[Aktueller Kurs]]*aktuelleAnleihen[[#This Row],[Anteile]]/aktuelleAnleihen[[#This Row],[Aktueller Wechselkurs]]+aktuelleAnleihen[[#This Row],[Stückzinsen]]</f>
        <v>1887.4853309820978</v>
      </c>
      <c r="G130" s="8">
        <f>aktuelleAnleihen[[#This Row],[Kursdifferenz]]*aktuelleAnleihen[[#This Row],[Anteile]]*aktuelleAnleihen[[#This Row],[Stückelung]]/aktuelleAnleihen[[#This Row],[Wechselkurs am Kauftag]]</f>
        <v>-6.7145388417421383</v>
      </c>
      <c r="H130" s="8">
        <f>aktuelleAnleihen[[#This Row],[Stückzinsen]]-aktuelleAnleihen[[#This Row],[Stückzinsen am Kauftag]]+aktuelleAnleihen[[#This Row],[Zinszahlungen]]</f>
        <v>17.684578066846701</v>
      </c>
      <c r="I130" s="8">
        <f>aktuelleAnleihen[[#This Row],[Gewinn gesamt]]-aktuelleAnleihen[[#This Row],[Gewinn aus Kursänderung]]-aktuelleAnleihen[[#This Row],[Gewinn aus Zinsen]]</f>
        <v>-29.294608243006714</v>
      </c>
      <c r="J130" s="7">
        <f>aktuelleAnleihen[[#This Row],[Gewinn gesamt]]/aktuelleAnleihen[[#This Row],[Kaufpreis]]</f>
        <v>-9.6151085257255454E-3</v>
      </c>
      <c r="K130" s="3">
        <f>aktuelleAnleihen[[#This Row],[Verkaufspreis]]-aktuelleAnleihen[[#This Row],[Kaufpreis]]+aktuelleAnleihen[[#This Row],[Zinszahlungen]]</f>
        <v>-18.324569017902149</v>
      </c>
      <c r="L130" s="4">
        <v>1905.8099</v>
      </c>
      <c r="M130" s="7">
        <v>1.0218</v>
      </c>
      <c r="N130" s="61">
        <v>1.0723</v>
      </c>
      <c r="O130" s="1">
        <v>1.0891</v>
      </c>
      <c r="P130" s="1" t="s">
        <v>887</v>
      </c>
      <c r="Q130" s="30">
        <v>45412</v>
      </c>
      <c r="R130" s="1">
        <v>2</v>
      </c>
      <c r="S130" s="1">
        <v>1000</v>
      </c>
      <c r="T130" s="9">
        <v>45412</v>
      </c>
      <c r="U130" s="1">
        <v>2</v>
      </c>
      <c r="V130" s="62">
        <f>aktuelleAnleihen[[#This Row],[Stückelung]]*aktuelleAnleihen[[#This Row],[Anteile]]*aktuelleAnleihen[[#This Row],[Coupon]]/aktuelleAnleihen[[#This Row],[Aktueller Wechselkurs]]*($AC$1-aktuelleAnleihen[[#This Row],[Letzte Zinszahlung]])/365</f>
        <v>17.684578066846701</v>
      </c>
      <c r="W130" s="4">
        <v>0</v>
      </c>
      <c r="X130" s="120" t="s">
        <v>1004</v>
      </c>
      <c r="Y130" s="120" t="s">
        <v>52</v>
      </c>
      <c r="Z130" s="1" t="s">
        <v>1271</v>
      </c>
      <c r="AA130" s="1" t="s">
        <v>1272</v>
      </c>
      <c r="AB130" s="3">
        <f>SUMIF('Zinszahlungen Anleihen'!K:K,aktuelleAnleihen[[#This Row],[ISIN]],'Zinszahlungen Anleihen'!D:D)</f>
        <v>0</v>
      </c>
      <c r="AE130" s="10"/>
      <c r="AF130" s="1"/>
      <c r="AH130" s="7"/>
      <c r="AJ130" s="1"/>
      <c r="AN130" s="1"/>
      <c r="AQ130" s="1"/>
    </row>
    <row r="131" spans="1:43" x14ac:dyDescent="0.2">
      <c r="A131" s="1" t="s">
        <v>1118</v>
      </c>
      <c r="B131" s="1" t="s">
        <v>0</v>
      </c>
      <c r="C131" s="7">
        <v>9.758E-2</v>
      </c>
      <c r="D131" s="7">
        <v>1.0481</v>
      </c>
      <c r="E131" s="7">
        <f>aktuelleAnleihen[[#This Row],[Aktueller Kurs]]-aktuelleAnleihen[[#This Row],[Kaufkurs]]</f>
        <v>-3.5000000000000586E-3</v>
      </c>
      <c r="F131" s="8">
        <f>aktuelleAnleihen[[#This Row],[Stückelung]]*aktuelleAnleihen[[#This Row],[Aktueller Kurs]]*aktuelleAnleihen[[#This Row],[Anteile]]/aktuelleAnleihen[[#This Row],[Aktueller Wechselkurs]]+aktuelleAnleihen[[#This Row],[Stückzinsen]]</f>
        <v>1936.9820248716112</v>
      </c>
      <c r="G131" s="8">
        <f>aktuelleAnleihen[[#This Row],[Kursdifferenz]]*aktuelleAnleihen[[#This Row],[Anteile]]*aktuelleAnleihen[[#This Row],[Stückelung]]/aktuelleAnleihen[[#This Row],[Wechselkurs am Kauftag]]</f>
        <v>-6.5280238739159913</v>
      </c>
      <c r="H131" s="8">
        <f>aktuelleAnleihen[[#This Row],[Stückzinsen]]-aktuelleAnleihen[[#This Row],[Stückzinsen am Kauftag]]+aktuelleAnleihen[[#This Row],[Zinszahlungen]]</f>
        <v>18.448420694998163</v>
      </c>
      <c r="I131" s="8">
        <f>aktuelleAnleihen[[#This Row],[Gewinn gesamt]]-aktuelleAnleihen[[#This Row],[Gewinn aus Kursänderung]]-aktuelleAnleihen[[#This Row],[Gewinn aus Zinsen]]</f>
        <v>-30.154901238561685</v>
      </c>
      <c r="J131" s="7">
        <f>aktuelleAnleihen[[#This Row],[Gewinn gesamt]]/aktuelleAnleihen[[#This Row],[Kaufpreis]]</f>
        <v>-8.9137490886095298E-3</v>
      </c>
      <c r="K131" s="3">
        <f>aktuelleAnleihen[[#This Row],[Verkaufspreis]]-aktuelleAnleihen[[#This Row],[Kaufpreis]]+aktuelleAnleihen[[#This Row],[Zinszahlungen]]</f>
        <v>-18.234504417479513</v>
      </c>
      <c r="L131" s="4">
        <v>2045.6605</v>
      </c>
      <c r="M131" s="7">
        <v>1.0516000000000001</v>
      </c>
      <c r="N131" s="61">
        <v>1.0723</v>
      </c>
      <c r="O131" s="1">
        <v>1.0891</v>
      </c>
      <c r="P131" s="1" t="s">
        <v>887</v>
      </c>
      <c r="Q131" s="30">
        <v>45412</v>
      </c>
      <c r="R131" s="1">
        <v>2</v>
      </c>
      <c r="S131" s="1">
        <v>1000</v>
      </c>
      <c r="T131" s="9">
        <v>45425</v>
      </c>
      <c r="U131" s="1">
        <v>2</v>
      </c>
      <c r="V131" s="62">
        <f>aktuelleAnleihen[[#This Row],[Stückelung]]*aktuelleAnleihen[[#This Row],[Anteile]]*aktuelleAnleihen[[#This Row],[Coupon]]/aktuelleAnleihen[[#This Row],[Aktueller Wechselkurs]]*($AC$1-aktuelleAnleihen[[#This Row],[Letzte Zinszahlung]])/365</f>
        <v>12.273549984088913</v>
      </c>
      <c r="W131" s="4">
        <v>84.269099999999995</v>
      </c>
      <c r="X131" s="120" t="s">
        <v>1004</v>
      </c>
      <c r="Y131" s="120" t="s">
        <v>52</v>
      </c>
      <c r="Z131" s="1" t="s">
        <v>1119</v>
      </c>
      <c r="AA131" s="1" t="s">
        <v>1120</v>
      </c>
      <c r="AB131" s="3">
        <f>SUMIF('Zinszahlungen Anleihen'!K:K,aktuelleAnleihen[[#This Row],[ISIN]],'Zinszahlungen Anleihen'!D:D)</f>
        <v>90.443970710909241</v>
      </c>
      <c r="AE131" s="10"/>
      <c r="AF131" s="1"/>
      <c r="AH131" s="7"/>
      <c r="AJ131" s="1"/>
      <c r="AN131" s="1"/>
      <c r="AQ131" s="1"/>
    </row>
    <row r="132" spans="1:43" x14ac:dyDescent="0.2">
      <c r="A132" s="1" t="s">
        <v>990</v>
      </c>
      <c r="B132" s="1" t="s">
        <v>1</v>
      </c>
      <c r="C132" s="7">
        <v>0.13375000000000001</v>
      </c>
      <c r="D132" s="7">
        <v>1.1024</v>
      </c>
      <c r="E132" s="7">
        <f>aktuelleAnleihen[[#This Row],[Aktueller Kurs]]-aktuelleAnleihen[[#This Row],[Kaufkurs]]</f>
        <v>-3.2999999999998586E-3</v>
      </c>
      <c r="F132" s="8">
        <f>aktuelleAnleihen[[#This Row],[Stückelung]]*aktuelleAnleihen[[#This Row],[Aktueller Kurs]]*aktuelleAnleihen[[#This Row],[Anteile]]/aktuelleAnleihen[[#This Row],[Aktueller Wechselkurs]]+aktuelleAnleihen[[#This Row],[Stückzinsen]]</f>
        <v>2060.088573825567</v>
      </c>
      <c r="G132" s="8">
        <f>aktuelleAnleihen[[#This Row],[Kursdifferenz]]*aktuelleAnleihen[[#This Row],[Anteile]]*aktuelleAnleihen[[#This Row],[Stückelung]]/aktuelleAnleihen[[#This Row],[Wechselkurs am Kauftag]]</f>
        <v>-6.1549939382632814</v>
      </c>
      <c r="H132" s="8">
        <f>aktuelleAnleihen[[#This Row],[Stückzinsen]]-aktuelleAnleihen[[#This Row],[Stückzinsen am Kauftag]]+aktuelleAnleihen[[#This Row],[Zinszahlungen]]</f>
        <v>25.412837630543258</v>
      </c>
      <c r="I132" s="8">
        <f>aktuelleAnleihen[[#This Row],[Gewinn gesamt]]-aktuelleAnleihen[[#This Row],[Gewinn aus Kursänderung]]-aktuelleAnleihen[[#This Row],[Gewinn aus Zinsen]]</f>
        <v>-31.717169866713022</v>
      </c>
      <c r="J132" s="7">
        <f>aktuelleAnleihen[[#This Row],[Gewinn gesamt]]/aktuelleAnleihen[[#This Row],[Kaufpreis]]</f>
        <v>-6.0115986580734975E-3</v>
      </c>
      <c r="K132" s="3">
        <f>aktuelleAnleihen[[#This Row],[Verkaufspreis]]-aktuelleAnleihen[[#This Row],[Kaufpreis]]+aktuelleAnleihen[[#This Row],[Zinszahlungen]]</f>
        <v>-12.459326174433045</v>
      </c>
      <c r="L132" s="4">
        <v>2072.5479</v>
      </c>
      <c r="M132" s="7">
        <v>1.1056999999999999</v>
      </c>
      <c r="N132" s="61">
        <v>1.0723</v>
      </c>
      <c r="O132" s="1">
        <v>1.0891</v>
      </c>
      <c r="P132" s="1" t="s">
        <v>887</v>
      </c>
      <c r="Q132" s="30">
        <v>45412</v>
      </c>
      <c r="R132" s="1">
        <v>2</v>
      </c>
      <c r="S132" s="1">
        <v>1000</v>
      </c>
      <c r="T132" s="9">
        <v>45397</v>
      </c>
      <c r="U132" s="1">
        <v>2</v>
      </c>
      <c r="V132" s="62">
        <f>aktuelleAnleihen[[#This Row],[Stückelung]]*aktuelleAnleihen[[#This Row],[Anteile]]*aktuelleAnleihen[[#This Row],[Coupon]]/aktuelleAnleihen[[#This Row],[Aktueller Wechselkurs]]*($AC$1-aktuelleAnleihen[[#This Row],[Letzte Zinszahlung]])/365</f>
        <v>35.664737630543257</v>
      </c>
      <c r="W132" s="4">
        <v>10.251899999999999</v>
      </c>
      <c r="X132" s="120" t="s">
        <v>991</v>
      </c>
      <c r="Y132" s="120" t="s">
        <v>109</v>
      </c>
      <c r="Z132" s="1" t="s">
        <v>992</v>
      </c>
      <c r="AA132" s="1" t="s">
        <v>993</v>
      </c>
      <c r="AB132" s="3">
        <f>SUMIF('Zinszahlungen Anleihen'!K:K,aktuelleAnleihen[[#This Row],[ISIN]],'Zinszahlungen Anleihen'!D:D)</f>
        <v>0</v>
      </c>
      <c r="AE132" s="10"/>
      <c r="AF132" s="1"/>
      <c r="AH132" s="7"/>
      <c r="AJ132" s="1"/>
      <c r="AN132" s="1"/>
      <c r="AQ132" s="1"/>
    </row>
    <row r="133" spans="1:43" x14ac:dyDescent="0.2">
      <c r="A133" s="1" t="s">
        <v>770</v>
      </c>
      <c r="B133" s="1" t="s">
        <v>8</v>
      </c>
      <c r="C133" s="7">
        <v>6.5000000000000002E-2</v>
      </c>
      <c r="D133" s="7">
        <v>1.073</v>
      </c>
      <c r="E133" s="7">
        <f>aktuelleAnleihen[[#This Row],[Aktueller Kurs]]-aktuelleAnleihen[[#This Row],[Kaufkurs]]</f>
        <v>-2.9999999999998916E-3</v>
      </c>
      <c r="F133" s="8">
        <f>aktuelleAnleihen[[#This Row],[Stückelung]]*aktuelleAnleihen[[#This Row],[Aktueller Kurs]]*aktuelleAnleihen[[#This Row],[Anteile]]/aktuelleAnleihen[[#This Row],[Aktueller Wechselkurs]]+aktuelleAnleihen[[#This Row],[Stückzinsen]]</f>
        <v>2246.4383561643835</v>
      </c>
      <c r="G133" s="8">
        <f>aktuelleAnleihen[[#This Row],[Kursdifferenz]]*aktuelleAnleihen[[#This Row],[Anteile]]*aktuelleAnleihen[[#This Row],[Stückelung]]/aktuelleAnleihen[[#This Row],[Wechselkurs am Kauftag]]</f>
        <v>-5.9999999999997833</v>
      </c>
      <c r="H133" s="8">
        <f>aktuelleAnleihen[[#This Row],[Stückzinsen]]-aktuelleAnleihen[[#This Row],[Stückzinsen am Kauftag]]+aktuelleAnleihen[[#This Row],[Zinszahlungen]]</f>
        <v>23.150656164383562</v>
      </c>
      <c r="I133" s="8">
        <f>aktuelleAnleihen[[#This Row],[Gewinn gesamt]]-aktuelleAnleihen[[#This Row],[Gewinn aus Kursänderung]]-aktuelleAnleihen[[#This Row],[Gewinn aus Zinsen]]</f>
        <v>-8.8817841970012523E-14</v>
      </c>
      <c r="J133" s="7">
        <f>aktuelleAnleihen[[#This Row],[Gewinn gesamt]]/aktuelleAnleihen[[#This Row],[Kaufpreis]]</f>
        <v>7.6933345859234283E-3</v>
      </c>
      <c r="K133" s="3">
        <f>aktuelleAnleihen[[#This Row],[Verkaufspreis]]-aktuelleAnleihen[[#This Row],[Kaufpreis]]+aktuelleAnleihen[[#This Row],[Zinszahlungen]]</f>
        <v>17.15065616438369</v>
      </c>
      <c r="L133" s="4">
        <v>2229.2876999999999</v>
      </c>
      <c r="M133" s="7">
        <v>1.0759999999999998</v>
      </c>
      <c r="N133" s="61">
        <v>1</v>
      </c>
      <c r="O133" s="1">
        <v>1</v>
      </c>
      <c r="P133" s="1" t="s">
        <v>925</v>
      </c>
      <c r="Q133" s="30">
        <v>45385</v>
      </c>
      <c r="R133" s="1">
        <v>2</v>
      </c>
      <c r="S133" s="1">
        <v>1000</v>
      </c>
      <c r="T133" s="9">
        <v>45168</v>
      </c>
      <c r="U133" s="1">
        <v>1</v>
      </c>
      <c r="V133" s="62">
        <f>aktuelleAnleihen[[#This Row],[Stückelung]]*aktuelleAnleihen[[#This Row],[Anteile]]*aktuelleAnleihen[[#This Row],[Coupon]]/aktuelleAnleihen[[#This Row],[Aktueller Wechselkurs]]*($AC$1-aktuelleAnleihen[[#This Row],[Letzte Zinszahlung]])/365</f>
        <v>100.43835616438356</v>
      </c>
      <c r="W133" s="4">
        <v>77.287700000000001</v>
      </c>
      <c r="X133" s="120" t="s">
        <v>65</v>
      </c>
      <c r="Y133" s="120" t="s">
        <v>57</v>
      </c>
      <c r="Z133" s="1" t="s">
        <v>771</v>
      </c>
      <c r="AA133" s="1" t="s">
        <v>772</v>
      </c>
      <c r="AB133" s="3">
        <f>SUMIF('Zinszahlungen Anleihen'!K:K,aktuelleAnleihen[[#This Row],[ISIN]],'Zinszahlungen Anleihen'!D:D)</f>
        <v>0</v>
      </c>
      <c r="AE133" s="10"/>
      <c r="AF133" s="1"/>
      <c r="AH133" s="7"/>
      <c r="AJ133" s="1"/>
      <c r="AN133" s="1"/>
      <c r="AQ133" s="1"/>
    </row>
    <row r="134" spans="1:43" x14ac:dyDescent="0.2">
      <c r="A134" s="1" t="s">
        <v>857</v>
      </c>
      <c r="B134" s="1" t="s">
        <v>11</v>
      </c>
      <c r="C134" s="7">
        <v>0.06</v>
      </c>
      <c r="D134" s="7">
        <v>1.1526000000000001</v>
      </c>
      <c r="E134" s="7">
        <f>aktuelleAnleihen[[#This Row],[Aktueller Kurs]]-aktuelleAnleihen[[#This Row],[Kaufkurs]]</f>
        <v>-2.8999999999999027E-3</v>
      </c>
      <c r="F134" s="8">
        <f>aktuelleAnleihen[[#This Row],[Stückelung]]*aktuelleAnleihen[[#This Row],[Aktueller Kurs]]*aktuelleAnleihen[[#This Row],[Anteile]]/aktuelleAnleihen[[#This Row],[Aktueller Wechselkurs]]+aktuelleAnleihen[[#This Row],[Stückzinsen]]</f>
        <v>2317.364383561644</v>
      </c>
      <c r="G134" s="8">
        <f>aktuelleAnleihen[[#This Row],[Kursdifferenz]]*aktuelleAnleihen[[#This Row],[Anteile]]*aktuelleAnleihen[[#This Row],[Stückelung]]/aktuelleAnleihen[[#This Row],[Wechselkurs am Kauftag]]</f>
        <v>-5.7999999999998053</v>
      </c>
      <c r="H134" s="8">
        <f>aktuelleAnleihen[[#This Row],[Stückzinsen]]-aktuelleAnleihen[[#This Row],[Stückzinsen am Kauftag]]+aktuelleAnleihen[[#This Row],[Zinszahlungen]]</f>
        <v>21.534283561643839</v>
      </c>
      <c r="I134" s="8">
        <f>aktuelleAnleihen[[#This Row],[Gewinn gesamt]]-aktuelleAnleihen[[#This Row],[Gewinn aus Kursänderung]]-aktuelleAnleihen[[#This Row],[Gewinn aus Zinsen]]</f>
        <v>9.9475983006414026E-14</v>
      </c>
      <c r="J134" s="7">
        <f>aktuelleAnleihen[[#This Row],[Gewinn gesamt]]/aktuelleAnleihen[[#This Row],[Kaufpreis]]</f>
        <v>6.6624674040376324E-3</v>
      </c>
      <c r="K134" s="3">
        <f>aktuelleAnleihen[[#This Row],[Verkaufspreis]]-aktuelleAnleihen[[#This Row],[Kaufpreis]]+aktuelleAnleihen[[#This Row],[Zinszahlungen]]</f>
        <v>15.734283561644133</v>
      </c>
      <c r="L134" s="4">
        <v>2361.6300999999999</v>
      </c>
      <c r="M134" s="7">
        <v>1.1555</v>
      </c>
      <c r="N134" s="61">
        <v>1</v>
      </c>
      <c r="O134" s="1">
        <v>1</v>
      </c>
      <c r="P134" s="1" t="s">
        <v>925</v>
      </c>
      <c r="Q134" s="30">
        <v>45385</v>
      </c>
      <c r="R134" s="1">
        <v>2</v>
      </c>
      <c r="S134" s="1">
        <v>1000</v>
      </c>
      <c r="T134" s="9">
        <v>45413</v>
      </c>
      <c r="U134" s="1">
        <v>2</v>
      </c>
      <c r="V134" s="62">
        <f>aktuelleAnleihen[[#This Row],[Stückelung]]*aktuelleAnleihen[[#This Row],[Anteile]]*aktuelleAnleihen[[#This Row],[Coupon]]/aktuelleAnleihen[[#This Row],[Aktueller Wechselkurs]]*($AC$1-aktuelleAnleihen[[#This Row],[Letzte Zinszahlung]])/365</f>
        <v>12.164383561643836</v>
      </c>
      <c r="W134" s="4">
        <v>50.630099999999999</v>
      </c>
      <c r="X134" s="120" t="s">
        <v>170</v>
      </c>
      <c r="Y134" s="120" t="s">
        <v>39</v>
      </c>
      <c r="Z134" s="1" t="s">
        <v>858</v>
      </c>
      <c r="AA134" s="1" t="s">
        <v>859</v>
      </c>
      <c r="AB134" s="3">
        <f>SUMIF('Zinszahlungen Anleihen'!K:K,aktuelleAnleihen[[#This Row],[ISIN]],'Zinszahlungen Anleihen'!D:D)</f>
        <v>60</v>
      </c>
      <c r="AE134" s="10"/>
      <c r="AF134" s="1"/>
      <c r="AH134" s="7"/>
      <c r="AJ134" s="1"/>
      <c r="AN134" s="1"/>
      <c r="AQ134" s="1"/>
    </row>
    <row r="135" spans="1:43" x14ac:dyDescent="0.2">
      <c r="A135" s="1" t="s">
        <v>1596</v>
      </c>
      <c r="B135" s="1" t="s">
        <v>1</v>
      </c>
      <c r="C135" s="7">
        <v>8.3750000000000005E-2</v>
      </c>
      <c r="D135" s="7">
        <v>0.69299999999999995</v>
      </c>
      <c r="E135" s="7">
        <f>aktuelleAnleihen[[#This Row],[Aktueller Kurs]]-aktuelleAnleihen[[#This Row],[Kaufkurs]]</f>
        <v>-3.0999999999999917E-3</v>
      </c>
      <c r="F135" s="8">
        <f>aktuelleAnleihen[[#This Row],[Stückelung]]*aktuelleAnleihen[[#This Row],[Aktueller Kurs]]*aktuelleAnleihen[[#This Row],[Anteile]]/aktuelleAnleihen[[#This Row],[Aktueller Wechselkurs]]+aktuelleAnleihen[[#This Row],[Stückzinsen]]</f>
        <v>1283.1444336972968</v>
      </c>
      <c r="G135" s="8">
        <f>aktuelleAnleihen[[#This Row],[Kursdifferenz]]*aktuelleAnleihen[[#This Row],[Anteile]]*aktuelleAnleihen[[#This Row],[Stückelung]]/aktuelleAnleihen[[#This Row],[Wechselkurs am Kauftag]]</f>
        <v>-5.7819640026111943</v>
      </c>
      <c r="H135" s="8">
        <f>aktuelleAnleihen[[#This Row],[Stückzinsen]]-aktuelleAnleihen[[#This Row],[Stückzinsen am Kauftag]]+aktuelleAnleihen[[#This Row],[Zinszahlungen]]</f>
        <v>15.833680592396981</v>
      </c>
      <c r="I135" s="8">
        <f>aktuelleAnleihen[[#This Row],[Gewinn gesamt]]-aktuelleAnleihen[[#This Row],[Gewinn aus Kursänderung]]-aktuelleAnleihen[[#This Row],[Gewinn aus Zinsen]]</f>
        <v>-19.938223730379537</v>
      </c>
      <c r="J135" s="7">
        <f>aktuelleAnleihen[[#This Row],[Gewinn gesamt]]/aktuelleAnleihen[[#This Row],[Kaufpreis]]</f>
        <v>-7.2129731870737759E-3</v>
      </c>
      <c r="K135" s="3">
        <f>aktuelleAnleihen[[#This Row],[Verkaufspreis]]-aktuelleAnleihen[[#This Row],[Kaufpreis]]+aktuelleAnleihen[[#This Row],[Zinszahlungen]]</f>
        <v>-9.8865071405937499</v>
      </c>
      <c r="L135" s="4">
        <v>1370.6563000000001</v>
      </c>
      <c r="M135" s="7">
        <v>0.69609999999999994</v>
      </c>
      <c r="N135" s="61">
        <v>1.0723</v>
      </c>
      <c r="O135" s="1">
        <v>1.0891</v>
      </c>
      <c r="P135" s="1" t="s">
        <v>887</v>
      </c>
      <c r="Q135" s="30">
        <v>45412</v>
      </c>
      <c r="R135" s="1">
        <v>2</v>
      </c>
      <c r="S135" s="1">
        <v>1000</v>
      </c>
      <c r="T135" s="9">
        <v>45425</v>
      </c>
      <c r="U135" s="1">
        <v>2</v>
      </c>
      <c r="V135" s="62">
        <f>aktuelleAnleihen[[#This Row],[Stückelung]]*aktuelleAnleihen[[#This Row],[Anteile]]*aktuelleAnleihen[[#This Row],[Coupon]]/aktuelleAnleihen[[#This Row],[Aktueller Wechselkurs]]*($AC$1-aktuelleAnleihen[[#This Row],[Letzte Zinszahlung]])/365</f>
        <v>10.534021430287419</v>
      </c>
      <c r="W135" s="4">
        <v>72.325699999999998</v>
      </c>
      <c r="X135" s="120" t="s">
        <v>218</v>
      </c>
      <c r="Y135" s="120" t="s">
        <v>52</v>
      </c>
      <c r="Z135" s="1" t="s">
        <v>1597</v>
      </c>
      <c r="AA135" s="1" t="s">
        <v>1598</v>
      </c>
      <c r="AB135" s="3">
        <f>SUMIF('Zinszahlungen Anleihen'!K:K,aktuelleAnleihen[[#This Row],[ISIN]],'Zinszahlungen Anleihen'!D:D)</f>
        <v>77.625359162109561</v>
      </c>
      <c r="AE135" s="10"/>
      <c r="AF135" s="1"/>
      <c r="AH135" s="7"/>
      <c r="AJ135" s="1"/>
      <c r="AN135" s="1"/>
      <c r="AQ135" s="1"/>
    </row>
    <row r="136" spans="1:43" x14ac:dyDescent="0.2">
      <c r="A136" s="1" t="s">
        <v>1030</v>
      </c>
      <c r="B136" s="1" t="s">
        <v>0</v>
      </c>
      <c r="C136" s="7">
        <v>0.11125</v>
      </c>
      <c r="D136" s="7">
        <v>0.99780000000000002</v>
      </c>
      <c r="E136" s="7">
        <f>aktuelleAnleihen[[#This Row],[Aktueller Kurs]]-aktuelleAnleihen[[#This Row],[Kaufkurs]]</f>
        <v>-3.0999999999998806E-3</v>
      </c>
      <c r="F136" s="8">
        <f>aktuelleAnleihen[[#This Row],[Stückelung]]*aktuelleAnleihen[[#This Row],[Aktueller Kurs]]*aktuelleAnleihen[[#This Row],[Anteile]]/aktuelleAnleihen[[#This Row],[Aktueller Wechselkurs]]+aktuelleAnleihen[[#This Row],[Stückzinsen]]</f>
        <v>1923.0129691098471</v>
      </c>
      <c r="G136" s="8">
        <f>aktuelleAnleihen[[#This Row],[Kursdifferenz]]*aktuelleAnleihen[[#This Row],[Anteile]]*aktuelleAnleihen[[#This Row],[Stückelung]]/aktuelleAnleihen[[#This Row],[Wechselkurs am Kauftag]]</f>
        <v>-5.7819640026109864</v>
      </c>
      <c r="H136" s="8">
        <f>aktuelleAnleihen[[#This Row],[Stückzinsen]]-aktuelleAnleihen[[#This Row],[Stückzinsen am Kauftag]]+aktuelleAnleihen[[#This Row],[Zinszahlungen]]</f>
        <v>20.181940884706876</v>
      </c>
      <c r="I136" s="8">
        <f>aktuelleAnleihen[[#This Row],[Gewinn gesamt]]-aktuelleAnleihen[[#This Row],[Gewinn aus Kursänderung]]-aktuelleAnleihen[[#This Row],[Gewinn aus Zinsen]]</f>
        <v>-28.707807772248788</v>
      </c>
      <c r="J136" s="7">
        <f>aktuelleAnleihen[[#This Row],[Gewinn gesamt]]/aktuelleAnleihen[[#This Row],[Kaufpreis]]</f>
        <v>-7.3853699862990686E-3</v>
      </c>
      <c r="K136" s="3">
        <f>aktuelleAnleihen[[#This Row],[Verkaufspreis]]-aktuelleAnleihen[[#This Row],[Kaufpreis]]+aktuelleAnleihen[[#This Row],[Zinszahlungen]]</f>
        <v>-14.3078308901529</v>
      </c>
      <c r="L136" s="4">
        <v>1937.3208</v>
      </c>
      <c r="M136" s="7">
        <v>1.0008999999999999</v>
      </c>
      <c r="N136" s="61">
        <v>1.0723</v>
      </c>
      <c r="O136" s="1">
        <v>1.0891</v>
      </c>
      <c r="P136" s="1" t="s">
        <v>887</v>
      </c>
      <c r="Q136" s="30">
        <v>45412</v>
      </c>
      <c r="R136" s="1">
        <v>2</v>
      </c>
      <c r="S136" s="1">
        <v>1000</v>
      </c>
      <c r="T136" s="9">
        <v>45288</v>
      </c>
      <c r="U136" s="1">
        <v>2</v>
      </c>
      <c r="V136" s="62">
        <f>aktuelleAnleihen[[#This Row],[Stückelung]]*aktuelleAnleihen[[#This Row],[Anteile]]*aktuelleAnleihen[[#This Row],[Coupon]]/aktuelleAnleihen[[#This Row],[Aktueller Wechselkurs]]*($AC$1-aktuelleAnleihen[[#This Row],[Letzte Zinszahlung]])/365</f>
        <v>90.674340884706879</v>
      </c>
      <c r="W136" s="4">
        <v>70.492400000000004</v>
      </c>
      <c r="X136" s="120" t="s">
        <v>1031</v>
      </c>
      <c r="Y136" s="120" t="s">
        <v>39</v>
      </c>
      <c r="Z136" s="1" t="s">
        <v>1032</v>
      </c>
      <c r="AA136" s="1" t="s">
        <v>1033</v>
      </c>
      <c r="AB136" s="3">
        <f>SUMIF('Zinszahlungen Anleihen'!K:K,aktuelleAnleihen[[#This Row],[ISIN]],'Zinszahlungen Anleihen'!D:D)</f>
        <v>0</v>
      </c>
      <c r="AE136" s="10"/>
      <c r="AF136" s="1"/>
      <c r="AH136" s="7"/>
      <c r="AJ136" s="1"/>
      <c r="AN136" s="1"/>
      <c r="AQ136" s="1"/>
    </row>
    <row r="137" spans="1:43" x14ac:dyDescent="0.2">
      <c r="A137" s="1" t="s">
        <v>1073</v>
      </c>
      <c r="B137" s="1" t="s">
        <v>4</v>
      </c>
      <c r="C137" s="7">
        <v>0.10249999999999999</v>
      </c>
      <c r="D137" s="7">
        <v>0.94910000000000005</v>
      </c>
      <c r="E137" s="7">
        <f>aktuelleAnleihen[[#This Row],[Aktueller Kurs]]-aktuelleAnleihen[[#This Row],[Kaufkurs]]</f>
        <v>-2.9999999999998916E-3</v>
      </c>
      <c r="F137" s="8">
        <f>aktuelleAnleihen[[#This Row],[Stückelung]]*aktuelleAnleihen[[#This Row],[Aktueller Kurs]]*aktuelleAnleihen[[#This Row],[Anteile]]/aktuelleAnleihen[[#This Row],[Aktueller Wechselkurs]]+aktuelleAnleihen[[#This Row],[Stückzinsen]]</f>
        <v>1754.7679811029088</v>
      </c>
      <c r="G137" s="8">
        <f>aktuelleAnleihen[[#This Row],[Kursdifferenz]]*aktuelleAnleihen[[#This Row],[Anteile]]*aktuelleAnleihen[[#This Row],[Stückelung]]/aktuelleAnleihen[[#This Row],[Wechselkurs am Kauftag]]</f>
        <v>-5.5954490347848393</v>
      </c>
      <c r="H137" s="8">
        <f>aktuelleAnleihen[[#This Row],[Stückzinsen]]-aktuelleAnleihen[[#This Row],[Stückzinsen am Kauftag]]+aktuelleAnleihen[[#This Row],[Zinszahlungen]]</f>
        <v>19.148844583461695</v>
      </c>
      <c r="I137" s="8">
        <f>aktuelleAnleihen[[#This Row],[Gewinn gesamt]]-aktuelleAnleihen[[#This Row],[Gewinn aus Kursänderung]]-aktuelleAnleihen[[#This Row],[Gewinn aus Zinsen]]</f>
        <v>-27.306563544408956</v>
      </c>
      <c r="J137" s="7">
        <f>aktuelleAnleihen[[#This Row],[Gewinn gesamt]]/aktuelleAnleihen[[#This Row],[Kaufpreis]]</f>
        <v>-7.3811624792997224E-3</v>
      </c>
      <c r="K137" s="3">
        <f>aktuelleAnleihen[[#This Row],[Verkaufspreis]]-aktuelleAnleihen[[#This Row],[Kaufpreis]]+aktuelleAnleihen[[#This Row],[Zinszahlungen]]</f>
        <v>-13.753167995732099</v>
      </c>
      <c r="L137" s="4">
        <v>1863.2793999999999</v>
      </c>
      <c r="M137" s="7">
        <v>0.95209999999999995</v>
      </c>
      <c r="N137" s="61">
        <v>1.0723</v>
      </c>
      <c r="O137" s="1">
        <v>1.0891</v>
      </c>
      <c r="P137" s="1" t="s">
        <v>887</v>
      </c>
      <c r="Q137" s="30">
        <v>45412</v>
      </c>
      <c r="R137" s="1">
        <v>2</v>
      </c>
      <c r="S137" s="1">
        <v>1000</v>
      </c>
      <c r="T137" s="9">
        <v>45427</v>
      </c>
      <c r="U137" s="1">
        <v>2</v>
      </c>
      <c r="V137" s="62">
        <f>aktuelleAnleihen[[#This Row],[Stückelung]]*aktuelleAnleihen[[#This Row],[Anteile]]*aktuelleAnleihen[[#This Row],[Coupon]]/aktuelleAnleihen[[#This Row],[Aktueller Wechselkurs]]*($AC$1-aktuelleAnleihen[[#This Row],[Letzte Zinszahlung]])/365</f>
        <v>11.86099368210273</v>
      </c>
      <c r="W137" s="4">
        <v>87.470399999999998</v>
      </c>
      <c r="X137" s="120" t="s">
        <v>65</v>
      </c>
      <c r="Y137" s="120" t="s">
        <v>109</v>
      </c>
      <c r="Z137" s="1" t="s">
        <v>1074</v>
      </c>
      <c r="AA137" s="1" t="s">
        <v>1075</v>
      </c>
      <c r="AB137" s="3">
        <f>SUMIF('Zinszahlungen Anleihen'!K:K,aktuelleAnleihen[[#This Row],[ISIN]],'Zinszahlungen Anleihen'!D:D)</f>
        <v>94.758250901358963</v>
      </c>
      <c r="AE137" s="10"/>
      <c r="AF137" s="1"/>
      <c r="AH137" s="7"/>
      <c r="AJ137" s="1"/>
      <c r="AN137" s="1"/>
      <c r="AQ137" s="1"/>
    </row>
    <row r="138" spans="1:43" x14ac:dyDescent="0.2">
      <c r="A138" s="1" t="s">
        <v>1176</v>
      </c>
      <c r="B138" s="1" t="s">
        <v>2</v>
      </c>
      <c r="C138" s="7">
        <v>9.5000000000000001E-2</v>
      </c>
      <c r="D138" s="7">
        <v>1.0286</v>
      </c>
      <c r="E138" s="7">
        <f>aktuelleAnleihen[[#This Row],[Aktueller Kurs]]-aktuelleAnleihen[[#This Row],[Kaufkurs]]</f>
        <v>-2.9000000000001247E-3</v>
      </c>
      <c r="F138" s="8">
        <f>aktuelleAnleihen[[#This Row],[Stückelung]]*aktuelleAnleihen[[#This Row],[Aktueller Kurs]]*aktuelleAnleihen[[#This Row],[Anteile]]/aktuelleAnleihen[[#This Row],[Aktueller Wechselkurs]]+aktuelleAnleihen[[#This Row],[Stückzinsen]]</f>
        <v>1918.5327082937652</v>
      </c>
      <c r="G138" s="8">
        <f>aktuelleAnleihen[[#This Row],[Kursdifferenz]]*aktuelleAnleihen[[#This Row],[Anteile]]*aktuelleAnleihen[[#This Row],[Stückelung]]/aktuelleAnleihen[[#This Row],[Wechselkurs am Kauftag]]</f>
        <v>-5.4089340669591062</v>
      </c>
      <c r="H138" s="8">
        <f>aktuelleAnleihen[[#This Row],[Stückzinsen]]-aktuelleAnleihen[[#This Row],[Stückzinsen am Kauftag]]+aktuelleAnleihen[[#This Row],[Zinszahlungen]]</f>
        <v>17.98281730120258</v>
      </c>
      <c r="I138" s="8">
        <f>aktuelleAnleihen[[#This Row],[Gewinn gesamt]]-aktuelleAnleihen[[#This Row],[Gewinn aus Kursänderung]]-aktuelleAnleihen[[#This Row],[Gewinn aus Zinsen]]</f>
        <v>-29.59387494047828</v>
      </c>
      <c r="J138" s="7">
        <f>aktuelleAnleihen[[#This Row],[Gewinn gesamt]]/aktuelleAnleihen[[#This Row],[Kaufpreis]]</f>
        <v>-8.79334967538461E-3</v>
      </c>
      <c r="K138" s="3">
        <f>aktuelleAnleihen[[#This Row],[Verkaufspreis]]-aktuelleAnleihen[[#This Row],[Kaufpreis]]+aktuelleAnleihen[[#This Row],[Zinszahlungen]]</f>
        <v>-17.019991706234805</v>
      </c>
      <c r="L138" s="4">
        <v>1935.5527</v>
      </c>
      <c r="M138" s="7">
        <v>1.0315000000000001</v>
      </c>
      <c r="N138" s="61">
        <v>1.0723</v>
      </c>
      <c r="O138" s="1">
        <v>1.0891</v>
      </c>
      <c r="P138" s="1" t="s">
        <v>887</v>
      </c>
      <c r="Q138" s="30">
        <v>45412</v>
      </c>
      <c r="R138" s="1">
        <v>2</v>
      </c>
      <c r="S138" s="1">
        <v>1000</v>
      </c>
      <c r="T138" s="9">
        <v>45388</v>
      </c>
      <c r="U138" s="1">
        <v>2</v>
      </c>
      <c r="V138" s="62">
        <f>aktuelleAnleihen[[#This Row],[Stückelung]]*aktuelleAnleihen[[#This Row],[Anteile]]*aktuelleAnleihen[[#This Row],[Coupon]]/aktuelleAnleihen[[#This Row],[Aktueller Wechselkurs]]*($AC$1-aktuelleAnleihen[[#This Row],[Letzte Zinszahlung]])/365</f>
        <v>29.63361730120258</v>
      </c>
      <c r="W138" s="4">
        <v>11.6508</v>
      </c>
      <c r="X138" s="120" t="s">
        <v>65</v>
      </c>
      <c r="Y138" s="120" t="s">
        <v>52</v>
      </c>
      <c r="Z138" s="1" t="s">
        <v>1177</v>
      </c>
      <c r="AA138" s="1" t="s">
        <v>1178</v>
      </c>
      <c r="AB138" s="3">
        <f>SUMIF('Zinszahlungen Anleihen'!K:K,aktuelleAnleihen[[#This Row],[ISIN]],'Zinszahlungen Anleihen'!D:D)</f>
        <v>0</v>
      </c>
      <c r="AE138" s="10"/>
      <c r="AF138" s="1"/>
      <c r="AH138" s="7"/>
      <c r="AJ138" s="1"/>
      <c r="AN138" s="1"/>
      <c r="AQ138" s="1"/>
    </row>
    <row r="139" spans="1:43" x14ac:dyDescent="0.2">
      <c r="A139" s="1" t="s">
        <v>1605</v>
      </c>
      <c r="B139" s="1" t="s">
        <v>0</v>
      </c>
      <c r="C139" s="7">
        <v>8.3320000000000005E-2</v>
      </c>
      <c r="D139" s="7">
        <v>0.87739999999999996</v>
      </c>
      <c r="E139" s="7">
        <f>aktuelleAnleihen[[#This Row],[Aktueller Kurs]]-aktuelleAnleihen[[#This Row],[Kaufkurs]]</f>
        <v>-2.6000000000000467E-3</v>
      </c>
      <c r="F139" s="8">
        <f>aktuelleAnleihen[[#This Row],[Stückelung]]*aktuelleAnleihen[[#This Row],[Aktueller Kurs]]*aktuelleAnleihen[[#This Row],[Anteile]]/aktuelleAnleihen[[#This Row],[Aktueller Wechselkurs]]+aktuelleAnleihen[[#This Row],[Stückzinsen]]</f>
        <v>1624.6529558778582</v>
      </c>
      <c r="G139" s="8">
        <f>aktuelleAnleihen[[#This Row],[Kursdifferenz]]*aktuelleAnleihen[[#This Row],[Anteile]]*aktuelleAnleihen[[#This Row],[Stückelung]]/aktuelleAnleihen[[#This Row],[Wechselkurs am Kauftag]]</f>
        <v>-4.8493891634804562</v>
      </c>
      <c r="H139" s="8">
        <f>aktuelleAnleihen[[#This Row],[Stückzinsen]]-aktuelleAnleihen[[#This Row],[Stückzinsen am Kauftag]]+aktuelleAnleihen[[#This Row],[Zinszahlungen]]</f>
        <v>16.32794995350984</v>
      </c>
      <c r="I139" s="8">
        <f>aktuelleAnleihen[[#This Row],[Gewinn gesamt]]-aktuelleAnleihen[[#This Row],[Gewinn aus Kursänderung]]-aktuelleAnleihen[[#This Row],[Gewinn aus Zinsen]]</f>
        <v>-25.243673429486222</v>
      </c>
      <c r="J139" s="7">
        <f>aktuelleAnleihen[[#This Row],[Gewinn gesamt]]/aktuelleAnleihen[[#This Row],[Kaufpreis]]</f>
        <v>-8.2077070361248478E-3</v>
      </c>
      <c r="K139" s="3">
        <f>aktuelleAnleihen[[#This Row],[Verkaufspreis]]-aktuelleAnleihen[[#This Row],[Kaufpreis]]+aktuelleAnleihen[[#This Row],[Zinszahlungen]]</f>
        <v>-13.765112639456838</v>
      </c>
      <c r="L139" s="4">
        <v>1677.096</v>
      </c>
      <c r="M139" s="7">
        <v>0.88</v>
      </c>
      <c r="N139" s="61">
        <v>1.0723</v>
      </c>
      <c r="O139" s="1">
        <v>1.0891</v>
      </c>
      <c r="P139" s="1" t="s">
        <v>887</v>
      </c>
      <c r="Q139" s="30">
        <v>45412</v>
      </c>
      <c r="R139" s="1">
        <v>2</v>
      </c>
      <c r="S139" s="1">
        <v>1000</v>
      </c>
      <c r="T139" s="9">
        <v>45418</v>
      </c>
      <c r="U139" s="1">
        <v>4</v>
      </c>
      <c r="V139" s="62">
        <f>aktuelleAnleihen[[#This Row],[Stückelung]]*aktuelleAnleihen[[#This Row],[Anteile]]*aktuelleAnleihen[[#This Row],[Coupon]]/aktuelleAnleihen[[#This Row],[Aktueller Wechselkurs]]*($AC$1-aktuelleAnleihen[[#This Row],[Letzte Zinszahlung]])/365</f>
        <v>13.414318470824849</v>
      </c>
      <c r="W139" s="4">
        <v>35.764299999999999</v>
      </c>
      <c r="X139" s="120" t="s">
        <v>276</v>
      </c>
      <c r="Y139" s="120" t="s">
        <v>39</v>
      </c>
      <c r="Z139" s="1" t="s">
        <v>1606</v>
      </c>
      <c r="AA139" s="1" t="s">
        <v>1607</v>
      </c>
      <c r="AB139" s="3">
        <f>SUMIF('Zinszahlungen Anleihen'!K:K,aktuelleAnleihen[[#This Row],[ISIN]],'Zinszahlungen Anleihen'!D:D)</f>
        <v>38.67793148268499</v>
      </c>
      <c r="AE139" s="10"/>
      <c r="AF139" s="1"/>
      <c r="AH139" s="7"/>
      <c r="AJ139" s="1"/>
      <c r="AN139" s="1"/>
      <c r="AQ139" s="1"/>
    </row>
    <row r="140" spans="1:43" x14ac:dyDescent="0.2">
      <c r="A140" s="1" t="s">
        <v>1275</v>
      </c>
      <c r="B140" s="1" t="s">
        <v>0</v>
      </c>
      <c r="C140" s="7">
        <v>9.1920000000000002E-2</v>
      </c>
      <c r="D140" s="7">
        <v>1.0406</v>
      </c>
      <c r="E140" s="7">
        <f>aktuelleAnleihen[[#This Row],[Aktueller Kurs]]-aktuelleAnleihen[[#This Row],[Kaufkurs]]</f>
        <v>-2.5999999999999357E-3</v>
      </c>
      <c r="F140" s="8">
        <f>aktuelleAnleihen[[#This Row],[Stückelung]]*aktuelleAnleihen[[#This Row],[Aktueller Kurs]]*aktuelleAnleihen[[#This Row],[Anteile]]/aktuelleAnleihen[[#This Row],[Aktueller Wechselkurs]]+aktuelleAnleihen[[#This Row],[Stückzinsen]]</f>
        <v>1985.3925888285287</v>
      </c>
      <c r="G140" s="8">
        <f>aktuelleAnleihen[[#This Row],[Kursdifferenz]]*aktuelleAnleihen[[#This Row],[Anteile]]*aktuelleAnleihen[[#This Row],[Stückelung]]/aktuelleAnleihen[[#This Row],[Wechselkurs am Kauftag]]</f>
        <v>-4.8493891634802493</v>
      </c>
      <c r="H140" s="8">
        <f>aktuelleAnleihen[[#This Row],[Stückzinsen]]-aktuelleAnleihen[[#This Row],[Stückzinsen am Kauftag]]+aktuelleAnleihen[[#This Row],[Zinszahlungen]]</f>
        <v>16.682453900606632</v>
      </c>
      <c r="I140" s="8">
        <f>aktuelleAnleihen[[#This Row],[Gewinn gesamt]]-aktuelleAnleihen[[#This Row],[Gewinn aus Kursänderung]]-aktuelleAnleihen[[#This Row],[Gewinn aus Zinsen]]</f>
        <v>-29.939075908597591</v>
      </c>
      <c r="J140" s="7">
        <f>aktuelleAnleihen[[#This Row],[Gewinn gesamt]]/aktuelleAnleihen[[#This Row],[Kaufpreis]]</f>
        <v>-9.0371968173430274E-3</v>
      </c>
      <c r="K140" s="3">
        <f>aktuelleAnleihen[[#This Row],[Verkaufspreis]]-aktuelleAnleihen[[#This Row],[Kaufpreis]]+aktuelleAnleihen[[#This Row],[Zinszahlungen]]</f>
        <v>-18.106011171471209</v>
      </c>
      <c r="L140" s="4">
        <v>2003.4985999999999</v>
      </c>
      <c r="M140" s="7">
        <v>1.0431999999999999</v>
      </c>
      <c r="N140" s="61">
        <v>1.0723</v>
      </c>
      <c r="O140" s="1">
        <v>1.0891</v>
      </c>
      <c r="P140" s="1" t="s">
        <v>887</v>
      </c>
      <c r="Q140" s="30">
        <v>45412</v>
      </c>
      <c r="R140" s="1">
        <v>2</v>
      </c>
      <c r="S140" s="1">
        <v>1000</v>
      </c>
      <c r="T140" s="9">
        <v>45289</v>
      </c>
      <c r="U140" s="1">
        <v>2</v>
      </c>
      <c r="V140" s="62">
        <f>aktuelleAnleihen[[#This Row],[Stückelung]]*aktuelleAnleihen[[#This Row],[Anteile]]*aktuelleAnleihen[[#This Row],[Coupon]]/aktuelleAnleihen[[#This Row],[Aktueller Wechselkurs]]*($AC$1-aktuelleAnleihen[[#This Row],[Letzte Zinszahlung]])/365</f>
        <v>74.456953900606635</v>
      </c>
      <c r="W140" s="4">
        <v>57.774500000000003</v>
      </c>
      <c r="X140" s="120" t="s">
        <v>1004</v>
      </c>
      <c r="Y140" s="120" t="s">
        <v>109</v>
      </c>
      <c r="Z140" s="1" t="s">
        <v>1276</v>
      </c>
      <c r="AA140" s="1" t="s">
        <v>1277</v>
      </c>
      <c r="AB140" s="3">
        <f>SUMIF('Zinszahlungen Anleihen'!K:K,aktuelleAnleihen[[#This Row],[ISIN]],'Zinszahlungen Anleihen'!D:D)</f>
        <v>0</v>
      </c>
      <c r="AE140" s="10"/>
      <c r="AF140" s="1"/>
      <c r="AH140" s="7"/>
      <c r="AJ140" s="1"/>
      <c r="AN140" s="1"/>
      <c r="AQ140" s="1"/>
    </row>
    <row r="141" spans="1:43" x14ac:dyDescent="0.2">
      <c r="A141" s="1" t="s">
        <v>1365</v>
      </c>
      <c r="B141" s="1" t="s">
        <v>10</v>
      </c>
      <c r="C141" s="7">
        <v>8.7499999999999994E-2</v>
      </c>
      <c r="D141" s="7">
        <v>1.0049999999999999</v>
      </c>
      <c r="E141" s="7">
        <f>aktuelleAnleihen[[#This Row],[Aktueller Kurs]]-aktuelleAnleihen[[#This Row],[Kaufkurs]]</f>
        <v>-2.5000000000001688E-3</v>
      </c>
      <c r="F141" s="8">
        <f>aktuelleAnleihen[[#This Row],[Stückelung]]*aktuelleAnleihen[[#This Row],[Aktueller Kurs]]*aktuelleAnleihen[[#This Row],[Anteile]]/aktuelleAnleihen[[#This Row],[Aktueller Wechselkurs]]+aktuelleAnleihen[[#This Row],[Stückzinsen]]</f>
        <v>1908.9533522086224</v>
      </c>
      <c r="G141" s="8">
        <f>aktuelleAnleihen[[#This Row],[Kursdifferenz]]*aktuelleAnleihen[[#This Row],[Anteile]]*aktuelleAnleihen[[#This Row],[Stückelung]]/aktuelleAnleihen[[#This Row],[Wechselkurs am Kauftag]]</f>
        <v>-4.6628741956545161</v>
      </c>
      <c r="H141" s="8">
        <f>aktuelleAnleihen[[#This Row],[Stückzinsen]]-aktuelleAnleihen[[#This Row],[Stückzinsen am Kauftag]]+aktuelleAnleihen[[#This Row],[Zinszahlungen]]</f>
        <v>15.997597622266973</v>
      </c>
      <c r="I141" s="8">
        <f>aktuelleAnleihen[[#This Row],[Gewinn gesamt]]-aktuelleAnleihen[[#This Row],[Gewinn aus Kursänderung]]-aktuelleAnleihen[[#This Row],[Gewinn aus Zinsen]]</f>
        <v>-28.914871217990068</v>
      </c>
      <c r="J141" s="7">
        <f>aktuelleAnleihen[[#This Row],[Gewinn gesamt]]/aktuelleAnleihen[[#This Row],[Kaufpreis]]</f>
        <v>-9.1252748999057706E-3</v>
      </c>
      <c r="K141" s="3">
        <f>aktuelleAnleihen[[#This Row],[Verkaufspreis]]-aktuelleAnleihen[[#This Row],[Kaufpreis]]+aktuelleAnleihen[[#This Row],[Zinszahlungen]]</f>
        <v>-17.580147791377613</v>
      </c>
      <c r="L141" s="4">
        <v>1926.5335</v>
      </c>
      <c r="M141" s="7">
        <v>1.0075000000000001</v>
      </c>
      <c r="N141" s="61">
        <v>1.0723</v>
      </c>
      <c r="O141" s="1">
        <v>1.0891</v>
      </c>
      <c r="P141" s="1" t="s">
        <v>887</v>
      </c>
      <c r="Q141" s="30">
        <v>45412</v>
      </c>
      <c r="R141" s="1">
        <v>2</v>
      </c>
      <c r="S141" s="1">
        <v>1000</v>
      </c>
      <c r="T141" s="9">
        <v>45306</v>
      </c>
      <c r="U141" s="1">
        <v>2</v>
      </c>
      <c r="V141" s="62">
        <f>aktuelleAnleihen[[#This Row],[Stückelung]]*aktuelleAnleihen[[#This Row],[Anteile]]*aktuelleAnleihen[[#This Row],[Coupon]]/aktuelleAnleihen[[#This Row],[Aktueller Wechselkurs]]*($AC$1-aktuelleAnleihen[[#This Row],[Letzte Zinszahlung]])/365</f>
        <v>63.392797622266976</v>
      </c>
      <c r="W141" s="4">
        <v>47.395200000000003</v>
      </c>
      <c r="X141" s="120" t="s">
        <v>276</v>
      </c>
      <c r="Y141" s="120" t="s">
        <v>1011</v>
      </c>
      <c r="Z141" s="1" t="s">
        <v>1366</v>
      </c>
      <c r="AA141" s="1" t="s">
        <v>1367</v>
      </c>
      <c r="AB141" s="3">
        <f>SUMIF('Zinszahlungen Anleihen'!K:K,aktuelleAnleihen[[#This Row],[ISIN]],'Zinszahlungen Anleihen'!D:D)</f>
        <v>0</v>
      </c>
      <c r="AE141" s="10"/>
      <c r="AF141" s="1"/>
      <c r="AH141" s="7"/>
      <c r="AJ141" s="1"/>
      <c r="AN141" s="1"/>
      <c r="AQ141" s="1"/>
    </row>
    <row r="142" spans="1:43" x14ac:dyDescent="0.2">
      <c r="A142" s="1" t="s">
        <v>1250</v>
      </c>
      <c r="B142" s="1" t="s">
        <v>7</v>
      </c>
      <c r="C142" s="7">
        <v>9.2499999999999999E-2</v>
      </c>
      <c r="D142" s="7">
        <v>0.99529999999999996</v>
      </c>
      <c r="E142" s="7">
        <f>aktuelleAnleihen[[#This Row],[Aktueller Kurs]]-aktuelleAnleihen[[#This Row],[Kaufkurs]]</f>
        <v>-2.4000000000000687E-3</v>
      </c>
      <c r="F142" s="8">
        <f>aktuelleAnleihen[[#This Row],[Stückelung]]*aktuelleAnleihen[[#This Row],[Aktueller Kurs]]*aktuelleAnleihen[[#This Row],[Anteile]]/aktuelleAnleihen[[#This Row],[Aktueller Wechselkurs]]+aktuelleAnleihen[[#This Row],[Stückzinsen]]</f>
        <v>1828.6784488386163</v>
      </c>
      <c r="G142" s="8">
        <f>aktuelleAnleihen[[#This Row],[Kursdifferenz]]*aktuelleAnleihen[[#This Row],[Anteile]]*aktuelleAnleihen[[#This Row],[Stückelung]]/aktuelleAnleihen[[#This Row],[Wechselkurs am Kauftag]]</f>
        <v>-4.4763592278281612</v>
      </c>
      <c r="H142" s="8">
        <f>aktuelleAnleihen[[#This Row],[Stückzinsen]]-aktuelleAnleihen[[#This Row],[Stückzinsen am Kauftag]]+aktuelleAnleihen[[#This Row],[Zinszahlungen]]</f>
        <v>16.465949619617319</v>
      </c>
      <c r="I142" s="8">
        <f>aktuelleAnleihen[[#This Row],[Gewinn gesamt]]-aktuelleAnleihen[[#This Row],[Gewinn aus Kursänderung]]-aktuelleAnleihen[[#This Row],[Gewinn aus Zinsen]]</f>
        <v>-28.635759200231753</v>
      </c>
      <c r="J142" s="7">
        <f>aktuelleAnleihen[[#This Row],[Gewinn gesamt]]/aktuelleAnleihen[[#This Row],[Kaufpreis]]</f>
        <v>-8.6234253748906781E-3</v>
      </c>
      <c r="K142" s="3">
        <f>aktuelleAnleihen[[#This Row],[Verkaufspreis]]-aktuelleAnleihen[[#This Row],[Kaufpreis]]+aktuelleAnleihen[[#This Row],[Zinszahlungen]]</f>
        <v>-16.646168808442596</v>
      </c>
      <c r="L142" s="4">
        <v>1930.3430000000001</v>
      </c>
      <c r="M142" s="7">
        <v>0.99770000000000003</v>
      </c>
      <c r="N142" s="61">
        <v>1.0723</v>
      </c>
      <c r="O142" s="1">
        <v>1.0891</v>
      </c>
      <c r="P142" s="1" t="s">
        <v>887</v>
      </c>
      <c r="Q142" s="30">
        <v>45412</v>
      </c>
      <c r="R142" s="1">
        <v>2</v>
      </c>
      <c r="S142" s="1">
        <v>1000</v>
      </c>
      <c r="T142" s="9">
        <v>45448</v>
      </c>
      <c r="U142" s="1">
        <v>2</v>
      </c>
      <c r="V142" s="62">
        <f>aktuelleAnleihen[[#This Row],[Stückelung]]*aktuelleAnleihen[[#This Row],[Anteile]]*aktuelleAnleihen[[#This Row],[Coupon]]/aktuelleAnleihen[[#This Row],[Aktueller Wechselkurs]]*($AC$1-aktuelleAnleihen[[#This Row],[Letzte Zinszahlung]])/365</f>
        <v>0.93076726667614207</v>
      </c>
      <c r="W142" s="4">
        <v>69.483199999999997</v>
      </c>
      <c r="X142" s="120" t="s">
        <v>995</v>
      </c>
      <c r="Y142" s="120" t="s">
        <v>109</v>
      </c>
      <c r="Z142" s="1" t="s">
        <v>1267</v>
      </c>
      <c r="AA142" s="1" t="s">
        <v>1268</v>
      </c>
      <c r="AB142" s="3">
        <f>SUMIF('Zinszahlungen Anleihen'!K:K,aktuelleAnleihen[[#This Row],[ISIN]],'Zinszahlungen Anleihen'!D:D)</f>
        <v>85.018382352941174</v>
      </c>
      <c r="AE142" s="10"/>
      <c r="AF142" s="1"/>
      <c r="AH142" s="7"/>
      <c r="AJ142" s="1"/>
      <c r="AN142" s="1"/>
      <c r="AQ142" s="1"/>
    </row>
    <row r="143" spans="1:43" x14ac:dyDescent="0.2">
      <c r="A143" s="1" t="s">
        <v>1623</v>
      </c>
      <c r="B143" s="1" t="s">
        <v>2</v>
      </c>
      <c r="C143" s="7">
        <v>8.2500000000000004E-2</v>
      </c>
      <c r="D143" s="7">
        <v>1.0116000000000001</v>
      </c>
      <c r="E143" s="7">
        <f>aktuelleAnleihen[[#This Row],[Aktueller Kurs]]-aktuelleAnleihen[[#This Row],[Kaufkurs]]</f>
        <v>-2.2999999999999687E-3</v>
      </c>
      <c r="F143" s="8">
        <f>aktuelleAnleihen[[#This Row],[Stückelung]]*aktuelleAnleihen[[#This Row],[Aktueller Kurs]]*aktuelleAnleihen[[#This Row],[Anteile]]/aktuelleAnleihen[[#This Row],[Aktueller Wechselkurs]]+aktuelleAnleihen[[#This Row],[Stückzinsen]]</f>
        <v>1873.0383136509597</v>
      </c>
      <c r="G143" s="8">
        <f>aktuelleAnleihen[[#This Row],[Kursdifferenz]]*aktuelleAnleihen[[#This Row],[Anteile]]*aktuelleAnleihen[[#This Row],[Stückelung]]/aktuelleAnleihen[[#This Row],[Wechselkurs am Kauftag]]</f>
        <v>-4.2898442600018063</v>
      </c>
      <c r="H143" s="8">
        <f>aktuelleAnleihen[[#This Row],[Stückzinsen]]-aktuelleAnleihen[[#This Row],[Stückzinsen am Kauftag]]+aktuelleAnleihen[[#This Row],[Zinszahlungen]]</f>
        <v>16.061801009089429</v>
      </c>
      <c r="I143" s="8">
        <f>aktuelleAnleihen[[#This Row],[Gewinn gesamt]]-aktuelleAnleihen[[#This Row],[Gewinn aus Kursänderung]]-aktuelleAnleihen[[#This Row],[Gewinn aus Zinsen]]</f>
        <v>-29.104701989194865</v>
      </c>
      <c r="J143" s="7">
        <f>aktuelleAnleihen[[#This Row],[Gewinn gesamt]]/aktuelleAnleihen[[#This Row],[Kaufpreis]]</f>
        <v>-8.8100634331385978E-3</v>
      </c>
      <c r="K143" s="3">
        <f>aktuelleAnleihen[[#This Row],[Verkaufspreis]]-aktuelleAnleihen[[#This Row],[Kaufpreis]]+aktuelleAnleihen[[#This Row],[Zinszahlungen]]</f>
        <v>-17.332745240107243</v>
      </c>
      <c r="L143" s="4">
        <v>1967.3803</v>
      </c>
      <c r="M143" s="7">
        <v>1.0139</v>
      </c>
      <c r="N143" s="61">
        <v>1.0723</v>
      </c>
      <c r="O143" s="1">
        <v>1.0891</v>
      </c>
      <c r="P143" s="1" t="s">
        <v>887</v>
      </c>
      <c r="Q143" s="30">
        <v>45412</v>
      </c>
      <c r="R143" s="1">
        <v>2</v>
      </c>
      <c r="S143" s="1">
        <v>1000</v>
      </c>
      <c r="T143" s="9">
        <v>45413</v>
      </c>
      <c r="U143" s="1">
        <v>2</v>
      </c>
      <c r="V143" s="62">
        <f>aktuelleAnleihen[[#This Row],[Stückelung]]*aktuelleAnleihen[[#This Row],[Anteile]]*aktuelleAnleihen[[#This Row],[Coupon]]/aktuelleAnleihen[[#This Row],[Aktueller Wechselkurs]]*($AC$1-aktuelleAnleihen[[#This Row],[Letzte Zinszahlung]])/365</f>
        <v>15.357659900156342</v>
      </c>
      <c r="W143" s="4">
        <v>76.305099999999996</v>
      </c>
      <c r="X143" s="120" t="s">
        <v>1096</v>
      </c>
      <c r="Y143" s="120" t="s">
        <v>39</v>
      </c>
      <c r="Z143" s="1" t="s">
        <v>1624</v>
      </c>
      <c r="AA143" s="1" t="s">
        <v>1625</v>
      </c>
      <c r="AB143" s="3">
        <f>SUMIF('Zinszahlungen Anleihen'!K:K,aktuelleAnleihen[[#This Row],[ISIN]],'Zinszahlungen Anleihen'!D:D)</f>
        <v>77.009241108933082</v>
      </c>
      <c r="AE143" s="10"/>
      <c r="AF143" s="1"/>
      <c r="AH143" s="7"/>
      <c r="AJ143" s="1"/>
      <c r="AN143" s="1"/>
      <c r="AQ143" s="1"/>
    </row>
    <row r="144" spans="1:43" x14ac:dyDescent="0.2">
      <c r="A144" s="1" t="s">
        <v>717</v>
      </c>
      <c r="B144" s="1" t="s">
        <v>6</v>
      </c>
      <c r="C144" s="7">
        <v>6.7500000000000004E-2</v>
      </c>
      <c r="D144" s="7">
        <v>1.0513999999999999</v>
      </c>
      <c r="E144" s="7">
        <f>aktuelleAnleihen[[#This Row],[Aktueller Kurs]]-aktuelleAnleihen[[#This Row],[Kaufkurs]]</f>
        <v>-2.0000000000000018E-3</v>
      </c>
      <c r="F144" s="8">
        <f>aktuelleAnleihen[[#This Row],[Stückelung]]*aktuelleAnleihen[[#This Row],[Aktueller Kurs]]*aktuelleAnleihen[[#This Row],[Anteile]]/aktuelleAnleihen[[#This Row],[Aktueller Wechselkurs]]+aktuelleAnleihen[[#This Row],[Stückzinsen]]</f>
        <v>2111.3068493150681</v>
      </c>
      <c r="G144" s="8">
        <f>aktuelleAnleihen[[#This Row],[Kursdifferenz]]*aktuelleAnleihen[[#This Row],[Anteile]]*aktuelleAnleihen[[#This Row],[Stückelung]]/aktuelleAnleihen[[#This Row],[Wechselkurs am Kauftag]]</f>
        <v>-4.0000000000000036</v>
      </c>
      <c r="H144" s="8">
        <f>aktuelleAnleihen[[#This Row],[Stückzinsen]]-aktuelleAnleihen[[#This Row],[Stückzinsen am Kauftag]]+aktuelleAnleihen[[#This Row],[Zinszahlungen]]</f>
        <v>24.226049315068494</v>
      </c>
      <c r="I144" s="8">
        <f>aktuelleAnleihen[[#This Row],[Gewinn gesamt]]-aktuelleAnleihen[[#This Row],[Gewinn aus Kursänderung]]-aktuelleAnleihen[[#This Row],[Gewinn aus Zinsen]]</f>
        <v>-5.5067062021407764E-13</v>
      </c>
      <c r="J144" s="7">
        <f>aktuelleAnleihen[[#This Row],[Gewinn gesamt]]/aktuelleAnleihen[[#This Row],[Kaufpreis]]</f>
        <v>9.3700682017869973E-3</v>
      </c>
      <c r="K144" s="3">
        <f>aktuelleAnleihen[[#This Row],[Verkaufspreis]]-aktuelleAnleihen[[#This Row],[Kaufpreis]]+aktuelleAnleihen[[#This Row],[Zinszahlungen]]</f>
        <v>20.226049315067939</v>
      </c>
      <c r="L144" s="4">
        <v>2158.5808000000002</v>
      </c>
      <c r="M144" s="7">
        <v>1.0533999999999999</v>
      </c>
      <c r="N144" s="61">
        <v>1</v>
      </c>
      <c r="O144" s="1">
        <v>1</v>
      </c>
      <c r="P144" s="1" t="s">
        <v>925</v>
      </c>
      <c r="Q144" s="30">
        <v>45385</v>
      </c>
      <c r="R144" s="1">
        <v>2</v>
      </c>
      <c r="S144" s="1">
        <v>1000</v>
      </c>
      <c r="T144" s="9">
        <v>45427</v>
      </c>
      <c r="U144" s="1">
        <v>2</v>
      </c>
      <c r="V144" s="62">
        <f>aktuelleAnleihen[[#This Row],[Stückelung]]*aktuelleAnleihen[[#This Row],[Anteile]]*aktuelleAnleihen[[#This Row],[Coupon]]/aktuelleAnleihen[[#This Row],[Aktueller Wechselkurs]]*($AC$1-aktuelleAnleihen[[#This Row],[Letzte Zinszahlung]])/365</f>
        <v>8.506849315068493</v>
      </c>
      <c r="W144" s="4">
        <v>51.780799999999999</v>
      </c>
      <c r="X144" s="120" t="s">
        <v>56</v>
      </c>
      <c r="Y144" s="120" t="s">
        <v>61</v>
      </c>
      <c r="Z144" s="1" t="s">
        <v>718</v>
      </c>
      <c r="AA144" s="1" t="s">
        <v>719</v>
      </c>
      <c r="AB144" s="3">
        <f>SUMIF('Zinszahlungen Anleihen'!K:K,aktuelleAnleihen[[#This Row],[ISIN]],'Zinszahlungen Anleihen'!D:D)</f>
        <v>67.5</v>
      </c>
      <c r="AE144" s="10"/>
      <c r="AF144" s="1"/>
      <c r="AH144" s="7"/>
      <c r="AJ144" s="1"/>
      <c r="AN144" s="1"/>
      <c r="AQ144" s="1"/>
    </row>
    <row r="145" spans="1:43" x14ac:dyDescent="0.2">
      <c r="A145" s="1" t="s">
        <v>601</v>
      </c>
      <c r="B145" s="1" t="s">
        <v>2</v>
      </c>
      <c r="C145" s="7">
        <v>7.2499999999999995E-2</v>
      </c>
      <c r="D145" s="7">
        <v>1.0513999999999999</v>
      </c>
      <c r="E145" s="7">
        <f>aktuelleAnleihen[[#This Row],[Aktueller Kurs]]-aktuelleAnleihen[[#This Row],[Kaufkurs]]</f>
        <v>-2.0000000000000018E-3</v>
      </c>
      <c r="F145" s="8">
        <f>aktuelleAnleihen[[#This Row],[Stückelung]]*aktuelleAnleihen[[#This Row],[Aktueller Kurs]]*aktuelleAnleihen[[#This Row],[Anteile]]/aktuelleAnleihen[[#This Row],[Aktueller Wechselkurs]]+aktuelleAnleihen[[#This Row],[Stückzinsen]]</f>
        <v>2147.6904109589041</v>
      </c>
      <c r="G145" s="8">
        <f>aktuelleAnleihen[[#This Row],[Kursdifferenz]]*aktuelleAnleihen[[#This Row],[Anteile]]*aktuelleAnleihen[[#This Row],[Stückelung]]/aktuelleAnleihen[[#This Row],[Wechselkurs am Kauftag]]</f>
        <v>-4.0000000000000036</v>
      </c>
      <c r="H145" s="8">
        <f>aktuelleAnleihen[[#This Row],[Stückzinsen]]-aktuelleAnleihen[[#This Row],[Stückzinsen am Kauftag]]+aktuelleAnleihen[[#This Row],[Zinszahlungen]]</f>
        <v>25.821910958904112</v>
      </c>
      <c r="I145" s="8">
        <f>aktuelleAnleihen[[#This Row],[Gewinn gesamt]]-aktuelleAnleihen[[#This Row],[Gewinn aus Kursänderung]]-aktuelleAnleihen[[#This Row],[Gewinn aus Zinsen]]</f>
        <v>-8.1712414612411521E-14</v>
      </c>
      <c r="J145" s="7">
        <f>aktuelleAnleihen[[#This Row],[Gewinn gesamt]]/aktuelleAnleihen[[#This Row],[Kaufpreis]]</f>
        <v>1.0264939227851594E-2</v>
      </c>
      <c r="K145" s="3">
        <f>aktuelleAnleihen[[#This Row],[Verkaufspreis]]-aktuelleAnleihen[[#This Row],[Kaufpreis]]+aktuelleAnleihen[[#This Row],[Zinszahlungen]]</f>
        <v>21.821910958904027</v>
      </c>
      <c r="L145" s="4">
        <v>2125.8685</v>
      </c>
      <c r="M145" s="7">
        <v>1.0533999999999999</v>
      </c>
      <c r="N145" s="61">
        <v>1</v>
      </c>
      <c r="O145" s="1">
        <v>1</v>
      </c>
      <c r="P145" s="1" t="s">
        <v>925</v>
      </c>
      <c r="Q145" s="30">
        <v>45385</v>
      </c>
      <c r="R145" s="1">
        <v>2</v>
      </c>
      <c r="S145" s="1">
        <v>1000</v>
      </c>
      <c r="T145" s="9">
        <v>45337</v>
      </c>
      <c r="U145" s="1">
        <v>2</v>
      </c>
      <c r="V145" s="62">
        <f>aktuelleAnleihen[[#This Row],[Stückelung]]*aktuelleAnleihen[[#This Row],[Anteile]]*aktuelleAnleihen[[#This Row],[Coupon]]/aktuelleAnleihen[[#This Row],[Aktueller Wechselkurs]]*($AC$1-aktuelleAnleihen[[#This Row],[Letzte Zinszahlung]])/365</f>
        <v>44.890410958904113</v>
      </c>
      <c r="W145" s="4">
        <v>19.0685</v>
      </c>
      <c r="X145" s="120" t="s">
        <v>35</v>
      </c>
      <c r="Y145" s="120" t="s">
        <v>61</v>
      </c>
      <c r="Z145" s="1" t="s">
        <v>602</v>
      </c>
      <c r="AA145" s="1" t="s">
        <v>603</v>
      </c>
      <c r="AB145" s="3">
        <f>SUMIF('Zinszahlungen Anleihen'!K:K,aktuelleAnleihen[[#This Row],[ISIN]],'Zinszahlungen Anleihen'!D:D)</f>
        <v>0</v>
      </c>
      <c r="AE145" s="10"/>
      <c r="AF145" s="1"/>
      <c r="AH145" s="7"/>
      <c r="AJ145" s="1"/>
      <c r="AN145" s="1"/>
      <c r="AQ145" s="1"/>
    </row>
    <row r="146" spans="1:43" x14ac:dyDescent="0.2">
      <c r="A146" s="1" t="s">
        <v>492</v>
      </c>
      <c r="B146" s="1" t="s">
        <v>0</v>
      </c>
      <c r="C146" s="7">
        <v>7.8750000000000001E-2</v>
      </c>
      <c r="D146" s="7">
        <v>1.0714999999999999</v>
      </c>
      <c r="E146" s="7">
        <f>aktuelleAnleihen[[#This Row],[Aktueller Kurs]]-aktuelleAnleihen[[#This Row],[Kaufkurs]]</f>
        <v>-2.0000000000000018E-3</v>
      </c>
      <c r="F146" s="8">
        <f>aktuelleAnleihen[[#This Row],[Stückelung]]*aktuelleAnleihen[[#This Row],[Aktueller Kurs]]*aktuelleAnleihen[[#This Row],[Anteile]]/aktuelleAnleihen[[#This Row],[Aktueller Wechselkurs]]+aktuelleAnleihen[[#This Row],[Stückzinsen]]</f>
        <v>2169.7534246575342</v>
      </c>
      <c r="G146" s="8">
        <f>aktuelleAnleihen[[#This Row],[Kursdifferenz]]*aktuelleAnleihen[[#This Row],[Anteile]]*aktuelleAnleihen[[#This Row],[Stückelung]]/aktuelleAnleihen[[#This Row],[Wechselkurs am Kauftag]]</f>
        <v>-4.0000000000000036</v>
      </c>
      <c r="H146" s="8">
        <f>aktuelleAnleihen[[#This Row],[Stückzinsen]]-aktuelleAnleihen[[#This Row],[Stückzinsen am Kauftag]]+aktuelleAnleihen[[#This Row],[Zinszahlungen]]</f>
        <v>27.616424657534253</v>
      </c>
      <c r="I146" s="8">
        <f>aktuelleAnleihen[[#This Row],[Gewinn gesamt]]-aktuelleAnleihen[[#This Row],[Gewinn aus Kursänderung]]-aktuelleAnleihen[[#This Row],[Gewinn aus Zinsen]]</f>
        <v>-2.2382096176443156E-13</v>
      </c>
      <c r="J146" s="7">
        <f>aktuelleAnleihen[[#This Row],[Gewinn gesamt]]/aktuelleAnleihen[[#This Row],[Kaufpreis]]</f>
        <v>1.0251799505535822E-2</v>
      </c>
      <c r="K146" s="3">
        <f>aktuelleAnleihen[[#This Row],[Verkaufspreis]]-aktuelleAnleihen[[#This Row],[Kaufpreis]]+aktuelleAnleihen[[#This Row],[Zinszahlungen]]</f>
        <v>23.616424657534026</v>
      </c>
      <c r="L146" s="4">
        <v>2303.6370000000002</v>
      </c>
      <c r="M146" s="7">
        <v>1.0734999999999999</v>
      </c>
      <c r="N146" s="61">
        <v>1</v>
      </c>
      <c r="O146" s="1">
        <v>1</v>
      </c>
      <c r="P146" s="1" t="s">
        <v>925</v>
      </c>
      <c r="Q146" s="30">
        <v>45385</v>
      </c>
      <c r="R146" s="1">
        <v>2</v>
      </c>
      <c r="S146" s="1">
        <v>1000</v>
      </c>
      <c r="T146" s="9">
        <v>45388</v>
      </c>
      <c r="U146" s="1">
        <v>1</v>
      </c>
      <c r="V146" s="62">
        <f>aktuelleAnleihen[[#This Row],[Stückelung]]*aktuelleAnleihen[[#This Row],[Anteile]]*aktuelleAnleihen[[#This Row],[Coupon]]/aktuelleAnleihen[[#This Row],[Aktueller Wechselkurs]]*($AC$1-aktuelleAnleihen[[#This Row],[Letzte Zinszahlung]])/365</f>
        <v>26.753424657534246</v>
      </c>
      <c r="W146" s="4">
        <v>156.637</v>
      </c>
      <c r="X146" s="120" t="s">
        <v>176</v>
      </c>
      <c r="Y146" s="120" t="s">
        <v>61</v>
      </c>
      <c r="Z146" s="1" t="s">
        <v>493</v>
      </c>
      <c r="AA146" s="1" t="s">
        <v>494</v>
      </c>
      <c r="AB146" s="3">
        <f>SUMIF('Zinszahlungen Anleihen'!K:K,aktuelleAnleihen[[#This Row],[ISIN]],'Zinszahlungen Anleihen'!D:D)</f>
        <v>157.5</v>
      </c>
      <c r="AE146" s="10"/>
      <c r="AF146" s="1"/>
      <c r="AH146" s="7"/>
      <c r="AJ146" s="1"/>
      <c r="AN146" s="1"/>
      <c r="AQ146" s="1"/>
    </row>
    <row r="147" spans="1:43" x14ac:dyDescent="0.2">
      <c r="A147" s="1" t="s">
        <v>287</v>
      </c>
      <c r="B147" s="1" t="s">
        <v>9</v>
      </c>
      <c r="C147" s="7">
        <v>9.4009999999999996E-2</v>
      </c>
      <c r="D147" s="7">
        <v>1.0006999999999999</v>
      </c>
      <c r="E147" s="7">
        <f>aktuelleAnleihen[[#This Row],[Aktueller Kurs]]-aktuelleAnleihen[[#This Row],[Kaufkurs]]</f>
        <v>-2.0000000000000018E-3</v>
      </c>
      <c r="F147" s="8">
        <f>aktuelleAnleihen[[#This Row],[Stückelung]]*aktuelleAnleihen[[#This Row],[Aktueller Kurs]]*aktuelleAnleihen[[#This Row],[Anteile]]/aktuelleAnleihen[[#This Row],[Aktueller Wechselkurs]]+aktuelleAnleihen[[#This Row],[Stückzinsen]]</f>
        <v>2013.2478356164381</v>
      </c>
      <c r="G147" s="8">
        <f>aktuelleAnleihen[[#This Row],[Kursdifferenz]]*aktuelleAnleihen[[#This Row],[Anteile]]*aktuelleAnleihen[[#This Row],[Stückelung]]/aktuelleAnleihen[[#This Row],[Wechselkurs am Kauftag]]</f>
        <v>-4.0000000000000036</v>
      </c>
      <c r="H147" s="8">
        <f>aktuelleAnleihen[[#This Row],[Stückzinsen]]-aktuelleAnleihen[[#This Row],[Stückzinsen am Kauftag]]+aktuelleAnleihen[[#This Row],[Zinszahlungen]]</f>
        <v>34.126935616438352</v>
      </c>
      <c r="I147" s="8">
        <f>aktuelleAnleihen[[#This Row],[Gewinn gesamt]]-aktuelleAnleihen[[#This Row],[Gewinn aus Kursänderung]]-aktuelleAnleihen[[#This Row],[Gewinn aus Zinsen]]</f>
        <v>-2.3447910280083306E-13</v>
      </c>
      <c r="J147" s="7">
        <f>aktuelleAnleihen[[#This Row],[Gewinn gesamt]]/aktuelleAnleihen[[#This Row],[Kaufpreis]]</f>
        <v>1.4839934615108411E-2</v>
      </c>
      <c r="K147" s="3">
        <f>aktuelleAnleihen[[#This Row],[Verkaufspreis]]-aktuelleAnleihen[[#This Row],[Kaufpreis]]+aktuelleAnleihen[[#This Row],[Zinszahlungen]]</f>
        <v>30.126935616438118</v>
      </c>
      <c r="L147" s="4">
        <v>2030.1259</v>
      </c>
      <c r="M147" s="7">
        <v>1.0026999999999999</v>
      </c>
      <c r="N147" s="61">
        <v>1</v>
      </c>
      <c r="O147" s="1">
        <v>1</v>
      </c>
      <c r="P147" s="1" t="s">
        <v>925</v>
      </c>
      <c r="Q147" s="30">
        <v>45385</v>
      </c>
      <c r="R147" s="1">
        <v>2</v>
      </c>
      <c r="S147" s="1">
        <v>1000</v>
      </c>
      <c r="T147" s="9">
        <v>45427</v>
      </c>
      <c r="U147" s="1">
        <v>4</v>
      </c>
      <c r="V147" s="62">
        <f>aktuelleAnleihen[[#This Row],[Stückelung]]*aktuelleAnleihen[[#This Row],[Anteile]]*aktuelleAnleihen[[#This Row],[Coupon]]/aktuelleAnleihen[[#This Row],[Aktueller Wechselkurs]]*($AC$1-aktuelleAnleihen[[#This Row],[Letzte Zinszahlung]])/365</f>
        <v>11.847835616438354</v>
      </c>
      <c r="W147" s="4">
        <v>24.725899999999999</v>
      </c>
      <c r="X147" s="120" t="s">
        <v>65</v>
      </c>
      <c r="Y147" s="120" t="s">
        <v>109</v>
      </c>
      <c r="Z147" s="1" t="s">
        <v>288</v>
      </c>
      <c r="AA147" s="1" t="s">
        <v>289</v>
      </c>
      <c r="AB147" s="3">
        <f>SUMIF('Zinszahlungen Anleihen'!K:K,aktuelleAnleihen[[#This Row],[ISIN]],'Zinszahlungen Anleihen'!D:D)</f>
        <v>47.004999999999995</v>
      </c>
      <c r="AE147" s="10"/>
      <c r="AF147" s="1"/>
      <c r="AH147" s="7"/>
      <c r="AJ147" s="1"/>
      <c r="AN147" s="1"/>
      <c r="AQ147" s="1"/>
    </row>
    <row r="148" spans="1:43" x14ac:dyDescent="0.2">
      <c r="A148" s="1" t="s">
        <v>1228</v>
      </c>
      <c r="B148" s="1" t="s">
        <v>0</v>
      </c>
      <c r="C148" s="7">
        <v>9.375E-2</v>
      </c>
      <c r="D148" s="7">
        <v>1.0403</v>
      </c>
      <c r="E148" s="7">
        <f>aktuelleAnleihen[[#This Row],[Aktueller Kurs]]-aktuelleAnleihen[[#This Row],[Kaufkurs]]</f>
        <v>-2.0000000000000018E-3</v>
      </c>
      <c r="F148" s="8">
        <f>aktuelleAnleihen[[#This Row],[Stückelung]]*aktuelleAnleihen[[#This Row],[Aktueller Kurs]]*aktuelleAnleihen[[#This Row],[Anteile]]/aktuelleAnleihen[[#This Row],[Aktueller Wechselkurs]]+aktuelleAnleihen[[#This Row],[Stückzinsen]]</f>
        <v>1970.7588143031257</v>
      </c>
      <c r="G148" s="8">
        <f>aktuelleAnleihen[[#This Row],[Kursdifferenz]]*aktuelleAnleihen[[#This Row],[Anteile]]*aktuelleAnleihen[[#This Row],[Stückelung]]/aktuelleAnleihen[[#This Row],[Wechselkurs am Kauftag]]</f>
        <v>-3.7302993565233642</v>
      </c>
      <c r="H148" s="8">
        <f>aktuelleAnleihen[[#This Row],[Stückzinsen]]-aktuelleAnleihen[[#This Row],[Stückzinsen am Kauftag]]+aktuelleAnleihen[[#This Row],[Zinszahlungen]]</f>
        <v>17.258492973587586</v>
      </c>
      <c r="I148" s="8">
        <f>aktuelleAnleihen[[#This Row],[Gewinn gesamt]]-aktuelleAnleihen[[#This Row],[Gewinn aus Kursänderung]]-aktuelleAnleihen[[#This Row],[Gewinn aus Zinsen]]</f>
        <v>-29.930479313938509</v>
      </c>
      <c r="J148" s="7">
        <f>aktuelleAnleihen[[#This Row],[Gewinn gesamt]]/aktuelleAnleihen[[#This Row],[Kaufpreis]]</f>
        <v>-8.254129822123776E-3</v>
      </c>
      <c r="K148" s="3">
        <f>aktuelleAnleihen[[#This Row],[Verkaufspreis]]-aktuelleAnleihen[[#This Row],[Kaufpreis]]+aktuelleAnleihen[[#This Row],[Zinszahlungen]]</f>
        <v>-16.402285696874287</v>
      </c>
      <c r="L148" s="4">
        <v>1987.1611</v>
      </c>
      <c r="M148" s="7">
        <v>1.0423</v>
      </c>
      <c r="N148" s="61">
        <v>1.0723</v>
      </c>
      <c r="O148" s="1">
        <v>1.0891</v>
      </c>
      <c r="P148" s="1" t="s">
        <v>887</v>
      </c>
      <c r="Q148" s="30">
        <v>45412</v>
      </c>
      <c r="R148" s="1">
        <v>2</v>
      </c>
      <c r="S148" s="1">
        <v>1000</v>
      </c>
      <c r="T148" s="9">
        <v>45322</v>
      </c>
      <c r="U148" s="1">
        <v>2</v>
      </c>
      <c r="V148" s="62">
        <f>aktuelleAnleihen[[#This Row],[Stückelung]]*aktuelleAnleihen[[#This Row],[Anteile]]*aktuelleAnleihen[[#This Row],[Coupon]]/aktuelleAnleihen[[#This Row],[Aktueller Wechselkurs]]*($AC$1-aktuelleAnleihen[[#This Row],[Letzte Zinszahlung]])/365</f>
        <v>60.374092973587587</v>
      </c>
      <c r="W148" s="4">
        <v>43.115600000000001</v>
      </c>
      <c r="X148" s="120" t="s">
        <v>1004</v>
      </c>
      <c r="Y148" s="120" t="s">
        <v>39</v>
      </c>
      <c r="Z148" s="1" t="s">
        <v>1229</v>
      </c>
      <c r="AA148" s="1" t="s">
        <v>1230</v>
      </c>
      <c r="AB148" s="3">
        <f>SUMIF('Zinszahlungen Anleihen'!K:K,aktuelleAnleihen[[#This Row],[ISIN]],'Zinszahlungen Anleihen'!D:D)</f>
        <v>0</v>
      </c>
      <c r="AE148" s="10"/>
      <c r="AF148" s="1"/>
      <c r="AH148" s="7"/>
      <c r="AJ148" s="1"/>
      <c r="AN148" s="1"/>
      <c r="AQ148" s="1"/>
    </row>
    <row r="149" spans="1:43" x14ac:dyDescent="0.2">
      <c r="A149" s="1" t="s">
        <v>869</v>
      </c>
      <c r="B149" s="1" t="s">
        <v>8</v>
      </c>
      <c r="C149" s="7">
        <v>0.06</v>
      </c>
      <c r="D149" s="7">
        <v>1.0483</v>
      </c>
      <c r="E149" s="7">
        <f>aktuelleAnleihen[[#This Row],[Aktueller Kurs]]-aktuelleAnleihen[[#This Row],[Kaufkurs]]</f>
        <v>-1.8000000000000238E-3</v>
      </c>
      <c r="F149" s="8">
        <f>aktuelleAnleihen[[#This Row],[Stückelung]]*aktuelleAnleihen[[#This Row],[Aktueller Kurs]]*aktuelleAnleihen[[#This Row],[Anteile]]/aktuelleAnleihen[[#This Row],[Aktueller Wechselkurs]]+aktuelleAnleihen[[#This Row],[Stückzinsen]]</f>
        <v>2152.1616438356164</v>
      </c>
      <c r="G149" s="8">
        <f>aktuelleAnleihen[[#This Row],[Kursdifferenz]]*aktuelleAnleihen[[#This Row],[Anteile]]*aktuelleAnleihen[[#This Row],[Stückelung]]/aktuelleAnleihen[[#This Row],[Wechselkurs am Kauftag]]</f>
        <v>-3.6000000000000476</v>
      </c>
      <c r="H149" s="8">
        <f>aktuelleAnleihen[[#This Row],[Stückzinsen]]-aktuelleAnleihen[[#This Row],[Stückzinsen am Kauftag]]+aktuelleAnleihen[[#This Row],[Zinszahlungen]]</f>
        <v>21.369843835616436</v>
      </c>
      <c r="I149" s="8">
        <f>aktuelleAnleihen[[#This Row],[Gewinn gesamt]]-aktuelleAnleihen[[#This Row],[Gewinn aus Kursänderung]]-aktuelleAnleihen[[#This Row],[Gewinn aus Zinsen]]</f>
        <v>9.5923269327613525E-14</v>
      </c>
      <c r="J149" s="7">
        <f>aktuelleAnleihen[[#This Row],[Gewinn gesamt]]/aktuelleAnleihen[[#This Row],[Kaufpreis]]</f>
        <v>8.3254835572440285E-3</v>
      </c>
      <c r="K149" s="3">
        <f>aktuelleAnleihen[[#This Row],[Verkaufspreis]]-aktuelleAnleihen[[#This Row],[Kaufpreis]]+aktuelleAnleihen[[#This Row],[Zinszahlungen]]</f>
        <v>17.769843835616484</v>
      </c>
      <c r="L149" s="4">
        <v>2134.3917999999999</v>
      </c>
      <c r="M149" s="7">
        <v>1.0501</v>
      </c>
      <c r="N149" s="61">
        <v>1</v>
      </c>
      <c r="O149" s="1">
        <v>1</v>
      </c>
      <c r="P149" s="1" t="s">
        <v>925</v>
      </c>
      <c r="Q149" s="30">
        <v>45385</v>
      </c>
      <c r="R149" s="1">
        <v>2</v>
      </c>
      <c r="S149" s="1">
        <v>1000</v>
      </c>
      <c r="T149" s="9">
        <v>45281</v>
      </c>
      <c r="U149" s="1">
        <v>1</v>
      </c>
      <c r="V149" s="62">
        <f>aktuelleAnleihen[[#This Row],[Stückelung]]*aktuelleAnleihen[[#This Row],[Anteile]]*aktuelleAnleihen[[#This Row],[Coupon]]/aktuelleAnleihen[[#This Row],[Aktueller Wechselkurs]]*($AC$1-aktuelleAnleihen[[#This Row],[Letzte Zinszahlung]])/365</f>
        <v>55.561643835616437</v>
      </c>
      <c r="W149" s="4">
        <v>34.191800000000001</v>
      </c>
      <c r="X149" s="120" t="s">
        <v>51</v>
      </c>
      <c r="Y149" s="120" t="s">
        <v>39</v>
      </c>
      <c r="Z149" s="1" t="s">
        <v>870</v>
      </c>
      <c r="AA149" s="1" t="s">
        <v>871</v>
      </c>
      <c r="AB149" s="3">
        <f>SUMIF('Zinszahlungen Anleihen'!K:K,aktuelleAnleihen[[#This Row],[ISIN]],'Zinszahlungen Anleihen'!D:D)</f>
        <v>0</v>
      </c>
      <c r="AE149" s="10"/>
      <c r="AF149" s="1"/>
      <c r="AH149" s="7"/>
      <c r="AJ149" s="1"/>
      <c r="AN149" s="1"/>
      <c r="AQ149" s="1"/>
    </row>
    <row r="150" spans="1:43" x14ac:dyDescent="0.2">
      <c r="A150" s="1" t="s">
        <v>290</v>
      </c>
      <c r="B150" s="1" t="s">
        <v>1</v>
      </c>
      <c r="C150" s="7">
        <v>9.375E-2</v>
      </c>
      <c r="D150" s="7">
        <v>1.071</v>
      </c>
      <c r="E150" s="7">
        <f>aktuelleAnleihen[[#This Row],[Aktueller Kurs]]-aktuelleAnleihen[[#This Row],[Kaufkurs]]</f>
        <v>-1.8000000000000238E-3</v>
      </c>
      <c r="F150" s="8">
        <f>aktuelleAnleihen[[#This Row],[Stückelung]]*aktuelleAnleihen[[#This Row],[Aktueller Kurs]]*aktuelleAnleihen[[#This Row],[Anteile]]/aktuelleAnleihen[[#This Row],[Aktueller Wechselkurs]]+aktuelleAnleihen[[#This Row],[Stückzinsen]]</f>
        <v>2153.8150684931506</v>
      </c>
      <c r="G150" s="8">
        <f>aktuelleAnleihen[[#This Row],[Kursdifferenz]]*aktuelleAnleihen[[#This Row],[Anteile]]*aktuelleAnleihen[[#This Row],[Stückelung]]/aktuelleAnleihen[[#This Row],[Wechselkurs am Kauftag]]</f>
        <v>-3.6000000000000476</v>
      </c>
      <c r="H150" s="8">
        <f>aktuelleAnleihen[[#This Row],[Stückzinsen]]-aktuelleAnleihen[[#This Row],[Stückzinsen am Kauftag]]+aktuelleAnleihen[[#This Row],[Zinszahlungen]]</f>
        <v>33.647268493150683</v>
      </c>
      <c r="I150" s="8">
        <f>aktuelleAnleihen[[#This Row],[Gewinn gesamt]]-aktuelleAnleihen[[#This Row],[Gewinn aus Kursänderung]]-aktuelleAnleihen[[#This Row],[Gewinn aus Zinsen]]</f>
        <v>-6.3948846218409017E-14</v>
      </c>
      <c r="J150" s="7">
        <f>aktuelleAnleihen[[#This Row],[Gewinn gesamt]]/aktuelleAnleihen[[#This Row],[Kaufpreis]]</f>
        <v>1.3549955943149844E-2</v>
      </c>
      <c r="K150" s="3">
        <f>aktuelleAnleihen[[#This Row],[Verkaufspreis]]-aktuelleAnleihen[[#This Row],[Kaufpreis]]+aktuelleAnleihen[[#This Row],[Zinszahlungen]]</f>
        <v>30.047268493150568</v>
      </c>
      <c r="L150" s="4">
        <v>2217.5178000000001</v>
      </c>
      <c r="M150" s="7">
        <v>1.0728</v>
      </c>
      <c r="N150" s="61">
        <v>1</v>
      </c>
      <c r="O150" s="1">
        <v>1</v>
      </c>
      <c r="P150" s="1" t="s">
        <v>925</v>
      </c>
      <c r="Q150" s="30">
        <v>45385</v>
      </c>
      <c r="R150" s="1">
        <v>2</v>
      </c>
      <c r="S150" s="1">
        <v>1000</v>
      </c>
      <c r="T150" s="9">
        <v>45427</v>
      </c>
      <c r="U150" s="1">
        <v>2</v>
      </c>
      <c r="V150" s="62">
        <f>aktuelleAnleihen[[#This Row],[Stückelung]]*aktuelleAnleihen[[#This Row],[Anteile]]*aktuelleAnleihen[[#This Row],[Coupon]]/aktuelleAnleihen[[#This Row],[Aktueller Wechselkurs]]*($AC$1-aktuelleAnleihen[[#This Row],[Letzte Zinszahlung]])/365</f>
        <v>11.815068493150685</v>
      </c>
      <c r="W150" s="4">
        <v>71.9178</v>
      </c>
      <c r="X150" s="120" t="s">
        <v>43</v>
      </c>
      <c r="Y150" s="120" t="s">
        <v>39</v>
      </c>
      <c r="Z150" s="1" t="s">
        <v>291</v>
      </c>
      <c r="AA150" s="1" t="s">
        <v>292</v>
      </c>
      <c r="AB150" s="3">
        <f>SUMIF('Zinszahlungen Anleihen'!K:K,aktuelleAnleihen[[#This Row],[ISIN]],'Zinszahlungen Anleihen'!D:D)</f>
        <v>93.75</v>
      </c>
      <c r="AE150" s="10"/>
      <c r="AF150" s="1"/>
      <c r="AH150" s="7"/>
      <c r="AJ150" s="1"/>
      <c r="AN150" s="1"/>
      <c r="AQ150" s="1"/>
    </row>
    <row r="151" spans="1:43" x14ac:dyDescent="0.2">
      <c r="A151" s="1" t="s">
        <v>1216</v>
      </c>
      <c r="B151" s="1" t="s">
        <v>2</v>
      </c>
      <c r="C151" s="7">
        <v>9.375E-2</v>
      </c>
      <c r="D151" s="7">
        <v>0.67909999999999993</v>
      </c>
      <c r="E151" s="7">
        <f>aktuelleAnleihen[[#This Row],[Aktueller Kurs]]-aktuelleAnleihen[[#This Row],[Kaufkurs]]</f>
        <v>-1.9000000000000128E-3</v>
      </c>
      <c r="F151" s="8">
        <f>aktuelleAnleihen[[#This Row],[Stückelung]]*aktuelleAnleihen[[#This Row],[Aktueller Kurs]]*aktuelleAnleihen[[#This Row],[Anteile]]/aktuelleAnleihen[[#This Row],[Aktueller Wechselkurs]]+aktuelleAnleihen[[#This Row],[Stückzinsen]]</f>
        <v>1254.6315104969162</v>
      </c>
      <c r="G151" s="8">
        <f>aktuelleAnleihen[[#This Row],[Kursdifferenz]]*aktuelleAnleihen[[#This Row],[Anteile]]*aktuelleAnleihen[[#This Row],[Stückelung]]/aktuelleAnleihen[[#This Row],[Wechselkurs am Kauftag]]</f>
        <v>-3.5437843886972167</v>
      </c>
      <c r="H151" s="8">
        <f>aktuelleAnleihen[[#This Row],[Stückzinsen]]-aktuelleAnleihen[[#This Row],[Stückzinsen am Kauftag]]+aktuelleAnleihen[[#This Row],[Zinszahlungen]]</f>
        <v>17.26249170000338</v>
      </c>
      <c r="I151" s="8">
        <f>aktuelleAnleihen[[#This Row],[Gewinn gesamt]]-aktuelleAnleihen[[#This Row],[Gewinn aus Kursänderung]]-aktuelleAnleihen[[#This Row],[Gewinn aus Zinsen]]</f>
        <v>-19.538366736085027</v>
      </c>
      <c r="J151" s="7">
        <f>aktuelleAnleihen[[#This Row],[Gewinn gesamt]]/aktuelleAnleihen[[#This Row],[Kaufpreis]]</f>
        <v>-4.3210472223647193E-3</v>
      </c>
      <c r="K151" s="3">
        <f>aktuelleAnleihen[[#This Row],[Verkaufspreis]]-aktuelleAnleihen[[#This Row],[Kaufpreis]]+aktuelleAnleihen[[#This Row],[Zinszahlungen]]</f>
        <v>-5.8196594247788624</v>
      </c>
      <c r="L151" s="4">
        <v>1346.8169</v>
      </c>
      <c r="M151" s="7">
        <v>0.68099999999999994</v>
      </c>
      <c r="N151" s="61">
        <v>1.0723</v>
      </c>
      <c r="O151" s="1">
        <v>1.0891</v>
      </c>
      <c r="P151" s="1" t="s">
        <v>887</v>
      </c>
      <c r="Q151" s="30">
        <v>45412</v>
      </c>
      <c r="R151" s="1">
        <v>2000</v>
      </c>
      <c r="S151" s="1">
        <v>1</v>
      </c>
      <c r="T151" s="9">
        <v>45434</v>
      </c>
      <c r="U151" s="1">
        <v>2</v>
      </c>
      <c r="V151" s="62">
        <f>aktuelleAnleihen[[#This Row],[Stückelung]]*aktuelleAnleihen[[#This Row],[Anteile]]*aktuelleAnleihen[[#This Row],[Coupon]]/aktuelleAnleihen[[#This Row],[Aktueller Wechselkurs]]*($AC$1-aktuelleAnleihen[[#This Row],[Letzte Zinszahlung]])/365</f>
        <v>7.5467616216984483</v>
      </c>
      <c r="W151" s="4">
        <v>76.650000000000006</v>
      </c>
      <c r="X151" s="120" t="s">
        <v>1020</v>
      </c>
      <c r="Y151" s="120" t="s">
        <v>39</v>
      </c>
      <c r="Z151" s="1" t="s">
        <v>1217</v>
      </c>
      <c r="AA151" s="1" t="s">
        <v>1218</v>
      </c>
      <c r="AB151" s="3">
        <f>SUMIF('Zinszahlungen Anleihen'!K:K,aktuelleAnleihen[[#This Row],[ISIN]],'Zinszahlungen Anleihen'!D:D)</f>
        <v>86.365730078304935</v>
      </c>
      <c r="AE151" s="10"/>
      <c r="AF151" s="1"/>
      <c r="AH151" s="7"/>
      <c r="AJ151" s="1"/>
      <c r="AN151" s="1"/>
      <c r="AQ151" s="1"/>
    </row>
    <row r="152" spans="1:43" x14ac:dyDescent="0.2">
      <c r="A152" s="1" t="s">
        <v>589</v>
      </c>
      <c r="B152" s="1" t="s">
        <v>0</v>
      </c>
      <c r="C152" s="7">
        <v>7.3749999999999996E-2</v>
      </c>
      <c r="D152" s="7">
        <v>1.0335000000000001</v>
      </c>
      <c r="E152" s="7">
        <f>aktuelleAnleihen[[#This Row],[Aktueller Kurs]]-aktuelleAnleihen[[#This Row],[Kaufkurs]]</f>
        <v>-1.6999999999998128E-3</v>
      </c>
      <c r="F152" s="8">
        <f>aktuelleAnleihen[[#This Row],[Stückelung]]*aktuelleAnleihen[[#This Row],[Aktueller Kurs]]*aktuelleAnleihen[[#This Row],[Anteile]]/aktuelleAnleihen[[#This Row],[Aktueller Wechselkurs]]+aktuelleAnleihen[[#This Row],[Stückzinsen]]</f>
        <v>2137.7191780821918</v>
      </c>
      <c r="G152" s="8">
        <f>aktuelleAnleihen[[#This Row],[Kursdifferenz]]*aktuelleAnleihen[[#This Row],[Anteile]]*aktuelleAnleihen[[#This Row],[Stückelung]]/aktuelleAnleihen[[#This Row],[Wechselkurs am Kauftag]]</f>
        <v>-3.3999999999996255</v>
      </c>
      <c r="H152" s="8">
        <f>aktuelleAnleihen[[#This Row],[Stückzinsen]]-aktuelleAnleihen[[#This Row],[Stückzinsen am Kauftag]]+aktuelleAnleihen[[#This Row],[Zinszahlungen]]</f>
        <v>26.267078082191773</v>
      </c>
      <c r="I152" s="8">
        <f>aktuelleAnleihen[[#This Row],[Gewinn gesamt]]-aktuelleAnleihen[[#This Row],[Gewinn aus Kursänderung]]-aktuelleAnleihen[[#This Row],[Gewinn aus Zinsen]]</f>
        <v>-4.3698378249246161E-13</v>
      </c>
      <c r="J152" s="7">
        <f>aktuelleAnleihen[[#This Row],[Gewinn gesamt]]/aktuelleAnleihen[[#This Row],[Kaufpreis]]</f>
        <v>1.0812613365346783E-2</v>
      </c>
      <c r="K152" s="3">
        <f>aktuelleAnleihen[[#This Row],[Verkaufspreis]]-aktuelleAnleihen[[#This Row],[Kaufpreis]]+aktuelleAnleihen[[#This Row],[Zinszahlungen]]</f>
        <v>22.867078082191711</v>
      </c>
      <c r="L152" s="4">
        <v>2114.8521000000001</v>
      </c>
      <c r="M152" s="7">
        <v>1.0351999999999999</v>
      </c>
      <c r="N152" s="61">
        <v>1</v>
      </c>
      <c r="O152" s="1">
        <v>1</v>
      </c>
      <c r="P152" s="1" t="s">
        <v>925</v>
      </c>
      <c r="Q152" s="30">
        <v>45385</v>
      </c>
      <c r="R152" s="1">
        <v>2</v>
      </c>
      <c r="S152" s="1">
        <v>1000</v>
      </c>
      <c r="T152" s="9">
        <v>45275</v>
      </c>
      <c r="U152" s="1">
        <v>2</v>
      </c>
      <c r="V152" s="62">
        <f>aktuelleAnleihen[[#This Row],[Stückelung]]*aktuelleAnleihen[[#This Row],[Anteile]]*aktuelleAnleihen[[#This Row],[Coupon]]/aktuelleAnleihen[[#This Row],[Aktueller Wechselkurs]]*($AC$1-aktuelleAnleihen[[#This Row],[Letzte Zinszahlung]])/365</f>
        <v>70.719178082191775</v>
      </c>
      <c r="W152" s="4">
        <v>44.452100000000002</v>
      </c>
      <c r="X152" s="120" t="s">
        <v>35</v>
      </c>
      <c r="Y152" s="120" t="s">
        <v>109</v>
      </c>
      <c r="Z152" s="1" t="s">
        <v>590</v>
      </c>
      <c r="AA152" s="1" t="s">
        <v>591</v>
      </c>
      <c r="AB152" s="3">
        <f>SUMIF('Zinszahlungen Anleihen'!K:K,aktuelleAnleihen[[#This Row],[ISIN]],'Zinszahlungen Anleihen'!D:D)</f>
        <v>0</v>
      </c>
      <c r="AE152" s="10"/>
      <c r="AF152" s="1"/>
      <c r="AH152" s="7"/>
      <c r="AJ152" s="1"/>
      <c r="AN152" s="1"/>
      <c r="AQ152" s="1"/>
    </row>
    <row r="153" spans="1:43" x14ac:dyDescent="0.2">
      <c r="A153" s="1" t="s">
        <v>1444</v>
      </c>
      <c r="B153" s="1" t="s">
        <v>2</v>
      </c>
      <c r="C153" s="7">
        <v>8.5000000000000006E-2</v>
      </c>
      <c r="D153" s="7">
        <v>1.0097</v>
      </c>
      <c r="E153" s="7">
        <f>aktuelleAnleihen[[#This Row],[Aktueller Kurs]]-aktuelleAnleihen[[#This Row],[Kaufkurs]]</f>
        <v>-1.8000000000000238E-3</v>
      </c>
      <c r="F153" s="8">
        <f>aktuelleAnleihen[[#This Row],[Stückelung]]*aktuelleAnleihen[[#This Row],[Aktueller Kurs]]*aktuelleAnleihen[[#This Row],[Anteile]]/aktuelleAnleihen[[#This Row],[Aktueller Wechselkurs]]+aktuelleAnleihen[[#This Row],[Stückzinsen]]</f>
        <v>1915.7731091274311</v>
      </c>
      <c r="G153" s="8">
        <f>aktuelleAnleihen[[#This Row],[Kursdifferenz]]*aktuelleAnleihen[[#This Row],[Anteile]]*aktuelleAnleihen[[#This Row],[Stückelung]]/aktuelleAnleihen[[#This Row],[Wechselkurs am Kauftag]]</f>
        <v>-3.3572694208710692</v>
      </c>
      <c r="H153" s="8">
        <f>aktuelleAnleihen[[#This Row],[Stückzinsen]]-aktuelleAnleihen[[#This Row],[Stückzinsen am Kauftag]]+aktuelleAnleihen[[#This Row],[Zinszahlungen]]</f>
        <v>15.540474833059342</v>
      </c>
      <c r="I153" s="8">
        <f>aktuelleAnleihen[[#This Row],[Gewinn gesamt]]-aktuelleAnleihen[[#This Row],[Gewinn aus Kursänderung]]-aktuelleAnleihen[[#This Row],[Gewinn aus Zinsen]]</f>
        <v>-29.050096284757274</v>
      </c>
      <c r="J153" s="7">
        <f>aktuelleAnleihen[[#This Row],[Gewinn gesamt]]/aktuelleAnleihen[[#This Row],[Kaufpreis]]</f>
        <v>-8.7273837199731974E-3</v>
      </c>
      <c r="K153" s="3">
        <f>aktuelleAnleihen[[#This Row],[Verkaufspreis]]-aktuelleAnleihen[[#This Row],[Kaufpreis]]+aktuelleAnleihen[[#This Row],[Zinszahlungen]]</f>
        <v>-16.866890872569002</v>
      </c>
      <c r="L153" s="4">
        <v>1932.64</v>
      </c>
      <c r="M153" s="7">
        <v>1.0115000000000001</v>
      </c>
      <c r="N153" s="61">
        <v>1.0723</v>
      </c>
      <c r="O153" s="1">
        <v>1.0891</v>
      </c>
      <c r="P153" s="1" t="s">
        <v>887</v>
      </c>
      <c r="Q153" s="30">
        <v>45412</v>
      </c>
      <c r="R153" s="1">
        <v>2</v>
      </c>
      <c r="S153" s="1">
        <v>1000</v>
      </c>
      <c r="T153" s="9">
        <v>45306</v>
      </c>
      <c r="U153" s="1">
        <v>2</v>
      </c>
      <c r="V153" s="62">
        <f>aktuelleAnleihen[[#This Row],[Stückelung]]*aktuelleAnleihen[[#This Row],[Anteile]]*aktuelleAnleihen[[#This Row],[Coupon]]/aktuelleAnleihen[[#This Row],[Aktueller Wechselkurs]]*($AC$1-aktuelleAnleihen[[#This Row],[Letzte Zinszahlung]])/365</f>
        <v>61.581574833059342</v>
      </c>
      <c r="W153" s="4">
        <v>46.0411</v>
      </c>
      <c r="X153" s="120" t="s">
        <v>276</v>
      </c>
      <c r="Y153" s="120" t="s">
        <v>57</v>
      </c>
      <c r="Z153" s="1" t="s">
        <v>1445</v>
      </c>
      <c r="AA153" s="1" t="s">
        <v>1446</v>
      </c>
      <c r="AB153" s="3">
        <f>SUMIF('Zinszahlungen Anleihen'!K:K,aktuelleAnleihen[[#This Row],[ISIN]],'Zinszahlungen Anleihen'!D:D)</f>
        <v>0</v>
      </c>
      <c r="AE153" s="10"/>
      <c r="AF153" s="1"/>
      <c r="AH153" s="7"/>
      <c r="AJ153" s="1"/>
      <c r="AN153" s="1"/>
      <c r="AQ153" s="1"/>
    </row>
    <row r="154" spans="1:43" x14ac:dyDescent="0.2">
      <c r="A154" s="1" t="s">
        <v>805</v>
      </c>
      <c r="B154" s="1" t="s">
        <v>2</v>
      </c>
      <c r="C154" s="7">
        <v>6.25E-2</v>
      </c>
      <c r="D154" s="7">
        <v>1.0263</v>
      </c>
      <c r="E154" s="7">
        <f>aktuelleAnleihen[[#This Row],[Aktueller Kurs]]-aktuelleAnleihen[[#This Row],[Kaufkurs]]</f>
        <v>-1.5000000000000568E-3</v>
      </c>
      <c r="F154" s="8">
        <f>aktuelleAnleihen[[#This Row],[Stückelung]]*aktuelleAnleihen[[#This Row],[Aktueller Kurs]]*aktuelleAnleihen[[#This Row],[Anteile]]/aktuelleAnleihen[[#This Row],[Aktueller Wechselkurs]]+aktuelleAnleihen[[#This Row],[Stückzinsen]]</f>
        <v>2114.5863013698631</v>
      </c>
      <c r="G154" s="8">
        <f>aktuelleAnleihen[[#This Row],[Kursdifferenz]]*aktuelleAnleihen[[#This Row],[Anteile]]*aktuelleAnleihen[[#This Row],[Stückelung]]/aktuelleAnleihen[[#This Row],[Wechselkurs am Kauftag]]</f>
        <v>-3.0000000000001137</v>
      </c>
      <c r="H154" s="8">
        <f>aktuelleAnleihen[[#This Row],[Stückzinsen]]-aktuelleAnleihen[[#This Row],[Stückzinsen am Kauftag]]+aktuelleAnleihen[[#This Row],[Zinszahlungen]]</f>
        <v>22.260301369863015</v>
      </c>
      <c r="I154" s="8">
        <f>aktuelleAnleihen[[#This Row],[Gewinn gesamt]]-aktuelleAnleihen[[#This Row],[Gewinn aus Kursänderung]]-aktuelleAnleihen[[#This Row],[Gewinn aus Zinsen]]</f>
        <v>1.9895196601282805E-13</v>
      </c>
      <c r="J154" s="7">
        <f>aktuelleAnleihen[[#This Row],[Gewinn gesamt]]/aktuelleAnleihen[[#This Row],[Kaufpreis]]</f>
        <v>9.1920309154103468E-3</v>
      </c>
      <c r="K154" s="3">
        <f>aktuelleAnleihen[[#This Row],[Verkaufspreis]]-aktuelleAnleihen[[#This Row],[Kaufpreis]]+aktuelleAnleihen[[#This Row],[Zinszahlungen]]</f>
        <v>19.2603013698631</v>
      </c>
      <c r="L154" s="4">
        <v>2095.326</v>
      </c>
      <c r="M154" s="7">
        <v>1.0278</v>
      </c>
      <c r="N154" s="61">
        <v>1</v>
      </c>
      <c r="O154" s="1">
        <v>1</v>
      </c>
      <c r="P154" s="1" t="s">
        <v>925</v>
      </c>
      <c r="Q154" s="30">
        <v>45385</v>
      </c>
      <c r="R154" s="1">
        <v>2</v>
      </c>
      <c r="S154" s="1">
        <v>1000</v>
      </c>
      <c r="T154" s="9">
        <v>45269</v>
      </c>
      <c r="U154" s="1">
        <v>1</v>
      </c>
      <c r="V154" s="62">
        <f>aktuelleAnleihen[[#This Row],[Stückelung]]*aktuelleAnleihen[[#This Row],[Anteile]]*aktuelleAnleihen[[#This Row],[Coupon]]/aktuelleAnleihen[[#This Row],[Aktueller Wechselkurs]]*($AC$1-aktuelleAnleihen[[#This Row],[Letzte Zinszahlung]])/365</f>
        <v>61.986301369863014</v>
      </c>
      <c r="W154" s="4">
        <v>39.725999999999999</v>
      </c>
      <c r="X154" s="120" t="s">
        <v>43</v>
      </c>
      <c r="Y154" s="120" t="s">
        <v>57</v>
      </c>
      <c r="Z154" s="1" t="s">
        <v>806</v>
      </c>
      <c r="AA154" s="1" t="s">
        <v>807</v>
      </c>
      <c r="AB154" s="3">
        <f>SUMIF('Zinszahlungen Anleihen'!K:K,aktuelleAnleihen[[#This Row],[ISIN]],'Zinszahlungen Anleihen'!D:D)</f>
        <v>0</v>
      </c>
      <c r="AE154" s="10"/>
      <c r="AF154" s="1"/>
      <c r="AH154" s="7"/>
      <c r="AJ154" s="1"/>
      <c r="AN154" s="1"/>
      <c r="AQ154" s="1"/>
    </row>
    <row r="155" spans="1:43" x14ac:dyDescent="0.2">
      <c r="A155" s="1" t="s">
        <v>356</v>
      </c>
      <c r="B155" s="1" t="s">
        <v>0</v>
      </c>
      <c r="C155" s="7">
        <v>8.6899999999999991E-2</v>
      </c>
      <c r="D155" s="7">
        <v>1.0071000000000001</v>
      </c>
      <c r="E155" s="7">
        <f>aktuelleAnleihen[[#This Row],[Aktueller Kurs]]-aktuelleAnleihen[[#This Row],[Kaufkurs]]</f>
        <v>-1.3999999999998458E-3</v>
      </c>
      <c r="F155" s="8">
        <f>aktuelleAnleihen[[#This Row],[Stückelung]]*aktuelleAnleihen[[#This Row],[Aktueller Kurs]]*aktuelleAnleihen[[#This Row],[Anteile]]/aktuelleAnleihen[[#This Row],[Aktueller Wechselkurs]]+aktuelleAnleihen[[#This Row],[Stückzinsen]]</f>
        <v>2054.1978082191786</v>
      </c>
      <c r="G155" s="8">
        <f>aktuelleAnleihen[[#This Row],[Kursdifferenz]]*aktuelleAnleihen[[#This Row],[Anteile]]*aktuelleAnleihen[[#This Row],[Stückelung]]/aktuelleAnleihen[[#This Row],[Wechselkurs am Kauftag]]</f>
        <v>-2.7999999999996916</v>
      </c>
      <c r="H155" s="8">
        <f>aktuelleAnleihen[[#This Row],[Stückzinsen]]-aktuelleAnleihen[[#This Row],[Stückzinsen am Kauftag]]+aktuelleAnleihen[[#This Row],[Zinszahlungen]]</f>
        <v>30.950708219178075</v>
      </c>
      <c r="I155" s="8">
        <f>aktuelleAnleihen[[#This Row],[Gewinn gesamt]]-aktuelleAnleihen[[#This Row],[Gewinn aus Kursänderung]]-aktuelleAnleihen[[#This Row],[Gewinn aus Zinsen]]</f>
        <v>1.8474111129762605E-13</v>
      </c>
      <c r="J155" s="7">
        <f>aktuelleAnleihen[[#This Row],[Gewinn gesamt]]/aktuelleAnleihen[[#This Row],[Kaufpreis]]</f>
        <v>1.3894399700371511E-2</v>
      </c>
      <c r="K155" s="3">
        <f>aktuelleAnleihen[[#This Row],[Verkaufspreis]]-aktuelleAnleihen[[#This Row],[Kaufpreis]]+aktuelleAnleihen[[#This Row],[Zinszahlungen]]</f>
        <v>28.150708219178568</v>
      </c>
      <c r="L155" s="4">
        <v>2026.0471</v>
      </c>
      <c r="M155" s="7">
        <v>1.0085</v>
      </c>
      <c r="N155" s="61">
        <v>1</v>
      </c>
      <c r="O155" s="1">
        <v>1</v>
      </c>
      <c r="P155" s="1" t="s">
        <v>925</v>
      </c>
      <c r="Q155" s="30">
        <v>45385</v>
      </c>
      <c r="R155" s="1">
        <v>2</v>
      </c>
      <c r="S155" s="1">
        <v>1000</v>
      </c>
      <c r="T155" s="9">
        <v>45366</v>
      </c>
      <c r="U155" s="1">
        <v>4</v>
      </c>
      <c r="V155" s="62">
        <f>aktuelleAnleihen[[#This Row],[Stückelung]]*aktuelleAnleihen[[#This Row],[Anteile]]*aktuelleAnleihen[[#This Row],[Coupon]]/aktuelleAnleihen[[#This Row],[Aktueller Wechselkurs]]*($AC$1-aktuelleAnleihen[[#This Row],[Letzte Zinszahlung]])/365</f>
        <v>39.997808219178076</v>
      </c>
      <c r="W155" s="4">
        <v>9.0471000000000004</v>
      </c>
      <c r="X155" s="120" t="s">
        <v>51</v>
      </c>
      <c r="Y155" s="120" t="s">
        <v>61</v>
      </c>
      <c r="Z155" s="1" t="s">
        <v>357</v>
      </c>
      <c r="AA155" s="1" t="s">
        <v>358</v>
      </c>
      <c r="AB155" s="3">
        <f>SUMIF('Zinszahlungen Anleihen'!K:K,aktuelleAnleihen[[#This Row],[ISIN]],'Zinszahlungen Anleihen'!D:D)</f>
        <v>0</v>
      </c>
      <c r="AE155" s="10"/>
      <c r="AF155" s="1"/>
      <c r="AH155" s="7"/>
      <c r="AJ155" s="1"/>
      <c r="AN155" s="1"/>
      <c r="AQ155" s="1"/>
    </row>
    <row r="156" spans="1:43" x14ac:dyDescent="0.2">
      <c r="A156" s="1" t="s">
        <v>1522</v>
      </c>
      <c r="B156" s="1" t="s">
        <v>10</v>
      </c>
      <c r="C156" s="7">
        <v>9.2499999999999999E-2</v>
      </c>
      <c r="D156" s="7">
        <v>1.0687500000000001</v>
      </c>
      <c r="E156" s="7">
        <f>aktuelleAnleihen[[#This Row],[Aktueller Kurs]]-aktuelleAnleihen[[#This Row],[Kaufkurs]]</f>
        <v>-1.2499999999999734E-3</v>
      </c>
      <c r="F156" s="8">
        <f>aktuelleAnleihen[[#This Row],[Stückelung]]*aktuelleAnleihen[[#This Row],[Aktueller Kurs]]*aktuelleAnleihen[[#This Row],[Anteile]]/aktuelleAnleihen[[#This Row],[Aktueller Wechselkurs]]+aktuelleAnleihen[[#This Row],[Stückzinsen]]</f>
        <v>2029.6449374436352</v>
      </c>
      <c r="G156" s="8">
        <f>aktuelleAnleihen[[#This Row],[Kursdifferenz]]*aktuelleAnleihen[[#This Row],[Anteile]]*aktuelleAnleihen[[#This Row],[Stückelung]]/aktuelleAnleihen[[#This Row],[Wechselkurs am Kauftag]]</f>
        <v>-2.3314370978270507</v>
      </c>
      <c r="H156" s="8">
        <f>aktuelleAnleihen[[#This Row],[Stückzinsen]]-aktuelleAnleihen[[#This Row],[Stückzinsen am Kauftag]]+aktuelleAnleihen[[#This Row],[Zinszahlungen]]</f>
        <v>16.911743200682224</v>
      </c>
      <c r="I156" s="8">
        <f>aktuelleAnleihen[[#This Row],[Gewinn gesamt]]-aktuelleAnleihen[[#This Row],[Gewinn aus Kursänderung]]-aktuelleAnleihen[[#This Row],[Gewinn aus Zinsen]]</f>
        <v>-30.74906865921993</v>
      </c>
      <c r="J156" s="7">
        <f>aktuelleAnleihen[[#This Row],[Gewinn gesamt]]/aktuelleAnleihen[[#This Row],[Kaufpreis]]</f>
        <v>-7.9033406396509884E-3</v>
      </c>
      <c r="K156" s="3">
        <f>aktuelleAnleihen[[#This Row],[Verkaufspreis]]-aktuelleAnleihen[[#This Row],[Kaufpreis]]+aktuelleAnleihen[[#This Row],[Zinszahlungen]]</f>
        <v>-16.168762556364754</v>
      </c>
      <c r="L156" s="4">
        <v>2045.8136999999999</v>
      </c>
      <c r="M156" s="7">
        <v>1.07</v>
      </c>
      <c r="N156" s="61">
        <v>1.0723</v>
      </c>
      <c r="O156" s="1">
        <v>1.0891</v>
      </c>
      <c r="P156" s="1" t="s">
        <v>887</v>
      </c>
      <c r="Q156" s="30">
        <v>45412</v>
      </c>
      <c r="R156" s="1">
        <v>2</v>
      </c>
      <c r="S156" s="1">
        <v>1000</v>
      </c>
      <c r="T156" s="9">
        <v>45306</v>
      </c>
      <c r="U156" s="1">
        <v>2</v>
      </c>
      <c r="V156" s="62">
        <f>aktuelleAnleihen[[#This Row],[Stückelung]]*aktuelleAnleihen[[#This Row],[Anteile]]*aktuelleAnleihen[[#This Row],[Coupon]]/aktuelleAnleihen[[#This Row],[Aktueller Wechselkurs]]*($AC$1-aktuelleAnleihen[[#This Row],[Letzte Zinszahlung]])/365</f>
        <v>67.015243200682221</v>
      </c>
      <c r="W156" s="4">
        <v>50.103499999999997</v>
      </c>
      <c r="X156" s="120" t="s">
        <v>1523</v>
      </c>
      <c r="Y156" s="120" t="s">
        <v>1011</v>
      </c>
      <c r="Z156" s="1" t="s">
        <v>1524</v>
      </c>
      <c r="AA156" s="1" t="s">
        <v>1525</v>
      </c>
      <c r="AB156" s="3">
        <f>SUMIF('Zinszahlungen Anleihen'!K:K,aktuelleAnleihen[[#This Row],[ISIN]],'Zinszahlungen Anleihen'!D:D)</f>
        <v>0</v>
      </c>
      <c r="AE156" s="10"/>
      <c r="AF156" s="1"/>
      <c r="AH156" s="7"/>
      <c r="AJ156" s="1"/>
      <c r="AN156" s="1"/>
      <c r="AQ156" s="1"/>
    </row>
    <row r="157" spans="1:43" x14ac:dyDescent="0.2">
      <c r="A157" s="1" t="s">
        <v>1044</v>
      </c>
      <c r="B157" s="1" t="s">
        <v>0</v>
      </c>
      <c r="C157" s="7">
        <v>0.1075</v>
      </c>
      <c r="D157" s="7">
        <v>1.3159000000000001</v>
      </c>
      <c r="E157" s="7">
        <f>aktuelleAnleihen[[#This Row],[Aktueller Kurs]]-aktuelleAnleihen[[#This Row],[Kaufkurs]]</f>
        <v>-1.0999999999998789E-3</v>
      </c>
      <c r="F157" s="8">
        <f>aktuelleAnleihen[[#This Row],[Stückelung]]*aktuelleAnleihen[[#This Row],[Aktueller Kurs]]*aktuelleAnleihen[[#This Row],[Anteile]]/aktuelleAnleihen[[#This Row],[Aktueller Wechselkurs]]+aktuelleAnleihen[[#This Row],[Stückzinsen]]</f>
        <v>2485.1787890717865</v>
      </c>
      <c r="G157" s="8">
        <f>aktuelleAnleihen[[#This Row],[Kursdifferenz]]*aktuelleAnleihen[[#This Row],[Anteile]]*aktuelleAnleihen[[#This Row],[Stückelung]]/aktuelleAnleihen[[#This Row],[Wechselkurs am Kauftag]]</f>
        <v>-2.0516646460876227</v>
      </c>
      <c r="H157" s="8">
        <f>aktuelleAnleihen[[#This Row],[Stückzinsen]]-aktuelleAnleihen[[#This Row],[Stückzinsen am Kauftag]]+aktuelleAnleihen[[#This Row],[Zinszahlungen]]</f>
        <v>19.798208693492057</v>
      </c>
      <c r="I157" s="8">
        <f>aktuelleAnleihen[[#This Row],[Gewinn gesamt]]-aktuelleAnleihen[[#This Row],[Gewinn aus Kursänderung]]-aktuelleAnleihen[[#This Row],[Gewinn aus Zinsen]]</f>
        <v>-37.859754975617882</v>
      </c>
      <c r="J157" s="7">
        <f>aktuelleAnleihen[[#This Row],[Gewinn gesamt]]/aktuelleAnleihen[[#This Row],[Kaufpreis]]</f>
        <v>-8.0282900868295787E-3</v>
      </c>
      <c r="K157" s="3">
        <f>aktuelleAnleihen[[#This Row],[Verkaufspreis]]-aktuelleAnleihen[[#This Row],[Kaufpreis]]+aktuelleAnleihen[[#This Row],[Zinszahlungen]]</f>
        <v>-20.113210928213448</v>
      </c>
      <c r="L157" s="4">
        <v>2505.2919999999999</v>
      </c>
      <c r="M157" s="7">
        <v>1.3169999999999999</v>
      </c>
      <c r="N157" s="61">
        <v>1.0723</v>
      </c>
      <c r="O157" s="1">
        <v>1.0891</v>
      </c>
      <c r="P157" s="1" t="s">
        <v>887</v>
      </c>
      <c r="Q157" s="30">
        <v>45412</v>
      </c>
      <c r="R157" s="1">
        <v>2</v>
      </c>
      <c r="S157" s="1">
        <v>1000</v>
      </c>
      <c r="T157" s="9">
        <v>45323</v>
      </c>
      <c r="U157" s="1">
        <v>2</v>
      </c>
      <c r="V157" s="62">
        <f>aktuelleAnleihen[[#This Row],[Stückelung]]*aktuelleAnleihen[[#This Row],[Anteile]]*aktuelleAnleihen[[#This Row],[Coupon]]/aktuelleAnleihen[[#This Row],[Aktueller Wechselkurs]]*($AC$1-aktuelleAnleihen[[#This Row],[Letzte Zinszahlung]])/365</f>
        <v>68.688108693492055</v>
      </c>
      <c r="W157" s="4">
        <v>48.889899999999997</v>
      </c>
      <c r="X157" s="120" t="s">
        <v>276</v>
      </c>
      <c r="Y157" s="120" t="s">
        <v>39</v>
      </c>
      <c r="Z157" s="1" t="s">
        <v>1045</v>
      </c>
      <c r="AA157" s="1" t="s">
        <v>1046</v>
      </c>
      <c r="AB157" s="3">
        <f>SUMIF('Zinszahlungen Anleihen'!K:K,aktuelleAnleihen[[#This Row],[ISIN]],'Zinszahlungen Anleihen'!D:D)</f>
        <v>0</v>
      </c>
      <c r="AE157" s="10"/>
      <c r="AF157" s="1"/>
      <c r="AH157" s="7"/>
      <c r="AJ157" s="1"/>
      <c r="AN157" s="1"/>
      <c r="AQ157" s="1"/>
    </row>
    <row r="158" spans="1:43" x14ac:dyDescent="0.2">
      <c r="A158" s="1" t="s">
        <v>1222</v>
      </c>
      <c r="B158" s="1" t="s">
        <v>9</v>
      </c>
      <c r="C158" s="7">
        <v>9.375E-2</v>
      </c>
      <c r="D158" s="7">
        <v>1.02962</v>
      </c>
      <c r="E158" s="7">
        <f>aktuelleAnleihen[[#This Row],[Aktueller Kurs]]-aktuelleAnleihen[[#This Row],[Kaufkurs]]</f>
        <v>-1.0799999999999699E-3</v>
      </c>
      <c r="F158" s="8">
        <f>aktuelleAnleihen[[#This Row],[Stückelung]]*aktuelleAnleihen[[#This Row],[Aktueller Kurs]]*aktuelleAnleihen[[#This Row],[Anteile]]/aktuelleAnleihen[[#This Row],[Aktueller Wechselkurs]]+aktuelleAnleihen[[#This Row],[Stückzinsen]]</f>
        <v>1965.2964682413403</v>
      </c>
      <c r="G158" s="8">
        <f>aktuelleAnleihen[[#This Row],[Kursdifferenz]]*aktuelleAnleihen[[#This Row],[Anteile]]*aktuelleAnleihen[[#This Row],[Stückelung]]/aktuelleAnleihen[[#This Row],[Wechselkurs am Kauftag]]</f>
        <v>-2.0143616525225587</v>
      </c>
      <c r="H158" s="8">
        <f>aktuelleAnleihen[[#This Row],[Stückzinsen]]-aktuelleAnleihen[[#This Row],[Stückzinsen am Kauftag]]+aktuelleAnleihen[[#This Row],[Zinszahlungen]]</f>
        <v>17.03677101427219</v>
      </c>
      <c r="I158" s="8">
        <f>aktuelleAnleihen[[#This Row],[Gewinn gesamt]]-aktuelleAnleihen[[#This Row],[Gewinn aus Kursänderung]]-aktuelleAnleihen[[#This Row],[Gewinn aus Zinsen]]</f>
        <v>-29.623241120409382</v>
      </c>
      <c r="J158" s="7">
        <f>aktuelleAnleihen[[#This Row],[Gewinn gesamt]]/aktuelleAnleihen[[#This Row],[Kaufpreis]]</f>
        <v>-7.3745399615726282E-3</v>
      </c>
      <c r="K158" s="3">
        <f>aktuelleAnleihen[[#This Row],[Verkaufspreis]]-aktuelleAnleihen[[#This Row],[Kaufpreis]]+aktuelleAnleihen[[#This Row],[Zinszahlungen]]</f>
        <v>-14.600831758659751</v>
      </c>
      <c r="L158" s="4">
        <v>1979.8973000000001</v>
      </c>
      <c r="M158" s="7">
        <v>1.0306999999999999</v>
      </c>
      <c r="N158" s="61">
        <v>1.0723</v>
      </c>
      <c r="O158" s="1">
        <v>1.0891</v>
      </c>
      <c r="P158" s="1" t="s">
        <v>887</v>
      </c>
      <c r="Q158" s="30">
        <v>45412</v>
      </c>
      <c r="R158" s="1">
        <v>2</v>
      </c>
      <c r="S158" s="1">
        <v>1000</v>
      </c>
      <c r="T158" s="9">
        <v>45292</v>
      </c>
      <c r="U158" s="1">
        <v>2</v>
      </c>
      <c r="V158" s="62">
        <f>aktuelleAnleihen[[#This Row],[Stückelung]]*aktuelleAnleihen[[#This Row],[Anteile]]*aktuelleAnleihen[[#This Row],[Coupon]]/aktuelleAnleihen[[#This Row],[Aktueller Wechselkurs]]*($AC$1-aktuelleAnleihen[[#This Row],[Letzte Zinszahlung]])/365</f>
        <v>74.524271014272188</v>
      </c>
      <c r="W158" s="4">
        <v>57.487499999999997</v>
      </c>
      <c r="X158" s="120" t="s">
        <v>276</v>
      </c>
      <c r="Y158" s="120" t="s">
        <v>57</v>
      </c>
      <c r="Z158" s="1" t="s">
        <v>1223</v>
      </c>
      <c r="AA158" s="1" t="s">
        <v>1224</v>
      </c>
      <c r="AB158" s="3">
        <f>SUMIF('Zinszahlungen Anleihen'!K:K,aktuelleAnleihen[[#This Row],[ISIN]],'Zinszahlungen Anleihen'!D:D)</f>
        <v>0</v>
      </c>
      <c r="AE158" s="10"/>
      <c r="AF158" s="1"/>
      <c r="AH158" s="7"/>
      <c r="AJ158" s="1"/>
      <c r="AN158" s="1"/>
      <c r="AQ158" s="1"/>
    </row>
    <row r="159" spans="1:43" x14ac:dyDescent="0.2">
      <c r="A159" s="1" t="s">
        <v>682</v>
      </c>
      <c r="B159" s="1" t="s">
        <v>0</v>
      </c>
      <c r="C159" s="7">
        <v>6.9330000000000003E-2</v>
      </c>
      <c r="D159" s="7">
        <v>1.0065</v>
      </c>
      <c r="E159" s="7">
        <f>aktuelleAnleihen[[#This Row],[Aktueller Kurs]]-aktuelleAnleihen[[#This Row],[Kaufkurs]]</f>
        <v>-1.0000000000001119E-3</v>
      </c>
      <c r="F159" s="8">
        <f>aktuelleAnleihen[[#This Row],[Stückelung]]*aktuelleAnleihen[[#This Row],[Aktueller Kurs]]*aktuelleAnleihen[[#This Row],[Anteile]]/aktuelleAnleihen[[#This Row],[Aktueller Wechselkurs]]+aktuelleAnleihen[[#This Row],[Stückzinsen]]</f>
        <v>2019.8380273972602</v>
      </c>
      <c r="G159" s="8">
        <f>aktuelleAnleihen[[#This Row],[Kursdifferenz]]*aktuelleAnleihen[[#This Row],[Anteile]]*aktuelleAnleihen[[#This Row],[Stückelung]]/aktuelleAnleihen[[#This Row],[Wechselkurs am Kauftag]]</f>
        <v>-2.0000000000002238</v>
      </c>
      <c r="H159" s="8">
        <f>aktuelleAnleihen[[#This Row],[Stückzinsen]]-aktuelleAnleihen[[#This Row],[Stückzinsen am Kauftag]]+aktuelleAnleihen[[#This Row],[Zinszahlungen]]</f>
        <v>25.167727397260272</v>
      </c>
      <c r="I159" s="8">
        <f>aktuelleAnleihen[[#This Row],[Gewinn gesamt]]-aktuelleAnleihen[[#This Row],[Gewinn aus Kursänderung]]-aktuelleAnleihen[[#This Row],[Gewinn aus Zinsen]]</f>
        <v>2.3803181647963356E-13</v>
      </c>
      <c r="J159" s="7">
        <f>aktuelleAnleihen[[#This Row],[Gewinn gesamt]]/aktuelleAnleihen[[#This Row],[Kaufpreis]]</f>
        <v>1.1405171463943094E-2</v>
      </c>
      <c r="K159" s="3">
        <f>aktuelleAnleihen[[#This Row],[Verkaufspreis]]-aktuelleAnleihen[[#This Row],[Kaufpreis]]+aktuelleAnleihen[[#This Row],[Zinszahlungen]]</f>
        <v>23.167727397260286</v>
      </c>
      <c r="L159" s="4">
        <v>2031.3353</v>
      </c>
      <c r="M159" s="7">
        <v>1.0075000000000001</v>
      </c>
      <c r="N159" s="61">
        <v>1</v>
      </c>
      <c r="O159" s="1">
        <v>1</v>
      </c>
      <c r="P159" s="1" t="s">
        <v>925</v>
      </c>
      <c r="Q159" s="30">
        <v>45385</v>
      </c>
      <c r="R159" s="1">
        <v>2</v>
      </c>
      <c r="S159" s="1">
        <v>1000</v>
      </c>
      <c r="T159" s="9">
        <v>45432</v>
      </c>
      <c r="U159" s="1">
        <v>4</v>
      </c>
      <c r="V159" s="62">
        <f>aktuelleAnleihen[[#This Row],[Stückelung]]*aktuelleAnleihen[[#This Row],[Anteile]]*aktuelleAnleihen[[#This Row],[Coupon]]/aktuelleAnleihen[[#This Row],[Aktueller Wechselkurs]]*($AC$1-aktuelleAnleihen[[#This Row],[Letzte Zinszahlung]])/365</f>
        <v>6.8380273972602739</v>
      </c>
      <c r="W159" s="4">
        <v>16.3353</v>
      </c>
      <c r="X159" s="120" t="s">
        <v>43</v>
      </c>
      <c r="Y159" s="120" t="s">
        <v>39</v>
      </c>
      <c r="Z159" s="1" t="s">
        <v>683</v>
      </c>
      <c r="AA159" s="1" t="s">
        <v>684</v>
      </c>
      <c r="AB159" s="3">
        <f>SUMIF('Zinszahlungen Anleihen'!K:K,aktuelleAnleihen[[#This Row],[ISIN]],'Zinszahlungen Anleihen'!D:D)</f>
        <v>34.664999999999999</v>
      </c>
      <c r="AE159" s="10"/>
      <c r="AF159" s="1"/>
      <c r="AH159" s="7"/>
      <c r="AJ159" s="1"/>
      <c r="AN159" s="1"/>
      <c r="AQ159" s="1"/>
    </row>
    <row r="160" spans="1:43" x14ac:dyDescent="0.2">
      <c r="A160" s="1" t="s">
        <v>368</v>
      </c>
      <c r="B160" s="1" t="s">
        <v>0</v>
      </c>
      <c r="C160" s="7">
        <v>8.6249999999999993E-2</v>
      </c>
      <c r="D160" s="7">
        <v>1.0511999999999999</v>
      </c>
      <c r="E160" s="7">
        <f>aktuelleAnleihen[[#This Row],[Aktueller Kurs]]-aktuelleAnleihen[[#This Row],[Kaufkurs]]</f>
        <v>-1.0000000000001119E-3</v>
      </c>
      <c r="F160" s="8">
        <f>aktuelleAnleihen[[#This Row],[Stückelung]]*aktuelleAnleihen[[#This Row],[Aktueller Kurs]]*aktuelleAnleihen[[#This Row],[Anteile]]/aktuelleAnleihen[[#This Row],[Aktueller Wechselkurs]]+aktuelleAnleihen[[#This Row],[Stückzinsen]]</f>
        <v>2212.0438356164382</v>
      </c>
      <c r="G160" s="8">
        <f>aktuelleAnleihen[[#This Row],[Kursdifferenz]]*aktuelleAnleihen[[#This Row],[Anteile]]*aktuelleAnleihen[[#This Row],[Stückelung]]/aktuelleAnleihen[[#This Row],[Wechselkurs am Kauftag]]</f>
        <v>-2.0000000000002238</v>
      </c>
      <c r="H160" s="8">
        <f>aktuelleAnleihen[[#This Row],[Stückzinsen]]-aktuelleAnleihen[[#This Row],[Stückzinsen am Kauftag]]+aktuelleAnleihen[[#This Row],[Zinszahlungen]]</f>
        <v>30.719135616438351</v>
      </c>
      <c r="I160" s="8">
        <f>aktuelleAnleihen[[#This Row],[Gewinn gesamt]]-aktuelleAnleihen[[#This Row],[Gewinn aus Kursänderung]]-aktuelleAnleihen[[#This Row],[Gewinn aus Zinsen]]</f>
        <v>-7.460698725481052E-14</v>
      </c>
      <c r="J160" s="7">
        <f>aktuelleAnleihen[[#This Row],[Gewinn gesamt]]/aktuelleAnleihen[[#This Row],[Kaufpreis]]</f>
        <v>1.3153854585366094E-2</v>
      </c>
      <c r="K160" s="3">
        <f>aktuelleAnleihen[[#This Row],[Verkaufspreis]]-aktuelleAnleihen[[#This Row],[Kaufpreis]]+aktuelleAnleihen[[#This Row],[Zinszahlungen]]</f>
        <v>28.719135616438052</v>
      </c>
      <c r="L160" s="4">
        <v>2183.3247000000001</v>
      </c>
      <c r="M160" s="7">
        <v>1.0522</v>
      </c>
      <c r="N160" s="61">
        <v>1</v>
      </c>
      <c r="O160" s="1">
        <v>1</v>
      </c>
      <c r="P160" s="1" t="s">
        <v>925</v>
      </c>
      <c r="Q160" s="30">
        <v>45385</v>
      </c>
      <c r="R160" s="1">
        <v>2</v>
      </c>
      <c r="S160" s="1">
        <v>1000</v>
      </c>
      <c r="T160" s="9">
        <v>45218</v>
      </c>
      <c r="U160" s="1">
        <v>1</v>
      </c>
      <c r="V160" s="62">
        <f>aktuelleAnleihen[[#This Row],[Stückelung]]*aktuelleAnleihen[[#This Row],[Anteile]]*aktuelleAnleihen[[#This Row],[Coupon]]/aktuelleAnleihen[[#This Row],[Aktueller Wechselkurs]]*($AC$1-aktuelleAnleihen[[#This Row],[Letzte Zinszahlung]])/365</f>
        <v>109.64383561643835</v>
      </c>
      <c r="W160" s="4">
        <v>78.924700000000001</v>
      </c>
      <c r="X160" s="120" t="s">
        <v>369</v>
      </c>
      <c r="Y160" s="120" t="s">
        <v>61</v>
      </c>
      <c r="Z160" s="1" t="s">
        <v>370</v>
      </c>
      <c r="AA160" s="1" t="s">
        <v>371</v>
      </c>
      <c r="AB160" s="3">
        <f>SUMIF('Zinszahlungen Anleihen'!K:K,aktuelleAnleihen[[#This Row],[ISIN]],'Zinszahlungen Anleihen'!D:D)</f>
        <v>0</v>
      </c>
      <c r="AE160" s="10"/>
      <c r="AF160" s="1"/>
      <c r="AH160" s="7"/>
      <c r="AJ160" s="1"/>
      <c r="AN160" s="1"/>
      <c r="AQ160" s="1"/>
    </row>
    <row r="161" spans="1:43" x14ac:dyDescent="0.2">
      <c r="A161" s="1" t="s">
        <v>336</v>
      </c>
      <c r="B161" s="1" t="s">
        <v>0</v>
      </c>
      <c r="C161" s="7">
        <v>8.8749999999999996E-2</v>
      </c>
      <c r="D161" s="7">
        <v>1.0567</v>
      </c>
      <c r="E161" s="7">
        <f>aktuelleAnleihen[[#This Row],[Aktueller Kurs]]-aktuelleAnleihen[[#This Row],[Kaufkurs]]</f>
        <v>-1.0000000000001119E-3</v>
      </c>
      <c r="F161" s="8">
        <f>aktuelleAnleihen[[#This Row],[Stückelung]]*aktuelleAnleihen[[#This Row],[Aktueller Kurs]]*aktuelleAnleihen[[#This Row],[Anteile]]/aktuelleAnleihen[[#This Row],[Aktueller Wechselkurs]]+aktuelleAnleihen[[#This Row],[Stückzinsen]]</f>
        <v>2133.3383561643836</v>
      </c>
      <c r="G161" s="8">
        <f>aktuelleAnleihen[[#This Row],[Kursdifferenz]]*aktuelleAnleihen[[#This Row],[Anteile]]*aktuelleAnleihen[[#This Row],[Stückelung]]/aktuelleAnleihen[[#This Row],[Wechselkurs am Kauftag]]</f>
        <v>-2.0000000000002238</v>
      </c>
      <c r="H161" s="8">
        <f>aktuelleAnleihen[[#This Row],[Stückzinsen]]-aktuelleAnleihen[[#This Row],[Stückzinsen am Kauftag]]+aktuelleAnleihen[[#This Row],[Zinszahlungen]]</f>
        <v>31.123256164383577</v>
      </c>
      <c r="I161" s="8">
        <f>aktuelleAnleihen[[#This Row],[Gewinn gesamt]]-aktuelleAnleihen[[#This Row],[Gewinn aus Kursänderung]]-aktuelleAnleihen[[#This Row],[Gewinn aus Zinsen]]</f>
        <v>3.943512183468556E-13</v>
      </c>
      <c r="J161" s="7">
        <f>aktuelleAnleihen[[#This Row],[Gewinn gesamt]]/aktuelleAnleihen[[#This Row],[Kaufpreis]]</f>
        <v>1.2763756598877638E-2</v>
      </c>
      <c r="K161" s="3">
        <f>aktuelleAnleihen[[#This Row],[Verkaufspreis]]-aktuelleAnleihen[[#This Row],[Kaufpreis]]+aktuelleAnleihen[[#This Row],[Zinszahlungen]]</f>
        <v>29.123256164383747</v>
      </c>
      <c r="L161" s="4">
        <v>2281.7150999999999</v>
      </c>
      <c r="M161" s="7">
        <v>1.0577000000000001</v>
      </c>
      <c r="N161" s="61">
        <v>1</v>
      </c>
      <c r="O161" s="1">
        <v>1</v>
      </c>
      <c r="P161" s="1" t="s">
        <v>925</v>
      </c>
      <c r="Q161" s="30">
        <v>45385</v>
      </c>
      <c r="R161" s="1">
        <v>2</v>
      </c>
      <c r="S161" s="1">
        <v>1000</v>
      </c>
      <c r="T161" s="9">
        <v>45409</v>
      </c>
      <c r="U161" s="1">
        <v>1</v>
      </c>
      <c r="V161" s="62">
        <f>aktuelleAnleihen[[#This Row],[Stückelung]]*aktuelleAnleihen[[#This Row],[Anteile]]*aktuelleAnleihen[[#This Row],[Coupon]]/aktuelleAnleihen[[#This Row],[Aktueller Wechselkurs]]*($AC$1-aktuelleAnleihen[[#This Row],[Letzte Zinszahlung]])/365</f>
        <v>19.938356164383563</v>
      </c>
      <c r="W161" s="4">
        <v>166.3151</v>
      </c>
      <c r="X161" s="120" t="s">
        <v>337</v>
      </c>
      <c r="Y161" s="120" t="s">
        <v>61</v>
      </c>
      <c r="Z161" s="1" t="s">
        <v>338</v>
      </c>
      <c r="AA161" s="1" t="s">
        <v>339</v>
      </c>
      <c r="AB161" s="3">
        <f>SUMIF('Zinszahlungen Anleihen'!K:K,aktuelleAnleihen[[#This Row],[ISIN]],'Zinszahlungen Anleihen'!D:D)</f>
        <v>177.5</v>
      </c>
      <c r="AE161" s="10"/>
      <c r="AF161" s="1"/>
      <c r="AH161" s="7"/>
      <c r="AJ161" s="1"/>
      <c r="AN161" s="1"/>
      <c r="AQ161" s="1"/>
    </row>
    <row r="162" spans="1:43" x14ac:dyDescent="0.2">
      <c r="A162" s="1" t="s">
        <v>372</v>
      </c>
      <c r="B162" s="1" t="s">
        <v>0</v>
      </c>
      <c r="C162" s="7">
        <v>8.5610000000000006E-2</v>
      </c>
      <c r="D162" s="7">
        <v>0.99939999999999996</v>
      </c>
      <c r="E162" s="7">
        <f>aktuelleAnleihen[[#This Row],[Aktueller Kurs]]-aktuelleAnleihen[[#This Row],[Kaufkurs]]</f>
        <v>-1.0000000000000009E-3</v>
      </c>
      <c r="F162" s="8">
        <f>aktuelleAnleihen[[#This Row],[Stückelung]]*aktuelleAnleihen[[#This Row],[Aktueller Kurs]]*aktuelleAnleihen[[#This Row],[Anteile]]/aktuelleAnleihen[[#This Row],[Aktueller Wechselkurs]]+aktuelleAnleihen[[#This Row],[Stückzinsen]]</f>
        <v>2023.6620821917809</v>
      </c>
      <c r="G162" s="8">
        <f>aktuelleAnleihen[[#This Row],[Kursdifferenz]]*aktuelleAnleihen[[#This Row],[Anteile]]*aktuelleAnleihen[[#This Row],[Stückelung]]/aktuelleAnleihen[[#This Row],[Wechselkurs am Kauftag]]</f>
        <v>-2.0000000000000018</v>
      </c>
      <c r="H162" s="8">
        <f>aktuelleAnleihen[[#This Row],[Stückzinsen]]-aktuelleAnleihen[[#This Row],[Stückzinsen am Kauftag]]+aktuelleAnleihen[[#This Row],[Zinszahlungen]]</f>
        <v>30.608482191780823</v>
      </c>
      <c r="I162" s="8">
        <f>aktuelleAnleihen[[#This Row],[Gewinn gesamt]]-aktuelleAnleihen[[#This Row],[Gewinn aus Kursänderung]]-aktuelleAnleihen[[#This Row],[Gewinn aus Zinsen]]</f>
        <v>3.5527136788005009E-14</v>
      </c>
      <c r="J162" s="7">
        <f>aktuelleAnleihen[[#This Row],[Gewinn gesamt]]/aktuelleAnleihen[[#This Row],[Kaufpreis]]</f>
        <v>1.4038502078495956E-2</v>
      </c>
      <c r="K162" s="3">
        <f>aktuelleAnleihen[[#This Row],[Verkaufspreis]]-aktuelleAnleihen[[#This Row],[Kaufpreis]]+aktuelleAnleihen[[#This Row],[Zinszahlungen]]</f>
        <v>28.608482191780858</v>
      </c>
      <c r="L162" s="4">
        <v>2037.8586</v>
      </c>
      <c r="M162" s="7">
        <v>1.0004</v>
      </c>
      <c r="N162" s="61">
        <v>1</v>
      </c>
      <c r="O162" s="1">
        <v>1</v>
      </c>
      <c r="P162" s="1" t="s">
        <v>925</v>
      </c>
      <c r="Q162" s="30">
        <v>45385</v>
      </c>
      <c r="R162" s="1">
        <v>2</v>
      </c>
      <c r="S162" s="1">
        <v>1000</v>
      </c>
      <c r="T162" s="9">
        <v>45397</v>
      </c>
      <c r="U162" s="1">
        <v>4</v>
      </c>
      <c r="V162" s="62">
        <f>aktuelleAnleihen[[#This Row],[Stückelung]]*aktuelleAnleihen[[#This Row],[Anteile]]*aktuelleAnleihen[[#This Row],[Coupon]]/aktuelleAnleihen[[#This Row],[Aktueller Wechselkurs]]*($AC$1-aktuelleAnleihen[[#This Row],[Letzte Zinszahlung]])/365</f>
        <v>24.862082191780821</v>
      </c>
      <c r="W162" s="4">
        <v>37.058599999999998</v>
      </c>
      <c r="X162" s="120" t="s">
        <v>35</v>
      </c>
      <c r="Y162" s="120" t="s">
        <v>61</v>
      </c>
      <c r="Z162" s="1" t="s">
        <v>373</v>
      </c>
      <c r="AA162" s="1" t="s">
        <v>374</v>
      </c>
      <c r="AB162" s="3">
        <f>SUMIF('Zinszahlungen Anleihen'!K:K,aktuelleAnleihen[[#This Row],[ISIN]],'Zinszahlungen Anleihen'!D:D)</f>
        <v>42.805</v>
      </c>
      <c r="AE162" s="10"/>
      <c r="AF162" s="1"/>
      <c r="AH162" s="7"/>
      <c r="AJ162" s="1"/>
      <c r="AN162" s="1"/>
      <c r="AQ162" s="1"/>
    </row>
    <row r="163" spans="1:43" x14ac:dyDescent="0.2">
      <c r="A163" s="1" t="s">
        <v>635</v>
      </c>
      <c r="B163" s="1" t="s">
        <v>3</v>
      </c>
      <c r="C163" s="7">
        <v>7.0000000000000007E-2</v>
      </c>
      <c r="D163" s="7">
        <v>1</v>
      </c>
      <c r="E163" s="7">
        <f>aktuelleAnleihen[[#This Row],[Aktueller Kurs]]-aktuelleAnleihen[[#This Row],[Kaufkurs]]</f>
        <v>-9.9999999999988987E-4</v>
      </c>
      <c r="F163" s="8">
        <f>aktuelleAnleihen[[#This Row],[Stückelung]]*aktuelleAnleihen[[#This Row],[Aktueller Kurs]]*aktuelleAnleihen[[#This Row],[Anteile]]/aktuelleAnleihen[[#This Row],[Aktueller Wechselkurs]]+aktuelleAnleihen[[#This Row],[Stückzinsen]]</f>
        <v>2127.7260273972602</v>
      </c>
      <c r="G163" s="8">
        <f>aktuelleAnleihen[[#This Row],[Kursdifferenz]]*aktuelleAnleihen[[#This Row],[Anteile]]*aktuelleAnleihen[[#This Row],[Stückelung]]/aktuelleAnleihen[[#This Row],[Wechselkurs am Kauftag]]</f>
        <v>-1.9999999999997797</v>
      </c>
      <c r="H163" s="8">
        <f>aktuelleAnleihen[[#This Row],[Stückzinsen]]-aktuelleAnleihen[[#This Row],[Stückzinsen am Kauftag]]+aktuelleAnleihen[[#This Row],[Zinszahlungen]]</f>
        <v>24.931527397260268</v>
      </c>
      <c r="I163" s="8">
        <f>aktuelleAnleihen[[#This Row],[Gewinn gesamt]]-aktuelleAnleihen[[#This Row],[Gewinn aus Kursänderung]]-aktuelleAnleihen[[#This Row],[Gewinn aus Zinsen]]</f>
        <v>-2.9132252166164108E-13</v>
      </c>
      <c r="J163" s="7">
        <f>aktuelleAnleihen[[#This Row],[Gewinn gesamt]]/aktuelleAnleihen[[#This Row],[Kaufpreis]]</f>
        <v>1.0894900854815136E-2</v>
      </c>
      <c r="K163" s="3">
        <f>aktuelleAnleihen[[#This Row],[Verkaufspreis]]-aktuelleAnleihen[[#This Row],[Kaufpreis]]+aktuelleAnleihen[[#This Row],[Zinszahlungen]]</f>
        <v>22.931527397260197</v>
      </c>
      <c r="L163" s="4">
        <v>2104.7945</v>
      </c>
      <c r="M163" s="7">
        <v>1.0009999999999999</v>
      </c>
      <c r="N163" s="61">
        <v>1</v>
      </c>
      <c r="O163" s="1">
        <v>1</v>
      </c>
      <c r="P163" s="1" t="s">
        <v>925</v>
      </c>
      <c r="Q163" s="30">
        <v>45385</v>
      </c>
      <c r="R163" s="1">
        <v>4</v>
      </c>
      <c r="S163" s="1">
        <v>500</v>
      </c>
      <c r="T163" s="9">
        <v>45117</v>
      </c>
      <c r="U163" s="1">
        <v>1</v>
      </c>
      <c r="V163" s="62">
        <f>aktuelleAnleihen[[#This Row],[Stückelung]]*aktuelleAnleihen[[#This Row],[Anteile]]*aktuelleAnleihen[[#This Row],[Coupon]]/aktuelleAnleihen[[#This Row],[Aktueller Wechselkurs]]*($AC$1-aktuelleAnleihen[[#This Row],[Letzte Zinszahlung]])/365</f>
        <v>127.72602739726027</v>
      </c>
      <c r="W163" s="4">
        <v>102.7945</v>
      </c>
      <c r="X163" s="120" t="s">
        <v>43</v>
      </c>
      <c r="Y163" s="120" t="s">
        <v>438</v>
      </c>
      <c r="Z163" s="1" t="s">
        <v>636</v>
      </c>
      <c r="AA163" s="1" t="s">
        <v>637</v>
      </c>
      <c r="AB163" s="3">
        <f>SUMIF('Zinszahlungen Anleihen'!K:K,aktuelleAnleihen[[#This Row],[ISIN]],'Zinszahlungen Anleihen'!D:D)</f>
        <v>0</v>
      </c>
      <c r="AE163" s="10"/>
      <c r="AF163" s="1"/>
      <c r="AH163" s="7"/>
      <c r="AJ163" s="1"/>
      <c r="AN163" s="1"/>
      <c r="AQ163" s="1"/>
    </row>
    <row r="164" spans="1:43" x14ac:dyDescent="0.2">
      <c r="A164" s="1" t="s">
        <v>1492</v>
      </c>
      <c r="B164" s="1" t="s">
        <v>1</v>
      </c>
      <c r="C164" s="7">
        <v>0.12411999999999999</v>
      </c>
      <c r="D164" s="7">
        <v>1.014</v>
      </c>
      <c r="E164" s="7">
        <f>aktuelleAnleihen[[#This Row],[Aktueller Kurs]]-aktuelleAnleihen[[#This Row],[Kaufkurs]]</f>
        <v>-9.9999999999988987E-4</v>
      </c>
      <c r="F164" s="8">
        <f>aktuelleAnleihen[[#This Row],[Stückelung]]*aktuelleAnleihen[[#This Row],[Aktueller Kurs]]*aktuelleAnleihen[[#This Row],[Anteile]]/aktuelleAnleihen[[#This Row],[Aktueller Wechselkurs]]+aktuelleAnleihen[[#This Row],[Stückzinsen]]</f>
        <v>2066.0861369863014</v>
      </c>
      <c r="G164" s="8">
        <f>aktuelleAnleihen[[#This Row],[Kursdifferenz]]*aktuelleAnleihen[[#This Row],[Anteile]]*aktuelleAnleihen[[#This Row],[Stückelung]]/aktuelleAnleihen[[#This Row],[Wechselkurs am Kauftag]]</f>
        <v>-1.9999999999997797</v>
      </c>
      <c r="H164" s="8">
        <f>aktuelleAnleihen[[#This Row],[Stückzinsen]]-aktuelleAnleihen[[#This Row],[Stückzinsen am Kauftag]]+aktuelleAnleihen[[#This Row],[Zinszahlungen]]</f>
        <v>25.844136986301368</v>
      </c>
      <c r="I164" s="8">
        <f>aktuelleAnleihen[[#This Row],[Gewinn gesamt]]-aktuelleAnleihen[[#This Row],[Gewinn aus Kursänderung]]-aktuelleAnleihen[[#This Row],[Gewinn aus Zinsen]]</f>
        <v>-1.2434497875801753E-13</v>
      </c>
      <c r="J164" s="7">
        <f>aktuelleAnleihen[[#This Row],[Gewinn gesamt]]/aktuelleAnleihen[[#This Row],[Kaufpreis]]</f>
        <v>1.1675470872845366E-2</v>
      </c>
      <c r="K164" s="3">
        <f>aktuelleAnleihen[[#This Row],[Verkaufspreis]]-aktuelleAnleihen[[#This Row],[Kaufpreis]]+aktuelleAnleihen[[#This Row],[Zinszahlungen]]</f>
        <v>23.844136986301464</v>
      </c>
      <c r="L164" s="4">
        <v>2042.242</v>
      </c>
      <c r="M164" s="7">
        <v>1.0149999999999999</v>
      </c>
      <c r="N164" s="61">
        <v>1</v>
      </c>
      <c r="O164" s="1">
        <v>1</v>
      </c>
      <c r="P164" s="1" t="s">
        <v>925</v>
      </c>
      <c r="Q164" s="30">
        <v>45412</v>
      </c>
      <c r="R164" s="1">
        <v>2</v>
      </c>
      <c r="S164" s="1">
        <v>1000</v>
      </c>
      <c r="T164" s="9">
        <v>45394</v>
      </c>
      <c r="U164" s="1">
        <v>4</v>
      </c>
      <c r="V164" s="62">
        <f>aktuelleAnleihen[[#This Row],[Stückelung]]*aktuelleAnleihen[[#This Row],[Anteile]]*aktuelleAnleihen[[#This Row],[Coupon]]/aktuelleAnleihen[[#This Row],[Aktueller Wechselkurs]]*($AC$1-aktuelleAnleihen[[#This Row],[Letzte Zinszahlung]])/365</f>
        <v>38.086136986301369</v>
      </c>
      <c r="W164" s="4">
        <v>12.242000000000001</v>
      </c>
      <c r="X164" s="120" t="s">
        <v>75</v>
      </c>
      <c r="Y164" s="120" t="s">
        <v>39</v>
      </c>
      <c r="Z164" s="1" t="s">
        <v>1493</v>
      </c>
      <c r="AA164" s="1" t="s">
        <v>1494</v>
      </c>
      <c r="AB164" s="3">
        <f>SUMIF('Zinszahlungen Anleihen'!K:K,aktuelleAnleihen[[#This Row],[ISIN]],'Zinszahlungen Anleihen'!D:D)</f>
        <v>0</v>
      </c>
      <c r="AE164" s="10"/>
      <c r="AF164" s="1"/>
      <c r="AH164" s="7"/>
      <c r="AJ164" s="1"/>
      <c r="AN164" s="1"/>
      <c r="AQ164" s="1"/>
    </row>
    <row r="165" spans="1:43" x14ac:dyDescent="0.2">
      <c r="A165" s="1" t="s">
        <v>966</v>
      </c>
      <c r="B165" s="1" t="s">
        <v>0</v>
      </c>
      <c r="C165" s="7">
        <v>7.3749999999999996E-2</v>
      </c>
      <c r="D165" s="7">
        <v>1.0642</v>
      </c>
      <c r="E165" s="7">
        <f>aktuelleAnleihen[[#This Row],[Aktueller Kurs]]-aktuelleAnleihen[[#This Row],[Kaufkurs]]</f>
        <v>-9.0000000000012292E-4</v>
      </c>
      <c r="F165" s="8">
        <f>aktuelleAnleihen[[#This Row],[Stückelung]]*aktuelleAnleihen[[#This Row],[Aktueller Kurs]]*aktuelleAnleihen[[#This Row],[Anteile]]/aktuelleAnleihen[[#This Row],[Aktueller Wechselkurs]]+aktuelleAnleihen[[#This Row],[Stückzinsen]]</f>
        <v>2256.9068493150685</v>
      </c>
      <c r="G165" s="8">
        <f>aktuelleAnleihen[[#This Row],[Kursdifferenz]]*aktuelleAnleihen[[#This Row],[Anteile]]*aktuelleAnleihen[[#This Row],[Stückelung]]/aktuelleAnleihen[[#This Row],[Wechselkurs am Kauftag]]</f>
        <v>-1.8000000000002458</v>
      </c>
      <c r="H165" s="8">
        <f>aktuelleAnleihen[[#This Row],[Stückzinsen]]-aktuelleAnleihen[[#This Row],[Stückzinsen am Kauftag]]+aktuelleAnleihen[[#This Row],[Zinszahlungen]]</f>
        <v>17.780849315068508</v>
      </c>
      <c r="I165" s="8">
        <f>aktuelleAnleihen[[#This Row],[Gewinn gesamt]]-aktuelleAnleihen[[#This Row],[Gewinn aus Kursänderung]]-aktuelleAnleihen[[#This Row],[Gewinn aus Zinsen]]</f>
        <v>2.9132252166164108E-13</v>
      </c>
      <c r="J165" s="7">
        <f>aktuelleAnleihen[[#This Row],[Gewinn gesamt]]/aktuelleAnleihen[[#This Row],[Kaufpreis]]</f>
        <v>7.1313596767892179E-3</v>
      </c>
      <c r="K165" s="3">
        <f>aktuelleAnleihen[[#This Row],[Verkaufspreis]]-aktuelleAnleihen[[#This Row],[Kaufpreis]]+aktuelleAnleihen[[#This Row],[Zinszahlungen]]</f>
        <v>15.980849315068554</v>
      </c>
      <c r="L165" s="4">
        <v>2240.9259999999999</v>
      </c>
      <c r="M165" s="7">
        <v>1.0651000000000002</v>
      </c>
      <c r="N165" s="61">
        <v>1</v>
      </c>
      <c r="O165" s="1">
        <v>1</v>
      </c>
      <c r="P165" s="1" t="s">
        <v>925</v>
      </c>
      <c r="Q165" s="30">
        <v>45406</v>
      </c>
      <c r="R165" s="1">
        <v>2</v>
      </c>
      <c r="S165" s="1">
        <v>1000</v>
      </c>
      <c r="T165" s="9">
        <v>45132</v>
      </c>
      <c r="U165" s="1">
        <v>1</v>
      </c>
      <c r="V165" s="62">
        <f>aktuelleAnleihen[[#This Row],[Stückelung]]*aktuelleAnleihen[[#This Row],[Anteile]]*aktuelleAnleihen[[#This Row],[Coupon]]/aktuelleAnleihen[[#This Row],[Aktueller Wechselkurs]]*($AC$1-aktuelleAnleihen[[#This Row],[Letzte Zinszahlung]])/365</f>
        <v>128.50684931506851</v>
      </c>
      <c r="W165" s="4">
        <v>110.726</v>
      </c>
      <c r="X165" s="120" t="s">
        <v>218</v>
      </c>
      <c r="Y165" s="120" t="s">
        <v>61</v>
      </c>
      <c r="Z165" s="1" t="s">
        <v>967</v>
      </c>
      <c r="AA165" s="1" t="s">
        <v>968</v>
      </c>
      <c r="AB165" s="3">
        <f>SUMIF('Zinszahlungen Anleihen'!K:K,aktuelleAnleihen[[#This Row],[ISIN]],'Zinszahlungen Anleihen'!D:D)</f>
        <v>0</v>
      </c>
      <c r="AE165" s="10"/>
      <c r="AF165" s="1"/>
      <c r="AH165" s="7"/>
      <c r="AJ165" s="1"/>
      <c r="AN165" s="1"/>
      <c r="AQ165" s="1"/>
    </row>
    <row r="166" spans="1:43" x14ac:dyDescent="0.2">
      <c r="A166" s="1" t="s">
        <v>1183</v>
      </c>
      <c r="B166" s="1" t="s">
        <v>4</v>
      </c>
      <c r="C166" s="7">
        <v>9.5000000000000001E-2</v>
      </c>
      <c r="D166" s="7">
        <v>0.99439999999999995</v>
      </c>
      <c r="E166" s="7">
        <f>aktuelleAnleihen[[#This Row],[Aktueller Kurs]]-aktuelleAnleihen[[#This Row],[Kaufkurs]]</f>
        <v>-9.000000000000119E-4</v>
      </c>
      <c r="F166" s="8">
        <f>aktuelleAnleihen[[#This Row],[Stückelung]]*aktuelleAnleihen[[#This Row],[Aktueller Kurs]]*aktuelleAnleihen[[#This Row],[Anteile]]/aktuelleAnleihen[[#This Row],[Aktueller Wechselkurs]]+aktuelleAnleihen[[#This Row],[Stückzinsen]]</f>
        <v>1869.5894435898435</v>
      </c>
      <c r="G166" s="8">
        <f>aktuelleAnleihen[[#This Row],[Kursdifferenz]]*aktuelleAnleihen[[#This Row],[Anteile]]*aktuelleAnleihen[[#This Row],[Stückelung]]/aktuelleAnleihen[[#This Row],[Wechselkurs am Kauftag]]</f>
        <v>-1.6786347104355346</v>
      </c>
      <c r="H166" s="8">
        <f>aktuelleAnleihen[[#This Row],[Stückzinsen]]-aktuelleAnleihen[[#This Row],[Stückzinsen am Kauftag]]+aktuelleAnleihen[[#This Row],[Zinszahlungen]]</f>
        <v>17.765702813055398</v>
      </c>
      <c r="I166" s="8">
        <f>aktuelleAnleihen[[#This Row],[Gewinn gesamt]]-aktuelleAnleihen[[#This Row],[Gewinn aus Kursänderung]]-aktuelleAnleihen[[#This Row],[Gewinn aus Zinsen]]</f>
        <v>-28.609924512776328</v>
      </c>
      <c r="J166" s="7">
        <f>aktuelleAnleihen[[#This Row],[Gewinn gesamt]]/aktuelleAnleihen[[#This Row],[Kaufpreis]]</f>
        <v>-6.6536180705882766E-3</v>
      </c>
      <c r="K166" s="3">
        <f>aktuelleAnleihen[[#This Row],[Verkaufspreis]]-aktuelleAnleihen[[#This Row],[Kaufpreis]]+aktuelleAnleihen[[#This Row],[Zinszahlungen]]</f>
        <v>-12.522856410156464</v>
      </c>
      <c r="L166" s="4">
        <v>1882.1123</v>
      </c>
      <c r="M166" s="7">
        <v>0.99529999999999996</v>
      </c>
      <c r="N166" s="61">
        <v>1.0723</v>
      </c>
      <c r="O166" s="1">
        <v>1.0891</v>
      </c>
      <c r="P166" s="1" t="s">
        <v>887</v>
      </c>
      <c r="Q166" s="30">
        <v>45412</v>
      </c>
      <c r="R166" s="1">
        <v>2</v>
      </c>
      <c r="S166" s="1">
        <v>1000</v>
      </c>
      <c r="T166" s="9">
        <v>45359</v>
      </c>
      <c r="U166" s="1">
        <v>2</v>
      </c>
      <c r="V166" s="62">
        <f>aktuelleAnleihen[[#This Row],[Stückelung]]*aktuelleAnleihen[[#This Row],[Anteile]]*aktuelleAnleihen[[#This Row],[Coupon]]/aktuelleAnleihen[[#This Row],[Aktueller Wechselkurs]]*($AC$1-aktuelleAnleihen[[#This Row],[Letzte Zinszahlung]])/365</f>
        <v>43.494502813055398</v>
      </c>
      <c r="W166" s="4">
        <v>25.7288</v>
      </c>
      <c r="X166" s="120" t="s">
        <v>1105</v>
      </c>
      <c r="Y166" s="120" t="s">
        <v>52</v>
      </c>
      <c r="Z166" s="1" t="s">
        <v>1184</v>
      </c>
      <c r="AA166" s="1" t="s">
        <v>1185</v>
      </c>
      <c r="AB166" s="3">
        <f>SUMIF('Zinszahlungen Anleihen'!K:K,aktuelleAnleihen[[#This Row],[ISIN]],'Zinszahlungen Anleihen'!D:D)</f>
        <v>0</v>
      </c>
      <c r="AE166" s="10"/>
      <c r="AF166" s="1"/>
      <c r="AH166" s="7"/>
      <c r="AJ166" s="1"/>
      <c r="AN166" s="1"/>
      <c r="AQ166" s="1"/>
    </row>
    <row r="167" spans="1:43" x14ac:dyDescent="0.2">
      <c r="A167" s="1" t="s">
        <v>669</v>
      </c>
      <c r="B167" s="1" t="s">
        <v>3</v>
      </c>
      <c r="C167" s="7">
        <v>7.0000000000000007E-2</v>
      </c>
      <c r="D167" s="7">
        <v>1.0665</v>
      </c>
      <c r="E167" s="7">
        <f>aktuelleAnleihen[[#This Row],[Aktueller Kurs]]-aktuelleAnleihen[[#This Row],[Kaufkurs]]</f>
        <v>-6.9999999999992291E-4</v>
      </c>
      <c r="F167" s="8">
        <f>aktuelleAnleihen[[#This Row],[Stückelung]]*aktuelleAnleihen[[#This Row],[Aktueller Kurs]]*aktuelleAnleihen[[#This Row],[Anteile]]/aktuelleAnleihen[[#This Row],[Aktueller Wechselkurs]]+aktuelleAnleihen[[#This Row],[Stückzinsen]]</f>
        <v>2230.4246575342468</v>
      </c>
      <c r="G167" s="8">
        <f>aktuelleAnleihen[[#This Row],[Kursdifferenz]]*aktuelleAnleihen[[#This Row],[Anteile]]*aktuelleAnleihen[[#This Row],[Stückelung]]/aktuelleAnleihen[[#This Row],[Wechselkurs am Kauftag]]</f>
        <v>-1.3999999999998458</v>
      </c>
      <c r="H167" s="8">
        <f>aktuelleAnleihen[[#This Row],[Stückzinsen]]-aktuelleAnleihen[[#This Row],[Stückzinsen am Kauftag]]+aktuelleAnleihen[[#This Row],[Zinszahlungen]]</f>
        <v>24.931457534246576</v>
      </c>
      <c r="I167" s="8">
        <f>aktuelleAnleihen[[#This Row],[Gewinn gesamt]]-aktuelleAnleihen[[#This Row],[Gewinn aus Kursänderung]]-aktuelleAnleihen[[#This Row],[Gewinn aus Zinsen]]</f>
        <v>5.3290705182007514E-14</v>
      </c>
      <c r="J167" s="7">
        <f>aktuelleAnleihen[[#This Row],[Gewinn gesamt]]/aktuelleAnleihen[[#This Row],[Kaufpreis]]</f>
        <v>1.0662707889193181E-2</v>
      </c>
      <c r="K167" s="3">
        <f>aktuelleAnleihen[[#This Row],[Verkaufspreis]]-aktuelleAnleihen[[#This Row],[Kaufpreis]]+aktuelleAnleihen[[#This Row],[Zinszahlungen]]</f>
        <v>23.531457534246783</v>
      </c>
      <c r="L167" s="4">
        <v>2206.8932</v>
      </c>
      <c r="M167" s="7">
        <v>1.0671999999999999</v>
      </c>
      <c r="N167" s="61">
        <v>1</v>
      </c>
      <c r="O167" s="1">
        <v>1</v>
      </c>
      <c r="P167" s="1" t="s">
        <v>925</v>
      </c>
      <c r="Q167" s="30">
        <v>45385</v>
      </c>
      <c r="R167" s="1">
        <v>2</v>
      </c>
      <c r="S167" s="1">
        <v>1000</v>
      </c>
      <c r="T167" s="9">
        <v>45196</v>
      </c>
      <c r="U167" s="1">
        <v>1</v>
      </c>
      <c r="V167" s="62">
        <f>aktuelleAnleihen[[#This Row],[Stückelung]]*aktuelleAnleihen[[#This Row],[Anteile]]*aktuelleAnleihen[[#This Row],[Coupon]]/aktuelleAnleihen[[#This Row],[Aktueller Wechselkurs]]*($AC$1-aktuelleAnleihen[[#This Row],[Letzte Zinszahlung]])/365</f>
        <v>97.424657534246577</v>
      </c>
      <c r="W167" s="4">
        <v>72.493200000000002</v>
      </c>
      <c r="X167" s="120" t="s">
        <v>170</v>
      </c>
      <c r="Y167" s="120" t="s">
        <v>44</v>
      </c>
      <c r="Z167" s="1" t="s">
        <v>670</v>
      </c>
      <c r="AA167" s="1" t="s">
        <v>671</v>
      </c>
      <c r="AB167" s="3">
        <f>SUMIF('Zinszahlungen Anleihen'!K:K,aktuelleAnleihen[[#This Row],[ISIN]],'Zinszahlungen Anleihen'!D:D)</f>
        <v>0</v>
      </c>
      <c r="AE167" s="10"/>
      <c r="AF167" s="1"/>
      <c r="AH167" s="7"/>
      <c r="AJ167" s="1"/>
      <c r="AN167" s="1"/>
      <c r="AQ167" s="1"/>
    </row>
    <row r="168" spans="1:43" x14ac:dyDescent="0.2">
      <c r="A168" s="1" t="s">
        <v>1300</v>
      </c>
      <c r="B168" s="1" t="s">
        <v>0</v>
      </c>
      <c r="C168" s="7">
        <v>0.09</v>
      </c>
      <c r="D168" s="7">
        <v>0.99339999999999995</v>
      </c>
      <c r="E168" s="7">
        <f>aktuelleAnleihen[[#This Row],[Aktueller Kurs]]-aktuelleAnleihen[[#This Row],[Kaufkurs]]</f>
        <v>-6.0000000000004494E-4</v>
      </c>
      <c r="F168" s="8">
        <f>aktuelleAnleihen[[#This Row],[Stückelung]]*aktuelleAnleihen[[#This Row],[Aktueller Kurs]]*aktuelleAnleihen[[#This Row],[Anteile]]/aktuelleAnleihen[[#This Row],[Aktueller Wechselkurs]]+aktuelleAnleihen[[#This Row],[Stückzinsen]]</f>
        <v>1902.1411420514364</v>
      </c>
      <c r="G168" s="8">
        <f>aktuelleAnleihen[[#This Row],[Kursdifferenz]]*aktuelleAnleihen[[#This Row],[Anteile]]*aktuelleAnleihen[[#This Row],[Stückelung]]/aktuelleAnleihen[[#This Row],[Wechselkurs am Kauftag]]</f>
        <v>-1.119089806957092</v>
      </c>
      <c r="H168" s="8">
        <f>aktuelleAnleihen[[#This Row],[Stückzinsen]]-aktuelleAnleihen[[#This Row],[Stückzinsen am Kauftag]]+aktuelleAnleihen[[#This Row],[Zinszahlungen]]</f>
        <v>16.255979935927989</v>
      </c>
      <c r="I168" s="8">
        <f>aktuelleAnleihen[[#This Row],[Gewinn gesamt]]-aktuelleAnleihen[[#This Row],[Gewinn aus Kursänderung]]-aktuelleAnleihen[[#This Row],[Gewinn aus Zinsen]]</f>
        <v>-28.581148077534415</v>
      </c>
      <c r="J168" s="7">
        <f>aktuelleAnleihen[[#This Row],[Gewinn gesamt]]/aktuelleAnleihen[[#This Row],[Kaufpreis]]</f>
        <v>-7.0183547799871088E-3</v>
      </c>
      <c r="K168" s="3">
        <f>aktuelleAnleihen[[#This Row],[Verkaufspreis]]-aktuelleAnleihen[[#This Row],[Kaufpreis]]+aktuelleAnleihen[[#This Row],[Zinszahlungen]]</f>
        <v>-13.444257948563518</v>
      </c>
      <c r="L168" s="4">
        <v>1915.5853999999999</v>
      </c>
      <c r="M168" s="7">
        <v>0.99399999999999999</v>
      </c>
      <c r="N168" s="61">
        <v>1.0723</v>
      </c>
      <c r="O168" s="1">
        <v>1.0891</v>
      </c>
      <c r="P168" s="1" t="s">
        <v>887</v>
      </c>
      <c r="Q168" s="30">
        <v>45412</v>
      </c>
      <c r="R168" s="1">
        <v>2</v>
      </c>
      <c r="S168" s="1">
        <v>1000</v>
      </c>
      <c r="T168" s="9">
        <v>45278</v>
      </c>
      <c r="U168" s="1">
        <v>2</v>
      </c>
      <c r="V168" s="62">
        <f>aktuelleAnleihen[[#This Row],[Stückelung]]*aktuelleAnleihen[[#This Row],[Anteile]]*aktuelleAnleihen[[#This Row],[Coupon]]/aktuelleAnleihen[[#This Row],[Aktueller Wechselkurs]]*($AC$1-aktuelleAnleihen[[#This Row],[Letzte Zinszahlung]])/365</f>
        <v>77.882579935927993</v>
      </c>
      <c r="W168" s="4">
        <v>61.626600000000003</v>
      </c>
      <c r="X168" s="120" t="s">
        <v>995</v>
      </c>
      <c r="Y168" s="120" t="s">
        <v>52</v>
      </c>
      <c r="Z168" s="1" t="s">
        <v>1312</v>
      </c>
      <c r="AA168" s="1" t="s">
        <v>1313</v>
      </c>
      <c r="AB168" s="3">
        <f>SUMIF('Zinszahlungen Anleihen'!K:K,aktuelleAnleihen[[#This Row],[ISIN]],'Zinszahlungen Anleihen'!D:D)</f>
        <v>0</v>
      </c>
      <c r="AE168" s="10"/>
      <c r="AF168" s="1"/>
      <c r="AH168" s="7"/>
      <c r="AJ168" s="1"/>
      <c r="AN168" s="1"/>
      <c r="AQ168" s="1"/>
    </row>
    <row r="169" spans="1:43" x14ac:dyDescent="0.2">
      <c r="A169" s="1" t="s">
        <v>344</v>
      </c>
      <c r="B169" s="1" t="s">
        <v>10</v>
      </c>
      <c r="C169" s="7">
        <v>8.7760000000000005E-2</v>
      </c>
      <c r="D169" s="7">
        <v>0.97160000000000002</v>
      </c>
      <c r="E169" s="7">
        <f>aktuelleAnleihen[[#This Row],[Aktueller Kurs]]-aktuelleAnleihen[[#This Row],[Kaufkurs]]</f>
        <v>-3.9999999999995595E-4</v>
      </c>
      <c r="F169" s="8">
        <f>aktuelleAnleihen[[#This Row],[Stückelung]]*aktuelleAnleihen[[#This Row],[Aktueller Kurs]]*aktuelleAnleihen[[#This Row],[Anteile]]/aktuelleAnleihen[[#This Row],[Aktueller Wechselkurs]]+aktuelleAnleihen[[#This Row],[Stückzinsen]]</f>
        <v>1954.2601643835617</v>
      </c>
      <c r="G169" s="8">
        <f>aktuelleAnleihen[[#This Row],[Kursdifferenz]]*aktuelleAnleihen[[#This Row],[Anteile]]*aktuelleAnleihen[[#This Row],[Stückelung]]/aktuelleAnleihen[[#This Row],[Wechselkurs am Kauftag]]</f>
        <v>-0.79999999999991189</v>
      </c>
      <c r="H169" s="8">
        <f>aktuelleAnleihen[[#This Row],[Stückzinsen]]-aktuelleAnleihen[[#This Row],[Stückzinsen am Kauftag]]+aktuelleAnleihen[[#This Row],[Zinszahlungen]]</f>
        <v>31.858064383561647</v>
      </c>
      <c r="I169" s="8">
        <f>aktuelleAnleihen[[#This Row],[Gewinn gesamt]]-aktuelleAnleihen[[#This Row],[Gewinn aus Kursänderung]]-aktuelleAnleihen[[#This Row],[Gewinn aus Zinsen]]</f>
        <v>-1.2789769243681803E-13</v>
      </c>
      <c r="J169" s="7">
        <f>aktuelleAnleihen[[#This Row],[Gewinn gesamt]]/aktuelleAnleihen[[#This Row],[Kaufpreis]]</f>
        <v>1.5788900922621179E-2</v>
      </c>
      <c r="K169" s="3">
        <f>aktuelleAnleihen[[#This Row],[Verkaufspreis]]-aktuelleAnleihen[[#This Row],[Kaufpreis]]+aktuelleAnleihen[[#This Row],[Zinszahlungen]]</f>
        <v>31.058064383561607</v>
      </c>
      <c r="L169" s="4">
        <v>1967.0821000000001</v>
      </c>
      <c r="M169" s="7">
        <v>0.97199999999999998</v>
      </c>
      <c r="N169" s="61">
        <v>1</v>
      </c>
      <c r="O169" s="1">
        <v>1</v>
      </c>
      <c r="P169" s="1" t="s">
        <v>925</v>
      </c>
      <c r="Q169" s="30">
        <v>45385</v>
      </c>
      <c r="R169" s="1">
        <v>2</v>
      </c>
      <c r="S169" s="1">
        <v>1000</v>
      </c>
      <c r="T169" s="9">
        <v>45427</v>
      </c>
      <c r="U169" s="1">
        <v>4</v>
      </c>
      <c r="V169" s="62">
        <f>aktuelleAnleihen[[#This Row],[Stückelung]]*aktuelleAnleihen[[#This Row],[Anteile]]*aktuelleAnleihen[[#This Row],[Coupon]]/aktuelleAnleihen[[#This Row],[Aktueller Wechselkurs]]*($AC$1-aktuelleAnleihen[[#This Row],[Letzte Zinszahlung]])/365</f>
        <v>11.060164383561643</v>
      </c>
      <c r="W169" s="4">
        <v>23.082100000000001</v>
      </c>
      <c r="X169" s="120" t="s">
        <v>170</v>
      </c>
      <c r="Y169" s="120" t="s">
        <v>44</v>
      </c>
      <c r="Z169" s="1" t="s">
        <v>345</v>
      </c>
      <c r="AA169" s="1" t="s">
        <v>346</v>
      </c>
      <c r="AB169" s="3">
        <f>SUMIF('Zinszahlungen Anleihen'!K:K,aktuelleAnleihen[[#This Row],[ISIN]],'Zinszahlungen Anleihen'!D:D)</f>
        <v>43.88</v>
      </c>
      <c r="AE169" s="10"/>
      <c r="AF169" s="1"/>
      <c r="AH169" s="7"/>
      <c r="AJ169" s="1"/>
      <c r="AN169" s="1"/>
      <c r="AQ169" s="1"/>
    </row>
    <row r="170" spans="1:43" x14ac:dyDescent="0.2">
      <c r="A170" s="1" t="s">
        <v>598</v>
      </c>
      <c r="B170" s="1" t="s">
        <v>6</v>
      </c>
      <c r="C170" s="7">
        <v>7.2499999999999995E-2</v>
      </c>
      <c r="D170" s="7">
        <v>0.98570000000000002</v>
      </c>
      <c r="E170" s="7">
        <f>aktuelleAnleihen[[#This Row],[Aktueller Kurs]]-aktuelleAnleihen[[#This Row],[Kaufkurs]]</f>
        <v>-2.9999999999996696E-4</v>
      </c>
      <c r="F170" s="8">
        <f>aktuelleAnleihen[[#This Row],[Stückelung]]*aktuelleAnleihen[[#This Row],[Aktueller Kurs]]*aktuelleAnleihen[[#This Row],[Anteile]]/aktuelleAnleihen[[#This Row],[Aktueller Wechselkurs]]+aktuelleAnleihen[[#This Row],[Stückzinsen]]</f>
        <v>1998.8109589041096</v>
      </c>
      <c r="G170" s="8">
        <f>aktuelleAnleihen[[#This Row],[Kursdifferenz]]*aktuelleAnleihen[[#This Row],[Anteile]]*aktuelleAnleihen[[#This Row],[Stückelung]]/aktuelleAnleihen[[#This Row],[Wechselkurs am Kauftag]]</f>
        <v>-0.59999999999993392</v>
      </c>
      <c r="H170" s="8">
        <f>aktuelleAnleihen[[#This Row],[Stückzinsen]]-aktuelleAnleihen[[#This Row],[Stückzinsen am Kauftag]]+aktuelleAnleihen[[#This Row],[Zinszahlungen]]</f>
        <v>25.821958904109589</v>
      </c>
      <c r="I170" s="8">
        <f>aktuelleAnleihen[[#This Row],[Gewinn gesamt]]-aktuelleAnleihen[[#This Row],[Gewinn aus Kursänderung]]-aktuelleAnleihen[[#This Row],[Gewinn aus Zinsen]]</f>
        <v>0</v>
      </c>
      <c r="J170" s="7">
        <f>aktuelleAnleihen[[#This Row],[Gewinn gesamt]]/aktuelleAnleihen[[#This Row],[Kaufpreis]]</f>
        <v>1.2779742339519357E-2</v>
      </c>
      <c r="K170" s="3">
        <f>aktuelleAnleihen[[#This Row],[Verkaufspreis]]-aktuelleAnleihen[[#This Row],[Kaufpreis]]+aktuelleAnleihen[[#This Row],[Zinszahlungen]]</f>
        <v>25.22195890410967</v>
      </c>
      <c r="L170" s="4">
        <v>1973.5889999999999</v>
      </c>
      <c r="M170" s="7">
        <v>0.98599999999999999</v>
      </c>
      <c r="N170" s="61">
        <v>1</v>
      </c>
      <c r="O170" s="1">
        <v>1</v>
      </c>
      <c r="P170" s="1" t="s">
        <v>925</v>
      </c>
      <c r="Q170" s="30">
        <v>45385</v>
      </c>
      <c r="R170" s="1">
        <v>2</v>
      </c>
      <c r="S170" s="1">
        <v>1000</v>
      </c>
      <c r="T170" s="9">
        <v>45381</v>
      </c>
      <c r="U170" s="1">
        <v>2</v>
      </c>
      <c r="V170" s="62">
        <f>aktuelleAnleihen[[#This Row],[Stückelung]]*aktuelleAnleihen[[#This Row],[Anteile]]*aktuelleAnleihen[[#This Row],[Coupon]]/aktuelleAnleihen[[#This Row],[Aktueller Wechselkurs]]*($AC$1-aktuelleAnleihen[[#This Row],[Letzte Zinszahlung]])/365</f>
        <v>27.410958904109588</v>
      </c>
      <c r="W170" s="4">
        <v>1.589</v>
      </c>
      <c r="X170" s="120" t="s">
        <v>56</v>
      </c>
      <c r="Y170" s="120" t="s">
        <v>39</v>
      </c>
      <c r="Z170" s="1" t="s">
        <v>599</v>
      </c>
      <c r="AA170" s="1" t="s">
        <v>600</v>
      </c>
      <c r="AB170" s="3">
        <f>SUMIF('Zinszahlungen Anleihen'!K:K,aktuelleAnleihen[[#This Row],[ISIN]],'Zinszahlungen Anleihen'!D:D)</f>
        <v>0</v>
      </c>
      <c r="AE170" s="10"/>
      <c r="AF170" s="1"/>
      <c r="AH170" s="7"/>
      <c r="AJ170" s="1"/>
      <c r="AN170" s="1"/>
      <c r="AQ170" s="1"/>
    </row>
    <row r="171" spans="1:43" x14ac:dyDescent="0.2">
      <c r="A171" s="1" t="s">
        <v>573</v>
      </c>
      <c r="B171" s="1" t="s">
        <v>0</v>
      </c>
      <c r="C171" s="7">
        <v>7.4999999999999997E-2</v>
      </c>
      <c r="D171" s="7">
        <v>0.92849999999999999</v>
      </c>
      <c r="E171" s="7">
        <f>aktuelleAnleihen[[#This Row],[Aktueller Kurs]]-aktuelleAnleihen[[#This Row],[Kaufkurs]]</f>
        <v>-2.9999999999996696E-4</v>
      </c>
      <c r="F171" s="8">
        <f>aktuelleAnleihen[[#This Row],[Stückelung]]*aktuelleAnleihen[[#This Row],[Aktueller Kurs]]*aktuelleAnleihen[[#This Row],[Anteile]]/aktuelleAnleihen[[#This Row],[Aktueller Wechselkurs]]+aktuelleAnleihen[[#This Row],[Stückzinsen]]</f>
        <v>1903.027397260274</v>
      </c>
      <c r="G171" s="8">
        <f>aktuelleAnleihen[[#This Row],[Kursdifferenz]]*aktuelleAnleihen[[#This Row],[Anteile]]*aktuelleAnleihen[[#This Row],[Stückelung]]/aktuelleAnleihen[[#This Row],[Wechselkurs am Kauftag]]</f>
        <v>-0.59999999999993392</v>
      </c>
      <c r="H171" s="8">
        <f>aktuelleAnleihen[[#This Row],[Stückzinsen]]-aktuelleAnleihen[[#This Row],[Stückzinsen am Kauftag]]+aktuelleAnleihen[[#This Row],[Zinszahlungen]]</f>
        <v>26.712297260273971</v>
      </c>
      <c r="I171" s="8">
        <f>aktuelleAnleihen[[#This Row],[Gewinn gesamt]]-aktuelleAnleihen[[#This Row],[Gewinn aus Kursänderung]]-aktuelleAnleihen[[#This Row],[Gewinn aus Zinsen]]</f>
        <v>5.3290705182007514E-14</v>
      </c>
      <c r="J171" s="7">
        <f>aktuelleAnleihen[[#This Row],[Gewinn gesamt]]/aktuelleAnleihen[[#This Row],[Kaufpreis]]</f>
        <v>1.3912348651398293E-2</v>
      </c>
      <c r="K171" s="3">
        <f>aktuelleAnleihen[[#This Row],[Verkaufspreis]]-aktuelleAnleihen[[#This Row],[Kaufpreis]]+aktuelleAnleihen[[#This Row],[Zinszahlungen]]</f>
        <v>26.11229726027409</v>
      </c>
      <c r="L171" s="4">
        <v>1876.9150999999999</v>
      </c>
      <c r="M171" s="7">
        <v>0.92879999999999996</v>
      </c>
      <c r="N171" s="61">
        <v>1</v>
      </c>
      <c r="O171" s="1">
        <v>1</v>
      </c>
      <c r="P171" s="1" t="s">
        <v>925</v>
      </c>
      <c r="Q171" s="30">
        <v>45385</v>
      </c>
      <c r="R171" s="1">
        <v>2</v>
      </c>
      <c r="S171" s="1">
        <v>1000</v>
      </c>
      <c r="T171" s="9">
        <v>45338</v>
      </c>
      <c r="U171" s="1">
        <v>1</v>
      </c>
      <c r="V171" s="62">
        <f>aktuelleAnleihen[[#This Row],[Stückelung]]*aktuelleAnleihen[[#This Row],[Anteile]]*aktuelleAnleihen[[#This Row],[Coupon]]/aktuelleAnleihen[[#This Row],[Aktueller Wechselkurs]]*($AC$1-aktuelleAnleihen[[#This Row],[Letzte Zinszahlung]])/365</f>
        <v>46.027397260273972</v>
      </c>
      <c r="W171" s="4">
        <v>19.315100000000001</v>
      </c>
      <c r="X171" s="120" t="s">
        <v>51</v>
      </c>
      <c r="Y171" s="120" t="s">
        <v>39</v>
      </c>
      <c r="Z171" s="1" t="s">
        <v>574</v>
      </c>
      <c r="AA171" s="151" t="s">
        <v>575</v>
      </c>
      <c r="AB171" s="3">
        <f>SUMIF('Zinszahlungen Anleihen'!K:K,aktuelleAnleihen[[#This Row],[ISIN]],'Zinszahlungen Anleihen'!D:D)</f>
        <v>0</v>
      </c>
      <c r="AE171" s="10"/>
      <c r="AF171" s="1"/>
      <c r="AH171" s="7"/>
      <c r="AJ171" s="1"/>
      <c r="AN171" s="1"/>
      <c r="AQ171" s="1"/>
    </row>
    <row r="172" spans="1:43" x14ac:dyDescent="0.2">
      <c r="A172" s="1" t="s">
        <v>153</v>
      </c>
      <c r="B172" s="1" t="s">
        <v>3</v>
      </c>
      <c r="C172" s="7">
        <v>0.08</v>
      </c>
      <c r="D172" s="7">
        <v>0.65</v>
      </c>
      <c r="E172" s="7">
        <f>aktuelleAnleihen[[#This Row],[Aktueller Kurs]]-aktuelleAnleihen[[#This Row],[Kaufkurs]]</f>
        <v>0</v>
      </c>
      <c r="F172" s="8">
        <f>aktuelleAnleihen[[#This Row],[Stückelung]]*aktuelleAnleihen[[#This Row],[Aktueller Kurs]]*aktuelleAnleihen[[#This Row],[Anteile]]/aktuelleAnleihen[[#This Row],[Aktueller Wechselkurs]]+aktuelleAnleihen[[#This Row],[Stückzinsen]]</f>
        <v>1348.2191780821918</v>
      </c>
      <c r="G172" s="8">
        <f>aktuelleAnleihen[[#This Row],[Kursdifferenz]]*aktuelleAnleihen[[#This Row],[Anteile]]*aktuelleAnleihen[[#This Row],[Stückelung]]/aktuelleAnleihen[[#This Row],[Wechselkurs am Kauftag]]</f>
        <v>0</v>
      </c>
      <c r="H172" s="8">
        <f>aktuelleAnleihen[[#This Row],[Stückzinsen]]-aktuelleAnleihen[[#This Row],[Stückzinsen am Kauftag]]+aktuelleAnleihen[[#This Row],[Zinszahlungen]]</f>
        <v>31.561678082191783</v>
      </c>
      <c r="I172" s="8">
        <f>aktuelleAnleihen[[#This Row],[Gewinn gesamt]]-aktuelleAnleihen[[#This Row],[Gewinn aus Kursänderung]]-aktuelleAnleihen[[#This Row],[Gewinn aus Zinsen]]</f>
        <v>-3.5527136788005009E-14</v>
      </c>
      <c r="J172" s="7">
        <f>aktuelleAnleihen[[#This Row],[Gewinn gesamt]]/aktuelleAnleihen[[#This Row],[Kaufpreis]]</f>
        <v>2.3971061633106368E-2</v>
      </c>
      <c r="K172" s="3">
        <f>aktuelleAnleihen[[#This Row],[Verkaufspreis]]-aktuelleAnleihen[[#This Row],[Kaufpreis]]+aktuelleAnleihen[[#This Row],[Zinszahlungen]]</f>
        <v>31.561678082191747</v>
      </c>
      <c r="L172" s="4">
        <v>1316.6575</v>
      </c>
      <c r="M172" s="7">
        <v>0.65</v>
      </c>
      <c r="N172" s="61">
        <v>1</v>
      </c>
      <c r="O172" s="1">
        <v>1</v>
      </c>
      <c r="P172" s="1" t="s">
        <v>925</v>
      </c>
      <c r="Q172" s="30">
        <v>45378</v>
      </c>
      <c r="R172" s="1">
        <v>2</v>
      </c>
      <c r="S172" s="1">
        <v>1000</v>
      </c>
      <c r="T172" s="9">
        <v>45340</v>
      </c>
      <c r="U172" s="1">
        <v>2</v>
      </c>
      <c r="V172" s="62">
        <f>aktuelleAnleihen[[#This Row],[Stückelung]]*aktuelleAnleihen[[#This Row],[Anteile]]*aktuelleAnleihen[[#This Row],[Coupon]]/aktuelleAnleihen[[#This Row],[Aktueller Wechselkurs]]*($AC$1-aktuelleAnleihen[[#This Row],[Letzte Zinszahlung]])/365</f>
        <v>48.219178082191782</v>
      </c>
      <c r="W172" s="4">
        <v>16.657499999999999</v>
      </c>
      <c r="X172" s="120" t="s">
        <v>56</v>
      </c>
      <c r="Y172" s="120" t="s">
        <v>39</v>
      </c>
      <c r="Z172" s="1" t="s">
        <v>154</v>
      </c>
      <c r="AA172" s="1" t="s">
        <v>155</v>
      </c>
      <c r="AB172" s="3">
        <f>SUMIF('Zinszahlungen Anleihen'!K:K,aktuelleAnleihen[[#This Row],[ISIN]],'Zinszahlungen Anleihen'!D:D)</f>
        <v>0</v>
      </c>
      <c r="AE172" s="10"/>
      <c r="AF172" s="1"/>
      <c r="AH172" s="7"/>
      <c r="AJ172" s="1"/>
      <c r="AN172" s="1"/>
      <c r="AQ172" s="1"/>
    </row>
    <row r="173" spans="1:43" x14ac:dyDescent="0.2">
      <c r="A173" s="1" t="s">
        <v>94</v>
      </c>
      <c r="B173" s="1" t="s">
        <v>9</v>
      </c>
      <c r="C173" s="7">
        <v>0.11148</v>
      </c>
      <c r="D173" s="7">
        <v>0.7</v>
      </c>
      <c r="E173" s="7">
        <f>aktuelleAnleihen[[#This Row],[Aktueller Kurs]]-aktuelleAnleihen[[#This Row],[Kaufkurs]]</f>
        <v>0</v>
      </c>
      <c r="F173" s="8">
        <f>aktuelleAnleihen[[#This Row],[Stückelung]]*aktuelleAnleihen[[#This Row],[Aktueller Kurs]]*aktuelleAnleihen[[#This Row],[Anteile]]/aktuelleAnleihen[[#This Row],[Aktueller Wechselkurs]]+aktuelleAnleihen[[#This Row],[Stückzinsen]]</f>
        <v>1416.4929315068491</v>
      </c>
      <c r="G173" s="8">
        <f>aktuelleAnleihen[[#This Row],[Kursdifferenz]]*aktuelleAnleihen[[#This Row],[Anteile]]*aktuelleAnleihen[[#This Row],[Stückelung]]/aktuelleAnleihen[[#This Row],[Wechselkurs am Kauftag]]</f>
        <v>0</v>
      </c>
      <c r="H173" s="8">
        <f>aktuelleAnleihen[[#This Row],[Stückzinsen]]-aktuelleAnleihen[[#This Row],[Stückzinsen am Kauftag]]+aktuelleAnleihen[[#This Row],[Zinszahlungen]]</f>
        <v>44.74473150684932</v>
      </c>
      <c r="I173" s="8">
        <f>aktuelleAnleihen[[#This Row],[Gewinn gesamt]]-aktuelleAnleihen[[#This Row],[Gewinn aus Kursänderung]]-aktuelleAnleihen[[#This Row],[Gewinn aus Zinsen]]</f>
        <v>-2.0605739337042905E-13</v>
      </c>
      <c r="J173" s="7">
        <f>aktuelleAnleihen[[#This Row],[Gewinn gesamt]]/aktuelleAnleihen[[#This Row],[Kaufpreis]]</f>
        <v>3.1345079774984561E-2</v>
      </c>
      <c r="K173" s="3">
        <f>aktuelleAnleihen[[#This Row],[Verkaufspreis]]-aktuelleAnleihen[[#This Row],[Kaufpreis]]+aktuelleAnleihen[[#This Row],[Zinszahlungen]]</f>
        <v>44.744731506849114</v>
      </c>
      <c r="L173" s="4">
        <v>1427.4882</v>
      </c>
      <c r="M173" s="7">
        <v>0.7</v>
      </c>
      <c r="N173" s="61">
        <v>1</v>
      </c>
      <c r="O173" s="1">
        <v>1</v>
      </c>
      <c r="P173" s="1" t="s">
        <v>925</v>
      </c>
      <c r="Q173" s="30">
        <v>45378</v>
      </c>
      <c r="R173" s="1">
        <v>200000</v>
      </c>
      <c r="S173" s="1">
        <v>0.01</v>
      </c>
      <c r="T173" s="9">
        <v>45423</v>
      </c>
      <c r="U173" s="1">
        <v>4</v>
      </c>
      <c r="V173" s="62">
        <f>aktuelleAnleihen[[#This Row],[Stückelung]]*aktuelleAnleihen[[#This Row],[Anteile]]*aktuelleAnleihen[[#This Row],[Coupon]]/aktuelleAnleihen[[#This Row],[Aktueller Wechselkurs]]*($AC$1-aktuelleAnleihen[[#This Row],[Letzte Zinszahlung]])/365</f>
        <v>16.492931506849313</v>
      </c>
      <c r="W173" s="4">
        <v>27.488199999999999</v>
      </c>
      <c r="X173" s="120" t="s">
        <v>75</v>
      </c>
      <c r="Y173" s="120" t="s">
        <v>39</v>
      </c>
      <c r="Z173" s="1" t="s">
        <v>95</v>
      </c>
      <c r="AA173" s="1" t="s">
        <v>96</v>
      </c>
      <c r="AB173" s="3">
        <f>SUMIF('Zinszahlungen Anleihen'!K:K,aktuelleAnleihen[[#This Row],[ISIN]],'Zinszahlungen Anleihen'!D:D)</f>
        <v>55.74</v>
      </c>
      <c r="AE173" s="10"/>
      <c r="AF173" s="1"/>
      <c r="AH173" s="7"/>
      <c r="AJ173" s="1"/>
      <c r="AN173" s="1"/>
      <c r="AQ173" s="1"/>
    </row>
    <row r="174" spans="1:43" x14ac:dyDescent="0.2">
      <c r="A174" s="1" t="s">
        <v>38</v>
      </c>
      <c r="B174" s="1" t="s">
        <v>9</v>
      </c>
      <c r="C174" s="7">
        <v>0.11430999999999999</v>
      </c>
      <c r="D174" s="7">
        <v>1.01</v>
      </c>
      <c r="E174" s="7">
        <f>aktuelleAnleihen[[#This Row],[Aktueller Kurs]]-aktuelleAnleihen[[#This Row],[Kaufkurs]]</f>
        <v>0</v>
      </c>
      <c r="F174" s="8">
        <f>aktuelleAnleihen[[#This Row],[Stückelung]]*aktuelleAnleihen[[#This Row],[Aktueller Kurs]]*aktuelleAnleihen[[#This Row],[Anteile]]/aktuelleAnleihen[[#This Row],[Aktueller Wechselkurs]]+aktuelleAnleihen[[#This Row],[Stückzinsen]]</f>
        <v>2063.2185753424656</v>
      </c>
      <c r="G174" s="8">
        <f>aktuelleAnleihen[[#This Row],[Kursdifferenz]]*aktuelleAnleihen[[#This Row],[Anteile]]*aktuelleAnleihen[[#This Row],[Stückelung]]/aktuelleAnleihen[[#This Row],[Wechselkurs am Kauftag]]</f>
        <v>0</v>
      </c>
      <c r="H174" s="8">
        <f>aktuelleAnleihen[[#This Row],[Stückzinsen]]-aktuelleAnleihen[[#This Row],[Stückzinsen am Kauftag]]+aktuelleAnleihen[[#This Row],[Zinszahlungen]]</f>
        <v>45.254275342465739</v>
      </c>
      <c r="I174" s="8">
        <f>aktuelleAnleihen[[#This Row],[Gewinn gesamt]]-aktuelleAnleihen[[#This Row],[Gewinn aus Kursänderung]]-aktuelleAnleihen[[#This Row],[Gewinn aus Zinsen]]</f>
        <v>0</v>
      </c>
      <c r="J174" s="7">
        <f>aktuelleAnleihen[[#This Row],[Gewinn gesamt]]/aktuelleAnleihen[[#This Row],[Kaufpreis]]</f>
        <v>2.18080354910032E-2</v>
      </c>
      <c r="K174" s="3">
        <f>aktuelleAnleihen[[#This Row],[Verkaufspreis]]-aktuelleAnleihen[[#This Row],[Kaufpreis]]+aktuelleAnleihen[[#This Row],[Zinszahlungen]]</f>
        <v>45.254275342465711</v>
      </c>
      <c r="L174" s="4">
        <v>2075.1192999999998</v>
      </c>
      <c r="M174" s="7">
        <v>1.01</v>
      </c>
      <c r="N174" s="61">
        <v>1</v>
      </c>
      <c r="O174" s="1">
        <v>1</v>
      </c>
      <c r="P174" s="1" t="s">
        <v>925</v>
      </c>
      <c r="Q174" s="30">
        <v>45378</v>
      </c>
      <c r="R174" s="1">
        <v>2</v>
      </c>
      <c r="S174" s="1">
        <v>1000</v>
      </c>
      <c r="T174" s="9">
        <v>45381</v>
      </c>
      <c r="U174" s="1">
        <v>4</v>
      </c>
      <c r="V174" s="62">
        <f>aktuelleAnleihen[[#This Row],[Stückelung]]*aktuelleAnleihen[[#This Row],[Anteile]]*aktuelleAnleihen[[#This Row],[Coupon]]/aktuelleAnleihen[[#This Row],[Aktueller Wechselkurs]]*($AC$1-aktuelleAnleihen[[#This Row],[Letzte Zinszahlung]])/365</f>
        <v>43.218575342465748</v>
      </c>
      <c r="W174" s="4">
        <v>55.119300000000003</v>
      </c>
      <c r="X174" s="120" t="s">
        <v>35</v>
      </c>
      <c r="Y174" s="120" t="s">
        <v>39</v>
      </c>
      <c r="Z174" s="1" t="s">
        <v>40</v>
      </c>
      <c r="AA174" s="1" t="s">
        <v>41</v>
      </c>
      <c r="AB174" s="3">
        <f>SUMIF('Zinszahlungen Anleihen'!K:K,aktuelleAnleihen[[#This Row],[ISIN]],'Zinszahlungen Anleihen'!D:D)</f>
        <v>57.154999999999994</v>
      </c>
      <c r="AE174" s="10"/>
      <c r="AF174" s="1"/>
      <c r="AH174" s="7"/>
      <c r="AJ174" s="1"/>
      <c r="AN174" s="1"/>
      <c r="AQ174" s="1"/>
    </row>
    <row r="175" spans="1:43" x14ac:dyDescent="0.2">
      <c r="A175" s="1" t="s">
        <v>853</v>
      </c>
      <c r="B175" s="1" t="s">
        <v>4</v>
      </c>
      <c r="C175" s="7">
        <v>0.06</v>
      </c>
      <c r="D175" s="7">
        <v>1</v>
      </c>
      <c r="E175" s="7">
        <f>aktuelleAnleihen[[#This Row],[Aktueller Kurs]]-aktuelleAnleihen[[#This Row],[Kaufkurs]]</f>
        <v>0</v>
      </c>
      <c r="F175" s="8">
        <f>aktuelleAnleihen[[#This Row],[Stückelung]]*aktuelleAnleihen[[#This Row],[Aktueller Kurs]]*aktuelleAnleihen[[#This Row],[Anteile]]/aktuelleAnleihen[[#This Row],[Aktueller Wechselkurs]]+aktuelleAnleihen[[#This Row],[Stückzinsen]]</f>
        <v>2022.027397260274</v>
      </c>
      <c r="G175" s="8">
        <f>aktuelleAnleihen[[#This Row],[Kursdifferenz]]*aktuelleAnleihen[[#This Row],[Anteile]]*aktuelleAnleihen[[#This Row],[Stückelung]]/aktuelleAnleihen[[#This Row],[Wechselkurs am Kauftag]]</f>
        <v>0</v>
      </c>
      <c r="H175" s="8">
        <f>aktuelleAnleihen[[#This Row],[Stückzinsen]]-aktuelleAnleihen[[#This Row],[Stückzinsen am Kauftag]]+aktuelleAnleihen[[#This Row],[Zinszahlungen]]</f>
        <v>21.369897260273973</v>
      </c>
      <c r="I175" s="8">
        <f>aktuelleAnleihen[[#This Row],[Gewinn gesamt]]-aktuelleAnleihen[[#This Row],[Gewinn aus Kursänderung]]-aktuelleAnleihen[[#This Row],[Gewinn aus Zinsen]]</f>
        <v>2.8421709430404007E-14</v>
      </c>
      <c r="J175" s="7">
        <f>aktuelleAnleihen[[#This Row],[Gewinn gesamt]]/aktuelleAnleihen[[#This Row],[Kaufpreis]]</f>
        <v>1.0681437107687848E-2</v>
      </c>
      <c r="K175" s="3">
        <f>aktuelleAnleihen[[#This Row],[Verkaufspreis]]-aktuelleAnleihen[[#This Row],[Kaufpreis]]+aktuelleAnleihen[[#This Row],[Zinszahlungen]]</f>
        <v>21.369897260274001</v>
      </c>
      <c r="L175" s="4">
        <v>2000.6575</v>
      </c>
      <c r="M175" s="7">
        <v>1</v>
      </c>
      <c r="N175" s="61">
        <v>1</v>
      </c>
      <c r="O175" s="1">
        <v>1</v>
      </c>
      <c r="P175" s="1" t="s">
        <v>925</v>
      </c>
      <c r="Q175" s="30">
        <v>45385</v>
      </c>
      <c r="R175" s="1">
        <v>2</v>
      </c>
      <c r="S175" s="1">
        <v>1000</v>
      </c>
      <c r="T175" s="9">
        <v>45383</v>
      </c>
      <c r="U175" s="1">
        <v>4</v>
      </c>
      <c r="V175" s="62">
        <f>aktuelleAnleihen[[#This Row],[Stückelung]]*aktuelleAnleihen[[#This Row],[Anteile]]*aktuelleAnleihen[[#This Row],[Coupon]]/aktuelleAnleihen[[#This Row],[Aktueller Wechselkurs]]*($AC$1-aktuelleAnleihen[[#This Row],[Letzte Zinszahlung]])/365</f>
        <v>22.027397260273972</v>
      </c>
      <c r="W175" s="4">
        <v>0.65749999999999997</v>
      </c>
      <c r="X175" s="120" t="s">
        <v>854</v>
      </c>
      <c r="Y175" s="120" t="s">
        <v>61</v>
      </c>
      <c r="Z175" s="1" t="s">
        <v>855</v>
      </c>
      <c r="AA175" s="1" t="s">
        <v>856</v>
      </c>
      <c r="AB175" s="3">
        <f>SUMIF('Zinszahlungen Anleihen'!K:K,aktuelleAnleihen[[#This Row],[ISIN]],'Zinszahlungen Anleihen'!D:D)</f>
        <v>0</v>
      </c>
      <c r="AE175" s="10"/>
      <c r="AF175" s="1"/>
      <c r="AH175" s="7"/>
      <c r="AJ175" s="1"/>
      <c r="AN175" s="1"/>
      <c r="AQ175" s="1"/>
    </row>
    <row r="176" spans="1:43" x14ac:dyDescent="0.2">
      <c r="A176" s="1" t="s">
        <v>848</v>
      </c>
      <c r="B176" s="1" t="s">
        <v>2</v>
      </c>
      <c r="C176" s="7">
        <v>0.06</v>
      </c>
      <c r="D176" s="7">
        <v>0.88</v>
      </c>
      <c r="E176" s="7">
        <f>aktuelleAnleihen[[#This Row],[Aktueller Kurs]]-aktuelleAnleihen[[#This Row],[Kaufkurs]]</f>
        <v>0</v>
      </c>
      <c r="F176" s="8">
        <f>aktuelleAnleihen[[#This Row],[Stückelung]]*aktuelleAnleihen[[#This Row],[Aktueller Kurs]]*aktuelleAnleihen[[#This Row],[Anteile]]/aktuelleAnleihen[[#This Row],[Aktueller Wechselkurs]]+aktuelleAnleihen[[#This Row],[Stückzinsen]]</f>
        <v>1840.7872164383559</v>
      </c>
      <c r="G176" s="8">
        <f>aktuelleAnleihen[[#This Row],[Kursdifferenz]]*aktuelleAnleihen[[#This Row],[Anteile]]*aktuelleAnleihen[[#This Row],[Stückelung]]/aktuelleAnleihen[[#This Row],[Wechselkurs am Kauftag]]</f>
        <v>0</v>
      </c>
      <c r="H176" s="8">
        <f>aktuelleAnleihen[[#This Row],[Stückzinsen]]-aktuelleAnleihen[[#This Row],[Stückzinsen am Kauftag]]+aktuelleAnleihen[[#This Row],[Zinszahlungen]]</f>
        <v>21.372616438356161</v>
      </c>
      <c r="I176" s="8">
        <f>aktuelleAnleihen[[#This Row],[Gewinn gesamt]]-aktuelleAnleihen[[#This Row],[Gewinn aus Kursänderung]]-aktuelleAnleihen[[#This Row],[Gewinn aus Zinsen]]</f>
        <v>-2.9842794901924208E-13</v>
      </c>
      <c r="J176" s="7">
        <f>aktuelleAnleihen[[#This Row],[Gewinn gesamt]]/aktuelleAnleihen[[#This Row],[Kaufpreis]]</f>
        <v>1.1746974240151673E-2</v>
      </c>
      <c r="K176" s="3">
        <f>aktuelleAnleihen[[#This Row],[Verkaufspreis]]-aktuelleAnleihen[[#This Row],[Kaufpreis]]+aktuelleAnleihen[[#This Row],[Zinszahlungen]]</f>
        <v>21.372616438355863</v>
      </c>
      <c r="L176" s="4">
        <v>1819.4146000000001</v>
      </c>
      <c r="M176" s="7">
        <v>0.88</v>
      </c>
      <c r="N176" s="61">
        <v>1</v>
      </c>
      <c r="O176" s="1">
        <v>1</v>
      </c>
      <c r="P176" s="1" t="s">
        <v>925</v>
      </c>
      <c r="Q176" s="30">
        <v>45385</v>
      </c>
      <c r="R176" s="1">
        <v>1942</v>
      </c>
      <c r="S176" s="1">
        <v>1.03</v>
      </c>
      <c r="T176" s="9">
        <v>45205</v>
      </c>
      <c r="U176" s="1">
        <v>1</v>
      </c>
      <c r="V176" s="62">
        <f>aktuelleAnleihen[[#This Row],[Stückelung]]*aktuelleAnleihen[[#This Row],[Anteile]]*aktuelleAnleihen[[#This Row],[Coupon]]/aktuelleAnleihen[[#This Row],[Aktueller Wechselkurs]]*($AC$1-aktuelleAnleihen[[#This Row],[Letzte Zinszahlung]])/365</f>
        <v>80.558416438356161</v>
      </c>
      <c r="W176" s="4">
        <v>59.1858</v>
      </c>
      <c r="X176" s="120" t="s">
        <v>56</v>
      </c>
      <c r="Y176" s="120" t="s">
        <v>39</v>
      </c>
      <c r="Z176" s="1" t="s">
        <v>849</v>
      </c>
      <c r="AA176" s="1" t="s">
        <v>850</v>
      </c>
      <c r="AB176" s="3">
        <f>SUMIF('Zinszahlungen Anleihen'!K:K,aktuelleAnleihen[[#This Row],[ISIN]],'Zinszahlungen Anleihen'!D:D)</f>
        <v>0</v>
      </c>
      <c r="AE176" s="10"/>
      <c r="AF176" s="1"/>
      <c r="AH176" s="7"/>
      <c r="AJ176" s="1"/>
      <c r="AN176" s="1"/>
      <c r="AQ176" s="1"/>
    </row>
    <row r="177" spans="1:43" x14ac:dyDescent="0.2">
      <c r="A177" s="1" t="s">
        <v>814</v>
      </c>
      <c r="B177" s="1" t="s">
        <v>3</v>
      </c>
      <c r="C177" s="7">
        <v>6.1249999999999999E-2</v>
      </c>
      <c r="D177" s="7">
        <v>0.99950000000000006</v>
      </c>
      <c r="E177" s="7">
        <f>aktuelleAnleihen[[#This Row],[Aktueller Kurs]]-aktuelleAnleihen[[#This Row],[Kaufkurs]]</f>
        <v>0</v>
      </c>
      <c r="F177" s="8">
        <f>aktuelleAnleihen[[#This Row],[Stückelung]]*aktuelleAnleihen[[#This Row],[Aktueller Kurs]]*aktuelleAnleihen[[#This Row],[Anteile]]/aktuelleAnleihen[[#This Row],[Aktueller Wechselkurs]]+aktuelleAnleihen[[#This Row],[Stückzinsen]]</f>
        <v>2031.8904109589041</v>
      </c>
      <c r="G177" s="8">
        <f>aktuelleAnleihen[[#This Row],[Kursdifferenz]]*aktuelleAnleihen[[#This Row],[Anteile]]*aktuelleAnleihen[[#This Row],[Stückelung]]/aktuelleAnleihen[[#This Row],[Wechselkurs am Kauftag]]</f>
        <v>0</v>
      </c>
      <c r="H177" s="8">
        <f>aktuelleAnleihen[[#This Row],[Stückzinsen]]-aktuelleAnleihen[[#This Row],[Stückzinsen am Kauftag]]+aktuelleAnleihen[[#This Row],[Zinszahlungen]]</f>
        <v>21.815110958904114</v>
      </c>
      <c r="I177" s="8">
        <f>aktuelleAnleihen[[#This Row],[Gewinn gesamt]]-aktuelleAnleihen[[#This Row],[Gewinn aus Kursänderung]]-aktuelleAnleihen[[#This Row],[Gewinn aus Zinsen]]</f>
        <v>2.8421709430404007E-14</v>
      </c>
      <c r="J177" s="7">
        <f>aktuelleAnleihen[[#This Row],[Gewinn gesamt]]/aktuelleAnleihen[[#This Row],[Kaufpreis]]</f>
        <v>1.0852882456146863E-2</v>
      </c>
      <c r="K177" s="3">
        <f>aktuelleAnleihen[[#This Row],[Verkaufspreis]]-aktuelleAnleihen[[#This Row],[Kaufpreis]]+aktuelleAnleihen[[#This Row],[Zinszahlungen]]</f>
        <v>21.815110958904143</v>
      </c>
      <c r="L177" s="4">
        <v>2010.0753</v>
      </c>
      <c r="M177" s="7">
        <v>0.99950000000000006</v>
      </c>
      <c r="N177" s="61">
        <v>1</v>
      </c>
      <c r="O177" s="1">
        <v>1</v>
      </c>
      <c r="P177" s="1" t="s">
        <v>925</v>
      </c>
      <c r="Q177" s="30">
        <v>45385</v>
      </c>
      <c r="R177" s="1">
        <v>2</v>
      </c>
      <c r="S177" s="1">
        <v>1000</v>
      </c>
      <c r="T177" s="9">
        <v>45352</v>
      </c>
      <c r="U177" s="1">
        <v>1</v>
      </c>
      <c r="V177" s="62">
        <f>aktuelleAnleihen[[#This Row],[Stückelung]]*aktuelleAnleihen[[#This Row],[Anteile]]*aktuelleAnleihen[[#This Row],[Coupon]]/aktuelleAnleihen[[#This Row],[Aktueller Wechselkurs]]*($AC$1-aktuelleAnleihen[[#This Row],[Letzte Zinszahlung]])/365</f>
        <v>32.890410958904113</v>
      </c>
      <c r="W177" s="4">
        <v>11.0753</v>
      </c>
      <c r="X177" s="120" t="s">
        <v>56</v>
      </c>
      <c r="Y177" s="120" t="s">
        <v>39</v>
      </c>
      <c r="Z177" s="1" t="s">
        <v>815</v>
      </c>
      <c r="AA177" s="1" t="s">
        <v>816</v>
      </c>
      <c r="AB177" s="3">
        <f>SUMIF('Zinszahlungen Anleihen'!K:K,aktuelleAnleihen[[#This Row],[ISIN]],'Zinszahlungen Anleihen'!D:D)</f>
        <v>0</v>
      </c>
      <c r="AE177" s="10"/>
      <c r="AF177" s="1"/>
      <c r="AH177" s="7"/>
      <c r="AJ177" s="1"/>
      <c r="AN177" s="1"/>
      <c r="AQ177" s="1"/>
    </row>
    <row r="178" spans="1:43" x14ac:dyDescent="0.2">
      <c r="A178" s="1" t="s">
        <v>742</v>
      </c>
      <c r="B178" s="1" t="s">
        <v>3</v>
      </c>
      <c r="C178" s="7">
        <v>6.5000000000000002E-2</v>
      </c>
      <c r="D178" s="7">
        <v>0.995</v>
      </c>
      <c r="E178" s="7">
        <f>aktuelleAnleihen[[#This Row],[Aktueller Kurs]]-aktuelleAnleihen[[#This Row],[Kaufkurs]]</f>
        <v>0</v>
      </c>
      <c r="F178" s="8">
        <f>aktuelleAnleihen[[#This Row],[Stückelung]]*aktuelleAnleihen[[#This Row],[Aktueller Kurs]]*aktuelleAnleihen[[#This Row],[Anteile]]/aktuelleAnleihen[[#This Row],[Aktueller Wechselkurs]]+aktuelleAnleihen[[#This Row],[Stückzinsen]]</f>
        <v>2100.7671232876714</v>
      </c>
      <c r="G178" s="8">
        <f>aktuelleAnleihen[[#This Row],[Kursdifferenz]]*aktuelleAnleihen[[#This Row],[Anteile]]*aktuelleAnleihen[[#This Row],[Stückelung]]/aktuelleAnleihen[[#This Row],[Wechselkurs am Kauftag]]</f>
        <v>0</v>
      </c>
      <c r="H178" s="8">
        <f>aktuelleAnleihen[[#This Row],[Stückzinsen]]-aktuelleAnleihen[[#This Row],[Stückzinsen am Kauftag]]+aktuelleAnleihen[[#This Row],[Zinszahlungen]]</f>
        <v>23.150723287671241</v>
      </c>
      <c r="I178" s="8">
        <f>aktuelleAnleihen[[#This Row],[Gewinn gesamt]]-aktuelleAnleihen[[#This Row],[Gewinn aus Kursänderung]]-aktuelleAnleihen[[#This Row],[Gewinn aus Zinsen]]</f>
        <v>3.1263880373444408E-13</v>
      </c>
      <c r="J178" s="7">
        <f>aktuelleAnleihen[[#This Row],[Gewinn gesamt]]/aktuelleAnleihen[[#This Row],[Kaufpreis]]</f>
        <v>1.114292479000048E-2</v>
      </c>
      <c r="K178" s="3">
        <f>aktuelleAnleihen[[#This Row],[Verkaufspreis]]-aktuelleAnleihen[[#This Row],[Kaufpreis]]+aktuelleAnleihen[[#This Row],[Zinszahlungen]]</f>
        <v>23.150723287671553</v>
      </c>
      <c r="L178" s="4">
        <v>2077.6163999999999</v>
      </c>
      <c r="M178" s="7">
        <v>0.995</v>
      </c>
      <c r="N178" s="61">
        <v>1</v>
      </c>
      <c r="O178" s="1">
        <v>1</v>
      </c>
      <c r="P178" s="1" t="s">
        <v>925</v>
      </c>
      <c r="Q178" s="30">
        <v>45385</v>
      </c>
      <c r="R178" s="1">
        <v>2</v>
      </c>
      <c r="S178" s="1">
        <v>1000</v>
      </c>
      <c r="T178" s="9">
        <v>45139</v>
      </c>
      <c r="U178" s="1">
        <v>1</v>
      </c>
      <c r="V178" s="62">
        <f>aktuelleAnleihen[[#This Row],[Stückelung]]*aktuelleAnleihen[[#This Row],[Anteile]]*aktuelleAnleihen[[#This Row],[Coupon]]/aktuelleAnleihen[[#This Row],[Aktueller Wechselkurs]]*($AC$1-aktuelleAnleihen[[#This Row],[Letzte Zinszahlung]])/365</f>
        <v>110.76712328767124</v>
      </c>
      <c r="W178" s="4">
        <v>87.616399999999999</v>
      </c>
      <c r="X178" s="120" t="s">
        <v>56</v>
      </c>
      <c r="Y178" s="120" t="s">
        <v>39</v>
      </c>
      <c r="Z178" s="1" t="s">
        <v>743</v>
      </c>
      <c r="AA178" s="1" t="s">
        <v>744</v>
      </c>
      <c r="AB178" s="3">
        <f>SUMIF('Zinszahlungen Anleihen'!K:K,aktuelleAnleihen[[#This Row],[ISIN]],'Zinszahlungen Anleihen'!D:D)</f>
        <v>0</v>
      </c>
      <c r="AE178" s="10"/>
      <c r="AF178" s="1"/>
      <c r="AH178" s="7"/>
      <c r="AJ178" s="1"/>
      <c r="AN178" s="1"/>
      <c r="AQ178" s="1"/>
    </row>
    <row r="179" spans="1:43" x14ac:dyDescent="0.2">
      <c r="A179" s="1" t="s">
        <v>702</v>
      </c>
      <c r="B179" s="1" t="s">
        <v>3</v>
      </c>
      <c r="C179" s="7">
        <v>6.7500000000000004E-2</v>
      </c>
      <c r="D179" s="7">
        <v>0.4</v>
      </c>
      <c r="E179" s="7">
        <f>aktuelleAnleihen[[#This Row],[Aktueller Kurs]]-aktuelleAnleihen[[#This Row],[Kaufkurs]]</f>
        <v>0</v>
      </c>
      <c r="F179" s="8">
        <f>aktuelleAnleihen[[#This Row],[Stückelung]]*aktuelleAnleihen[[#This Row],[Aktueller Kurs]]*aktuelleAnleihen[[#This Row],[Anteile]]/aktuelleAnleihen[[#This Row],[Aktueller Wechselkurs]]+aktuelleAnleihen[[#This Row],[Stückzinsen]]</f>
        <v>831.06849315068496</v>
      </c>
      <c r="G179" s="8">
        <f>aktuelleAnleihen[[#This Row],[Kursdifferenz]]*aktuelleAnleihen[[#This Row],[Anteile]]*aktuelleAnleihen[[#This Row],[Stückelung]]/aktuelleAnleihen[[#This Row],[Wechselkurs am Kauftag]]</f>
        <v>0</v>
      </c>
      <c r="H179" s="8">
        <f>aktuelleAnleihen[[#This Row],[Stückzinsen]]-aktuelleAnleihen[[#This Row],[Stückzinsen am Kauftag]]+aktuelleAnleihen[[#This Row],[Zinszahlungen]]</f>
        <v>24.041093150684933</v>
      </c>
      <c r="I179" s="8">
        <f>aktuelleAnleihen[[#This Row],[Gewinn gesamt]]-aktuelleAnleihen[[#This Row],[Gewinn aus Kursänderung]]-aktuelleAnleihen[[#This Row],[Gewinn aus Zinsen]]</f>
        <v>8.1712414612411521E-14</v>
      </c>
      <c r="J179" s="7">
        <f>aktuelleAnleihen[[#This Row],[Gewinn gesamt]]/aktuelleAnleihen[[#This Row],[Kaufpreis]]</f>
        <v>2.9789686385722488E-2</v>
      </c>
      <c r="K179" s="3">
        <f>aktuelleAnleihen[[#This Row],[Verkaufspreis]]-aktuelleAnleihen[[#This Row],[Kaufpreis]]+aktuelleAnleihen[[#This Row],[Zinszahlungen]]</f>
        <v>24.041093150685015</v>
      </c>
      <c r="L179" s="4">
        <v>807.02739999999994</v>
      </c>
      <c r="M179" s="7">
        <v>0.4</v>
      </c>
      <c r="N179" s="61">
        <v>1</v>
      </c>
      <c r="O179" s="1">
        <v>1</v>
      </c>
      <c r="P179" s="1" t="s">
        <v>925</v>
      </c>
      <c r="Q179" s="30">
        <v>45385</v>
      </c>
      <c r="R179" s="1">
        <v>2</v>
      </c>
      <c r="S179" s="1">
        <v>1000</v>
      </c>
      <c r="T179" s="9">
        <v>45366</v>
      </c>
      <c r="U179" s="1">
        <v>2</v>
      </c>
      <c r="V179" s="62">
        <f>aktuelleAnleihen[[#This Row],[Stückelung]]*aktuelleAnleihen[[#This Row],[Anteile]]*aktuelleAnleihen[[#This Row],[Coupon]]/aktuelleAnleihen[[#This Row],[Aktueller Wechselkurs]]*($AC$1-aktuelleAnleihen[[#This Row],[Letzte Zinszahlung]])/365</f>
        <v>31.068493150684933</v>
      </c>
      <c r="W179" s="4">
        <v>7.0274000000000001</v>
      </c>
      <c r="X179" s="120" t="s">
        <v>56</v>
      </c>
      <c r="Y179" s="120" t="s">
        <v>52</v>
      </c>
      <c r="Z179" s="1" t="s">
        <v>703</v>
      </c>
      <c r="AA179" s="1" t="s">
        <v>704</v>
      </c>
      <c r="AB179" s="3">
        <f>SUMIF('Zinszahlungen Anleihen'!K:K,aktuelleAnleihen[[#This Row],[ISIN]],'Zinszahlungen Anleihen'!D:D)</f>
        <v>0</v>
      </c>
      <c r="AE179" s="10"/>
      <c r="AF179" s="1"/>
      <c r="AH179" s="7"/>
      <c r="AJ179" s="1"/>
      <c r="AN179" s="1"/>
      <c r="AQ179" s="1"/>
    </row>
    <row r="180" spans="1:43" x14ac:dyDescent="0.2">
      <c r="A180" s="1" t="s">
        <v>453</v>
      </c>
      <c r="B180" s="1" t="s">
        <v>7</v>
      </c>
      <c r="C180" s="7">
        <v>0.08</v>
      </c>
      <c r="D180" s="7">
        <v>0.98</v>
      </c>
      <c r="E180" s="7">
        <f>aktuelleAnleihen[[#This Row],[Aktueller Kurs]]-aktuelleAnleihen[[#This Row],[Kaufkurs]]</f>
        <v>0</v>
      </c>
      <c r="F180" s="8">
        <f>aktuelleAnleihen[[#This Row],[Stückelung]]*aktuelleAnleihen[[#This Row],[Aktueller Kurs]]*aktuelleAnleihen[[#This Row],[Anteile]]/aktuelleAnleihen[[#This Row],[Aktueller Wechselkurs]]+aktuelleAnleihen[[#This Row],[Stückzinsen]]</f>
        <v>2110.3561643835615</v>
      </c>
      <c r="G180" s="8">
        <f>aktuelleAnleihen[[#This Row],[Kursdifferenz]]*aktuelleAnleihen[[#This Row],[Anteile]]*aktuelleAnleihen[[#This Row],[Stückelung]]/aktuelleAnleihen[[#This Row],[Wechselkurs am Kauftag]]</f>
        <v>0</v>
      </c>
      <c r="H180" s="8">
        <f>aktuelleAnleihen[[#This Row],[Stückzinsen]]-aktuelleAnleihen[[#This Row],[Stückzinsen am Kauftag]]+aktuelleAnleihen[[#This Row],[Zinszahlungen]]</f>
        <v>28.493164383561634</v>
      </c>
      <c r="I180" s="8">
        <f>aktuelleAnleihen[[#This Row],[Gewinn gesamt]]-aktuelleAnleihen[[#This Row],[Gewinn aus Kursänderung]]-aktuelleAnleihen[[#This Row],[Gewinn aus Zinsen]]</f>
        <v>0</v>
      </c>
      <c r="J180" s="7">
        <f>aktuelleAnleihen[[#This Row],[Gewinn gesamt]]/aktuelleAnleihen[[#This Row],[Kaufpreis]]</f>
        <v>1.3686378202389705E-2</v>
      </c>
      <c r="K180" s="3">
        <f>aktuelleAnleihen[[#This Row],[Verkaufspreis]]-aktuelleAnleihen[[#This Row],[Kaufpreis]]+aktuelleAnleihen[[#This Row],[Zinszahlungen]]</f>
        <v>28.493164383561634</v>
      </c>
      <c r="L180" s="4">
        <v>2081.8629999999998</v>
      </c>
      <c r="M180" s="7">
        <v>0.98</v>
      </c>
      <c r="N180" s="61">
        <v>1</v>
      </c>
      <c r="O180" s="1">
        <v>1</v>
      </c>
      <c r="P180" s="1" t="s">
        <v>925</v>
      </c>
      <c r="Q180" s="30">
        <v>45385</v>
      </c>
      <c r="R180" s="1">
        <v>2</v>
      </c>
      <c r="S180" s="1">
        <v>1000</v>
      </c>
      <c r="T180" s="9">
        <v>45107</v>
      </c>
      <c r="U180" s="1">
        <v>1</v>
      </c>
      <c r="V180" s="62">
        <f>aktuelleAnleihen[[#This Row],[Stückelung]]*aktuelleAnleihen[[#This Row],[Anteile]]*aktuelleAnleihen[[#This Row],[Coupon]]/aktuelleAnleihen[[#This Row],[Aktueller Wechselkurs]]*($AC$1-aktuelleAnleihen[[#This Row],[Letzte Zinszahlung]])/365</f>
        <v>150.35616438356163</v>
      </c>
      <c r="W180" s="4">
        <v>121.863</v>
      </c>
      <c r="X180" s="120" t="s">
        <v>43</v>
      </c>
      <c r="Y180" s="120" t="s">
        <v>39</v>
      </c>
      <c r="Z180" s="1" t="s">
        <v>454</v>
      </c>
      <c r="AA180" s="1" t="s">
        <v>455</v>
      </c>
      <c r="AB180" s="3">
        <f>SUMIF('Zinszahlungen Anleihen'!K:K,aktuelleAnleihen[[#This Row],[ISIN]],'Zinszahlungen Anleihen'!D:D)</f>
        <v>0</v>
      </c>
      <c r="AE180" s="10"/>
      <c r="AF180" s="1"/>
      <c r="AH180" s="7"/>
      <c r="AJ180" s="1"/>
      <c r="AN180" s="1"/>
      <c r="AQ180" s="1"/>
    </row>
    <row r="181" spans="1:43" x14ac:dyDescent="0.2">
      <c r="A181" s="1" t="s">
        <v>456</v>
      </c>
      <c r="B181" s="1" t="s">
        <v>0</v>
      </c>
      <c r="C181" s="7">
        <v>0.08</v>
      </c>
      <c r="D181" s="7">
        <v>0.7</v>
      </c>
      <c r="E181" s="7">
        <f>aktuelleAnleihen[[#This Row],[Aktueller Kurs]]-aktuelleAnleihen[[#This Row],[Kaufkurs]]</f>
        <v>0</v>
      </c>
      <c r="F181" s="8">
        <f>aktuelleAnleihen[[#This Row],[Stückelung]]*aktuelleAnleihen[[#This Row],[Aktueller Kurs]]*aktuelleAnleihen[[#This Row],[Anteile]]/aktuelleAnleihen[[#This Row],[Aktueller Wechselkurs]]+aktuelleAnleihen[[#This Row],[Stückzinsen]]</f>
        <v>1559.5616438356165</v>
      </c>
      <c r="G181" s="8">
        <f>aktuelleAnleihen[[#This Row],[Kursdifferenz]]*aktuelleAnleihen[[#This Row],[Anteile]]*aktuelleAnleihen[[#This Row],[Stückelung]]/aktuelleAnleihen[[#This Row],[Wechselkurs am Kauftag]]</f>
        <v>0</v>
      </c>
      <c r="H181" s="8">
        <f>aktuelleAnleihen[[#This Row],[Stückzinsen]]-aktuelleAnleihen[[#This Row],[Stückzinsen am Kauftag]]+aktuelleAnleihen[[#This Row],[Zinszahlungen]]</f>
        <v>28.493143835616451</v>
      </c>
      <c r="I181" s="8">
        <f>aktuelleAnleihen[[#This Row],[Gewinn gesamt]]-aktuelleAnleihen[[#This Row],[Gewinn aus Kursänderung]]-aktuelleAnleihen[[#This Row],[Gewinn aus Zinsen]]</f>
        <v>-8.5265128291212022E-14</v>
      </c>
      <c r="J181" s="7">
        <f>aktuelleAnleihen[[#This Row],[Gewinn gesamt]]/aktuelleAnleihen[[#This Row],[Kaufpreis]]</f>
        <v>1.8609973254375207E-2</v>
      </c>
      <c r="K181" s="3">
        <f>aktuelleAnleihen[[#This Row],[Verkaufspreis]]-aktuelleAnleihen[[#This Row],[Kaufpreis]]+aktuelleAnleihen[[#This Row],[Zinszahlungen]]</f>
        <v>28.493143835616365</v>
      </c>
      <c r="L181" s="4">
        <v>1531.0685000000001</v>
      </c>
      <c r="M181" s="7">
        <v>0.7</v>
      </c>
      <c r="N181" s="61">
        <v>1</v>
      </c>
      <c r="O181" s="1">
        <v>1</v>
      </c>
      <c r="P181" s="1" t="s">
        <v>925</v>
      </c>
      <c r="Q181" s="30">
        <v>45385</v>
      </c>
      <c r="R181" s="1">
        <v>2000</v>
      </c>
      <c r="S181" s="1">
        <v>1</v>
      </c>
      <c r="T181" s="9">
        <v>45086</v>
      </c>
      <c r="U181" s="1">
        <v>1</v>
      </c>
      <c r="V181" s="62">
        <f>aktuelleAnleihen[[#This Row],[Stückelung]]*aktuelleAnleihen[[#This Row],[Anteile]]*aktuelleAnleihen[[#This Row],[Coupon]]/aktuelleAnleihen[[#This Row],[Aktueller Wechselkurs]]*($AC$1-aktuelleAnleihen[[#This Row],[Letzte Zinszahlung]])/365</f>
        <v>159.56164383561645</v>
      </c>
      <c r="W181" s="4">
        <v>131.0685</v>
      </c>
      <c r="X181" s="120" t="s">
        <v>65</v>
      </c>
      <c r="Y181" s="120" t="s">
        <v>39</v>
      </c>
      <c r="Z181" s="1" t="s">
        <v>457</v>
      </c>
      <c r="AA181" s="1" t="s">
        <v>458</v>
      </c>
      <c r="AB181" s="3">
        <f>SUMIF('Zinszahlungen Anleihen'!K:K,aktuelleAnleihen[[#This Row],[ISIN]],'Zinszahlungen Anleihen'!D:D)</f>
        <v>0</v>
      </c>
      <c r="AE181" s="10"/>
      <c r="AF181" s="1"/>
      <c r="AH181" s="7"/>
      <c r="AJ181" s="1"/>
      <c r="AN181" s="1"/>
      <c r="AQ181" s="1"/>
    </row>
    <row r="182" spans="1:43" x14ac:dyDescent="0.2">
      <c r="A182" s="1" t="s">
        <v>468</v>
      </c>
      <c r="B182" s="1" t="s">
        <v>0</v>
      </c>
      <c r="C182" s="7">
        <v>0.08</v>
      </c>
      <c r="D182" s="7">
        <v>0.97</v>
      </c>
      <c r="E182" s="7">
        <f>aktuelleAnleihen[[#This Row],[Aktueller Kurs]]-aktuelleAnleihen[[#This Row],[Kaufkurs]]</f>
        <v>0</v>
      </c>
      <c r="F182" s="8">
        <f>aktuelleAnleihen[[#This Row],[Stückelung]]*aktuelleAnleihen[[#This Row],[Aktueller Kurs]]*aktuelleAnleihen[[#This Row],[Anteile]]/aktuelleAnleihen[[#This Row],[Aktueller Wechselkurs]]+aktuelleAnleihen[[#This Row],[Stückzinsen]]</f>
        <v>1956.6575342465753</v>
      </c>
      <c r="G182" s="8">
        <f>aktuelleAnleihen[[#This Row],[Kursdifferenz]]*aktuelleAnleihen[[#This Row],[Anteile]]*aktuelleAnleihen[[#This Row],[Stückelung]]/aktuelleAnleihen[[#This Row],[Wechselkurs am Kauftag]]</f>
        <v>0</v>
      </c>
      <c r="H182" s="8">
        <f>aktuelleAnleihen[[#This Row],[Stückzinsen]]-aktuelleAnleihen[[#This Row],[Stückzinsen am Kauftag]]+aktuelleAnleihen[[#This Row],[Zinszahlungen]]</f>
        <v>28.054834246575354</v>
      </c>
      <c r="I182" s="8">
        <f>aktuelleAnleihen[[#This Row],[Gewinn gesamt]]-aktuelleAnleihen[[#This Row],[Gewinn aus Kursänderung]]-aktuelleAnleihen[[#This Row],[Gewinn aus Zinsen]]</f>
        <v>5.6843418860808015E-14</v>
      </c>
      <c r="J182" s="7">
        <f>aktuelleAnleihen[[#This Row],[Gewinn gesamt]]/aktuelleAnleihen[[#This Row],[Kaufpreis]]</f>
        <v>1.3432346059198052E-2</v>
      </c>
      <c r="K182" s="3">
        <f>aktuelleAnleihen[[#This Row],[Verkaufspreis]]-aktuelleAnleihen[[#This Row],[Kaufpreis]]+aktuelleAnleihen[[#This Row],[Zinszahlungen]]</f>
        <v>28.05483424657541</v>
      </c>
      <c r="L182" s="4">
        <v>2088.6026999999999</v>
      </c>
      <c r="M182" s="7">
        <v>0.97</v>
      </c>
      <c r="N182" s="61">
        <v>1</v>
      </c>
      <c r="O182" s="1">
        <v>1</v>
      </c>
      <c r="P182" s="1" t="s">
        <v>925</v>
      </c>
      <c r="Q182" s="30">
        <v>45385</v>
      </c>
      <c r="R182" s="1">
        <v>2</v>
      </c>
      <c r="S182" s="1">
        <v>1000</v>
      </c>
      <c r="T182" s="9">
        <v>45412</v>
      </c>
      <c r="U182" s="1">
        <v>1</v>
      </c>
      <c r="V182" s="62">
        <f>aktuelleAnleihen[[#This Row],[Stückelung]]*aktuelleAnleihen[[#This Row],[Anteile]]*aktuelleAnleihen[[#This Row],[Coupon]]/aktuelleAnleihen[[#This Row],[Aktueller Wechselkurs]]*($AC$1-aktuelleAnleihen[[#This Row],[Letzte Zinszahlung]])/365</f>
        <v>16.657534246575342</v>
      </c>
      <c r="W182" s="4">
        <v>148.6027</v>
      </c>
      <c r="X182" s="120" t="s">
        <v>35</v>
      </c>
      <c r="Y182" s="120" t="s">
        <v>61</v>
      </c>
      <c r="Z182" s="1" t="s">
        <v>469</v>
      </c>
      <c r="AA182" s="1" t="s">
        <v>470</v>
      </c>
      <c r="AB182" s="3">
        <f>SUMIF('Zinszahlungen Anleihen'!K:K,aktuelleAnleihen[[#This Row],[ISIN]],'Zinszahlungen Anleihen'!D:D)</f>
        <v>160</v>
      </c>
      <c r="AE182" s="10"/>
      <c r="AF182" s="1"/>
      <c r="AH182" s="7"/>
      <c r="AJ182" s="1"/>
      <c r="AN182" s="1"/>
      <c r="AQ182" s="1"/>
    </row>
    <row r="183" spans="1:43" x14ac:dyDescent="0.2">
      <c r="A183" s="1" t="s">
        <v>432</v>
      </c>
      <c r="B183" s="1" t="s">
        <v>0</v>
      </c>
      <c r="C183" s="7">
        <v>8.1000000000000003E-2</v>
      </c>
      <c r="D183" s="7">
        <v>0.97499999999999998</v>
      </c>
      <c r="E183" s="7">
        <f>aktuelleAnleihen[[#This Row],[Aktueller Kurs]]-aktuelleAnleihen[[#This Row],[Kaufkurs]]</f>
        <v>0</v>
      </c>
      <c r="F183" s="8">
        <f>aktuelleAnleihen[[#This Row],[Stückelung]]*aktuelleAnleihen[[#This Row],[Aktueller Kurs]]*aktuelleAnleihen[[#This Row],[Anteile]]/aktuelleAnleihen[[#This Row],[Aktueller Wechselkurs]]+aktuelleAnleihen[[#This Row],[Stückzinsen]]</f>
        <v>1980.6246575342466</v>
      </c>
      <c r="G183" s="8">
        <f>aktuelleAnleihen[[#This Row],[Kursdifferenz]]*aktuelleAnleihen[[#This Row],[Anteile]]*aktuelleAnleihen[[#This Row],[Stückelung]]/aktuelleAnleihen[[#This Row],[Wechselkurs am Kauftag]]</f>
        <v>0</v>
      </c>
      <c r="H183" s="8">
        <f>aktuelleAnleihen[[#This Row],[Stückzinsen]]-aktuelleAnleihen[[#This Row],[Stückzinsen am Kauftag]]+aktuelleAnleihen[[#This Row],[Zinszahlungen]]</f>
        <v>28.849357534246575</v>
      </c>
      <c r="I183" s="8">
        <f>aktuelleAnleihen[[#This Row],[Gewinn gesamt]]-aktuelleAnleihen[[#This Row],[Gewinn aus Kursänderung]]-aktuelleAnleihen[[#This Row],[Gewinn aus Zinsen]]</f>
        <v>0</v>
      </c>
      <c r="J183" s="7">
        <f>aktuelleAnleihen[[#This Row],[Gewinn gesamt]]/aktuelleAnleihen[[#This Row],[Kaufpreis]]</f>
        <v>1.4781085473438753E-2</v>
      </c>
      <c r="K183" s="3">
        <f>aktuelleAnleihen[[#This Row],[Verkaufspreis]]-aktuelleAnleihen[[#This Row],[Kaufpreis]]+aktuelleAnleihen[[#This Row],[Zinszahlungen]]</f>
        <v>28.849357534246565</v>
      </c>
      <c r="L183" s="4">
        <v>1951.7753</v>
      </c>
      <c r="M183" s="7">
        <v>0.97499999999999998</v>
      </c>
      <c r="N183" s="61">
        <v>1</v>
      </c>
      <c r="O183" s="1">
        <v>1</v>
      </c>
      <c r="P183" s="1" t="s">
        <v>925</v>
      </c>
      <c r="Q183" s="30">
        <v>45385</v>
      </c>
      <c r="R183" s="1">
        <v>20</v>
      </c>
      <c r="S183" s="1">
        <v>100</v>
      </c>
      <c r="T183" s="9">
        <v>45381</v>
      </c>
      <c r="U183" s="1">
        <v>4</v>
      </c>
      <c r="V183" s="62">
        <f>aktuelleAnleihen[[#This Row],[Stückelung]]*aktuelleAnleihen[[#This Row],[Anteile]]*aktuelleAnleihen[[#This Row],[Coupon]]/aktuelleAnleihen[[#This Row],[Aktueller Wechselkurs]]*($AC$1-aktuelleAnleihen[[#This Row],[Letzte Zinszahlung]])/365</f>
        <v>30.624657534246577</v>
      </c>
      <c r="W183" s="4">
        <v>1.7753000000000001</v>
      </c>
      <c r="X183" s="120" t="s">
        <v>65</v>
      </c>
      <c r="Y183" s="120" t="s">
        <v>39</v>
      </c>
      <c r="Z183" s="1" t="s">
        <v>433</v>
      </c>
      <c r="AA183" s="1" t="s">
        <v>434</v>
      </c>
      <c r="AB183" s="3">
        <f>SUMIF('Zinszahlungen Anleihen'!K:K,aktuelleAnleihen[[#This Row],[ISIN]],'Zinszahlungen Anleihen'!D:D)</f>
        <v>0</v>
      </c>
      <c r="AE183" s="10"/>
      <c r="AF183" s="1"/>
      <c r="AH183" s="7"/>
      <c r="AJ183" s="1"/>
      <c r="AN183" s="1"/>
      <c r="AQ183" s="1"/>
    </row>
    <row r="184" spans="1:43" x14ac:dyDescent="0.2">
      <c r="A184" s="1" t="s">
        <v>393</v>
      </c>
      <c r="B184" s="1" t="s">
        <v>3</v>
      </c>
      <c r="C184" s="7">
        <v>8.4000000000000005E-2</v>
      </c>
      <c r="D184" s="7">
        <v>1</v>
      </c>
      <c r="E184" s="7">
        <f>aktuelleAnleihen[[#This Row],[Aktueller Kurs]]-aktuelleAnleihen[[#This Row],[Kaufkurs]]</f>
        <v>0</v>
      </c>
      <c r="F184" s="8">
        <f>aktuelleAnleihen[[#This Row],[Stückelung]]*aktuelleAnleihen[[#This Row],[Aktueller Kurs]]*aktuelleAnleihen[[#This Row],[Anteile]]/aktuelleAnleihen[[#This Row],[Aktueller Wechselkurs]]+aktuelleAnleihen[[#This Row],[Stückzinsen]]</f>
        <v>2010.1260273972603</v>
      </c>
      <c r="G184" s="8">
        <f>aktuelleAnleihen[[#This Row],[Kursdifferenz]]*aktuelleAnleihen[[#This Row],[Anteile]]*aktuelleAnleihen[[#This Row],[Stückelung]]/aktuelleAnleihen[[#This Row],[Wechselkurs am Kauftag]]</f>
        <v>0</v>
      </c>
      <c r="H184" s="8">
        <f>aktuelleAnleihen[[#This Row],[Stückzinsen]]-aktuelleAnleihen[[#This Row],[Stückzinsen am Kauftag]]+aktuelleAnleihen[[#This Row],[Zinszahlungen]]</f>
        <v>30.493127397260274</v>
      </c>
      <c r="I184" s="8">
        <f>aktuelleAnleihen[[#This Row],[Gewinn gesamt]]-aktuelleAnleihen[[#This Row],[Gewinn aus Kursänderung]]-aktuelleAnleihen[[#This Row],[Gewinn aus Zinsen]]</f>
        <v>-7.815970093361102E-14</v>
      </c>
      <c r="J184" s="7">
        <f>aktuelleAnleihen[[#This Row],[Gewinn gesamt]]/aktuelleAnleihen[[#This Row],[Kaufpreis]]</f>
        <v>1.5083414697722912E-2</v>
      </c>
      <c r="K184" s="3">
        <f>aktuelleAnleihen[[#This Row],[Verkaufspreis]]-aktuelleAnleihen[[#This Row],[Kaufpreis]]+aktuelleAnleihen[[#This Row],[Zinszahlungen]]</f>
        <v>30.493127397260196</v>
      </c>
      <c r="L184" s="4">
        <v>2021.6329000000001</v>
      </c>
      <c r="M184" s="7">
        <v>1</v>
      </c>
      <c r="N184" s="61">
        <v>1</v>
      </c>
      <c r="O184" s="1">
        <v>1</v>
      </c>
      <c r="P184" s="1" t="s">
        <v>925</v>
      </c>
      <c r="Q184" s="30">
        <v>45385</v>
      </c>
      <c r="R184" s="1">
        <v>2</v>
      </c>
      <c r="S184" s="1">
        <v>1000</v>
      </c>
      <c r="T184" s="9">
        <v>45428</v>
      </c>
      <c r="U184" s="1">
        <v>4</v>
      </c>
      <c r="V184" s="62">
        <f>aktuelleAnleihen[[#This Row],[Stückelung]]*aktuelleAnleihen[[#This Row],[Anteile]]*aktuelleAnleihen[[#This Row],[Coupon]]/aktuelleAnleihen[[#This Row],[Aktueller Wechselkurs]]*($AC$1-aktuelleAnleihen[[#This Row],[Letzte Zinszahlung]])/365</f>
        <v>10.126027397260273</v>
      </c>
      <c r="W184" s="4">
        <v>21.632899999999999</v>
      </c>
      <c r="X184" s="120" t="s">
        <v>65</v>
      </c>
      <c r="Y184" s="120" t="s">
        <v>39</v>
      </c>
      <c r="Z184" s="1" t="s">
        <v>394</v>
      </c>
      <c r="AA184" s="1" t="s">
        <v>395</v>
      </c>
      <c r="AB184" s="3">
        <f>SUMIF('Zinszahlungen Anleihen'!K:K,aktuelleAnleihen[[#This Row],[ISIN]],'Zinszahlungen Anleihen'!D:D)</f>
        <v>42</v>
      </c>
      <c r="AE184" s="10"/>
      <c r="AF184" s="1"/>
      <c r="AH184" s="7"/>
      <c r="AJ184" s="1"/>
      <c r="AN184" s="1"/>
      <c r="AQ184" s="1"/>
    </row>
    <row r="185" spans="1:43" x14ac:dyDescent="0.2">
      <c r="A185" s="1" t="s">
        <v>362</v>
      </c>
      <c r="B185" s="1" t="s">
        <v>6</v>
      </c>
      <c r="C185" s="7">
        <v>8.6510000000000004E-2</v>
      </c>
      <c r="D185" s="7">
        <v>1.0119</v>
      </c>
      <c r="E185" s="7">
        <f>aktuelleAnleihen[[#This Row],[Aktueller Kurs]]-aktuelleAnleihen[[#This Row],[Kaufkurs]]</f>
        <v>0</v>
      </c>
      <c r="F185" s="8">
        <f>aktuelleAnleihen[[#This Row],[Stückelung]]*aktuelleAnleihen[[#This Row],[Aktueller Kurs]]*aktuelleAnleihen[[#This Row],[Anteile]]/aktuelleAnleihen[[#This Row],[Aktueller Wechselkurs]]+aktuelleAnleihen[[#This Row],[Stückzinsen]]</f>
        <v>2034.7026301369863</v>
      </c>
      <c r="G185" s="8">
        <f>aktuelleAnleihen[[#This Row],[Kursdifferenz]]*aktuelleAnleihen[[#This Row],[Anteile]]*aktuelleAnleihen[[#This Row],[Stückelung]]/aktuelleAnleihen[[#This Row],[Wechselkurs am Kauftag]]</f>
        <v>0</v>
      </c>
      <c r="H185" s="8">
        <f>aktuelleAnleihen[[#This Row],[Stückzinsen]]-aktuelleAnleihen[[#This Row],[Stückzinsen am Kauftag]]+aktuelleAnleihen[[#This Row],[Zinszahlungen]]</f>
        <v>31.404330136986303</v>
      </c>
      <c r="I185" s="8">
        <f>aktuelleAnleihen[[#This Row],[Gewinn gesamt]]-aktuelleAnleihen[[#This Row],[Gewinn aus Kursänderung]]-aktuelleAnleihen[[#This Row],[Gewinn aus Zinsen]]</f>
        <v>-6.3948846218409017E-14</v>
      </c>
      <c r="J185" s="7">
        <f>aktuelleAnleihen[[#This Row],[Gewinn gesamt]]/aktuelleAnleihen[[#This Row],[Kaufpreis]]</f>
        <v>1.5344985218311314E-2</v>
      </c>
      <c r="K185" s="3">
        <f>aktuelleAnleihen[[#This Row],[Verkaufspreis]]-aktuelleAnleihen[[#This Row],[Kaufpreis]]+aktuelleAnleihen[[#This Row],[Zinszahlungen]]</f>
        <v>31.404330136986239</v>
      </c>
      <c r="L185" s="4">
        <v>2046.5533</v>
      </c>
      <c r="M185" s="7">
        <v>1.0119</v>
      </c>
      <c r="N185" s="61">
        <v>1</v>
      </c>
      <c r="O185" s="1">
        <v>1</v>
      </c>
      <c r="P185" s="1" t="s">
        <v>925</v>
      </c>
      <c r="Q185" s="30">
        <v>45385</v>
      </c>
      <c r="R185" s="1">
        <v>2</v>
      </c>
      <c r="S185" s="1">
        <v>1000</v>
      </c>
      <c r="T185" s="9">
        <v>45427</v>
      </c>
      <c r="U185" s="1">
        <v>4</v>
      </c>
      <c r="V185" s="62">
        <f>aktuelleAnleihen[[#This Row],[Stückelung]]*aktuelleAnleihen[[#This Row],[Anteile]]*aktuelleAnleihen[[#This Row],[Coupon]]/aktuelleAnleihen[[#This Row],[Aktueller Wechselkurs]]*($AC$1-aktuelleAnleihen[[#This Row],[Letzte Zinszahlung]])/365</f>
        <v>10.902630136986302</v>
      </c>
      <c r="W185" s="4">
        <v>22.753299999999999</v>
      </c>
      <c r="X185" s="120" t="s">
        <v>56</v>
      </c>
      <c r="Y185" s="120" t="s">
        <v>61</v>
      </c>
      <c r="Z185" s="1" t="s">
        <v>363</v>
      </c>
      <c r="AA185" s="1" t="s">
        <v>364</v>
      </c>
      <c r="AB185" s="3">
        <f>SUMIF('Zinszahlungen Anleihen'!K:K,aktuelleAnleihen[[#This Row],[ISIN]],'Zinszahlungen Anleihen'!D:D)</f>
        <v>43.255000000000003</v>
      </c>
      <c r="AE185" s="10"/>
      <c r="AF185" s="1"/>
      <c r="AH185" s="7"/>
      <c r="AJ185" s="1"/>
      <c r="AN185" s="1"/>
      <c r="AQ185" s="1"/>
    </row>
    <row r="186" spans="1:43" x14ac:dyDescent="0.2">
      <c r="A186" s="1" t="s">
        <v>353</v>
      </c>
      <c r="B186" s="1" t="s">
        <v>8</v>
      </c>
      <c r="C186" s="7">
        <v>8.6899999999999991E-2</v>
      </c>
      <c r="D186" s="7">
        <v>1.0024999999999999</v>
      </c>
      <c r="E186" s="7">
        <f>aktuelleAnleihen[[#This Row],[Aktueller Kurs]]-aktuelleAnleihen[[#This Row],[Kaufkurs]]</f>
        <v>0</v>
      </c>
      <c r="F186" s="8">
        <f>aktuelleAnleihen[[#This Row],[Stückelung]]*aktuelleAnleihen[[#This Row],[Aktueller Kurs]]*aktuelleAnleihen[[#This Row],[Anteile]]/aktuelleAnleihen[[#This Row],[Aktueller Wechselkurs]]+aktuelleAnleihen[[#This Row],[Stückzinsen]]</f>
        <v>2044.9978082191781</v>
      </c>
      <c r="G186" s="8">
        <f>aktuelleAnleihen[[#This Row],[Kursdifferenz]]*aktuelleAnleihen[[#This Row],[Anteile]]*aktuelleAnleihen[[#This Row],[Stückelung]]/aktuelleAnleihen[[#This Row],[Wechselkurs am Kauftag]]</f>
        <v>0</v>
      </c>
      <c r="H186" s="8">
        <f>aktuelleAnleihen[[#This Row],[Stückzinsen]]-aktuelleAnleihen[[#This Row],[Stückzinsen am Kauftag]]+aktuelleAnleihen[[#This Row],[Zinszahlungen]]</f>
        <v>30.950708219178075</v>
      </c>
      <c r="I186" s="8">
        <f>aktuelleAnleihen[[#This Row],[Gewinn gesamt]]-aktuelleAnleihen[[#This Row],[Gewinn aus Kursänderung]]-aktuelleAnleihen[[#This Row],[Gewinn aus Zinsen]]</f>
        <v>0</v>
      </c>
      <c r="J186" s="7">
        <f>aktuelleAnleihen[[#This Row],[Gewinn gesamt]]/aktuelleAnleihen[[#This Row],[Kaufpreis]]</f>
        <v>1.5367420264986886E-2</v>
      </c>
      <c r="K186" s="3">
        <f>aktuelleAnleihen[[#This Row],[Verkaufspreis]]-aktuelleAnleihen[[#This Row],[Kaufpreis]]+aktuelleAnleihen[[#This Row],[Zinszahlungen]]</f>
        <v>30.950708219178068</v>
      </c>
      <c r="L186" s="4">
        <v>2014.0471</v>
      </c>
      <c r="M186" s="7">
        <v>1.0024999999999999</v>
      </c>
      <c r="N186" s="61">
        <v>1</v>
      </c>
      <c r="O186" s="1">
        <v>1</v>
      </c>
      <c r="P186" s="1" t="s">
        <v>925</v>
      </c>
      <c r="Q186" s="30">
        <v>45385</v>
      </c>
      <c r="R186" s="1">
        <v>2</v>
      </c>
      <c r="S186" s="1">
        <v>1000</v>
      </c>
      <c r="T186" s="9">
        <v>45366</v>
      </c>
      <c r="U186" s="1">
        <v>4</v>
      </c>
      <c r="V186" s="62">
        <f>aktuelleAnleihen[[#This Row],[Stückelung]]*aktuelleAnleihen[[#This Row],[Anteile]]*aktuelleAnleihen[[#This Row],[Coupon]]/aktuelleAnleihen[[#This Row],[Aktueller Wechselkurs]]*($AC$1-aktuelleAnleihen[[#This Row],[Letzte Zinszahlung]])/365</f>
        <v>39.997808219178076</v>
      </c>
      <c r="W186" s="4">
        <v>9.0471000000000004</v>
      </c>
      <c r="X186" s="120" t="s">
        <v>65</v>
      </c>
      <c r="Y186" s="120" t="s">
        <v>52</v>
      </c>
      <c r="Z186" s="1" t="s">
        <v>354</v>
      </c>
      <c r="AA186" s="1" t="s">
        <v>355</v>
      </c>
      <c r="AB186" s="3">
        <f>SUMIF('Zinszahlungen Anleihen'!K:K,aktuelleAnleihen[[#This Row],[ISIN]],'Zinszahlungen Anleihen'!D:D)</f>
        <v>0</v>
      </c>
      <c r="AE186" s="10"/>
      <c r="AF186" s="1"/>
      <c r="AH186" s="7"/>
      <c r="AJ186" s="1"/>
      <c r="AN186" s="1"/>
      <c r="AQ186" s="1"/>
    </row>
    <row r="187" spans="1:43" x14ac:dyDescent="0.2">
      <c r="A187" s="1" t="s">
        <v>350</v>
      </c>
      <c r="B187" s="1" t="s">
        <v>0</v>
      </c>
      <c r="C187" s="7">
        <v>8.6999999999999994E-2</v>
      </c>
      <c r="D187" s="7">
        <v>1</v>
      </c>
      <c r="E187" s="7">
        <f>aktuelleAnleihen[[#This Row],[Aktueller Kurs]]-aktuelleAnleihen[[#This Row],[Kaufkurs]]</f>
        <v>0</v>
      </c>
      <c r="F187" s="8">
        <f>aktuelleAnleihen[[#This Row],[Stückelung]]*aktuelleAnleihen[[#This Row],[Aktueller Kurs]]*aktuelleAnleihen[[#This Row],[Anteile]]/aktuelleAnleihen[[#This Row],[Aktueller Wechselkurs]]+aktuelleAnleihen[[#This Row],[Stückzinsen]]</f>
        <v>2079.6109589041098</v>
      </c>
      <c r="G187" s="8">
        <f>aktuelleAnleihen[[#This Row],[Kursdifferenz]]*aktuelleAnleihen[[#This Row],[Anteile]]*aktuelleAnleihen[[#This Row],[Stückelung]]/aktuelleAnleihen[[#This Row],[Wechselkurs am Kauftag]]</f>
        <v>0</v>
      </c>
      <c r="H187" s="8">
        <f>aktuelleAnleihen[[#This Row],[Stückzinsen]]-aktuelleAnleihen[[#This Row],[Stückzinsen am Kauftag]]+aktuelleAnleihen[[#This Row],[Zinszahlungen]]</f>
        <v>30.986258904109597</v>
      </c>
      <c r="I187" s="8">
        <f>aktuelleAnleihen[[#This Row],[Gewinn gesamt]]-aktuelleAnleihen[[#This Row],[Gewinn aus Kursänderung]]-aktuelleAnleihen[[#This Row],[Gewinn aus Zinsen]]</f>
        <v>3.4816594052244909E-13</v>
      </c>
      <c r="J187" s="7">
        <f>aktuelleAnleihen[[#This Row],[Gewinn gesamt]]/aktuelleAnleihen[[#This Row],[Kaufpreis]]</f>
        <v>1.5125395541755378E-2</v>
      </c>
      <c r="K187" s="3">
        <f>aktuelleAnleihen[[#This Row],[Verkaufspreis]]-aktuelleAnleihen[[#This Row],[Kaufpreis]]+aktuelleAnleihen[[#This Row],[Zinszahlungen]]</f>
        <v>30.986258904109945</v>
      </c>
      <c r="L187" s="4">
        <v>2048.6246999999998</v>
      </c>
      <c r="M187" s="7">
        <v>1</v>
      </c>
      <c r="N187" s="61">
        <v>1</v>
      </c>
      <c r="O187" s="1">
        <v>1</v>
      </c>
      <c r="P187" s="1" t="s">
        <v>925</v>
      </c>
      <c r="Q187" s="30">
        <v>45385</v>
      </c>
      <c r="R187" s="1">
        <v>2</v>
      </c>
      <c r="S187" s="1">
        <v>1000</v>
      </c>
      <c r="T187" s="9">
        <v>45283</v>
      </c>
      <c r="U187" s="1">
        <v>1</v>
      </c>
      <c r="V187" s="62">
        <f>aktuelleAnleihen[[#This Row],[Stückelung]]*aktuelleAnleihen[[#This Row],[Anteile]]*aktuelleAnleihen[[#This Row],[Coupon]]/aktuelleAnleihen[[#This Row],[Aktueller Wechselkurs]]*($AC$1-aktuelleAnleihen[[#This Row],[Letzte Zinszahlung]])/365</f>
        <v>79.610958904109594</v>
      </c>
      <c r="W187" s="4">
        <v>48.624699999999997</v>
      </c>
      <c r="X187" s="120" t="s">
        <v>35</v>
      </c>
      <c r="Y187" s="120" t="s">
        <v>81</v>
      </c>
      <c r="Z187" s="1" t="s">
        <v>351</v>
      </c>
      <c r="AA187" s="1" t="s">
        <v>352</v>
      </c>
      <c r="AB187" s="3">
        <f>SUMIF('Zinszahlungen Anleihen'!K:K,aktuelleAnleihen[[#This Row],[ISIN]],'Zinszahlungen Anleihen'!D:D)</f>
        <v>0</v>
      </c>
      <c r="AE187" s="10"/>
      <c r="AF187" s="1"/>
      <c r="AH187" s="7"/>
      <c r="AJ187" s="1"/>
      <c r="AN187" s="1"/>
      <c r="AQ187" s="1"/>
    </row>
    <row r="188" spans="1:43" x14ac:dyDescent="0.2">
      <c r="A188" s="1" t="s">
        <v>262</v>
      </c>
      <c r="B188" s="1" t="s">
        <v>0</v>
      </c>
      <c r="C188" s="7">
        <v>9.5000000000000001E-2</v>
      </c>
      <c r="D188" s="7">
        <v>0.96</v>
      </c>
      <c r="E188" s="7">
        <f>aktuelleAnleihen[[#This Row],[Aktueller Kurs]]-aktuelleAnleihen[[#This Row],[Kaufkurs]]</f>
        <v>0</v>
      </c>
      <c r="F188" s="8">
        <f>aktuelleAnleihen[[#This Row],[Stückelung]]*aktuelleAnleihen[[#This Row],[Aktueller Kurs]]*aktuelleAnleihen[[#This Row],[Anteile]]/aktuelleAnleihen[[#This Row],[Aktueller Wechselkurs]]+aktuelleAnleihen[[#This Row],[Stückzinsen]]</f>
        <v>1958.5205479452054</v>
      </c>
      <c r="G188" s="8">
        <f>aktuelleAnleihen[[#This Row],[Kursdifferenz]]*aktuelleAnleihen[[#This Row],[Anteile]]*aktuelleAnleihen[[#This Row],[Stückelung]]/aktuelleAnleihen[[#This Row],[Wechselkurs am Kauftag]]</f>
        <v>0</v>
      </c>
      <c r="H188" s="8">
        <f>aktuelleAnleihen[[#This Row],[Stückzinsen]]-aktuelleAnleihen[[#This Row],[Stückzinsen am Kauftag]]+aktuelleAnleihen[[#This Row],[Zinszahlungen]]</f>
        <v>33.83564794520548</v>
      </c>
      <c r="I188" s="8">
        <f>aktuelleAnleihen[[#This Row],[Gewinn gesamt]]-aktuelleAnleihen[[#This Row],[Gewinn aus Kursänderung]]-aktuelleAnleihen[[#This Row],[Gewinn aus Zinsen]]</f>
        <v>0</v>
      </c>
      <c r="J188" s="7">
        <f>aktuelleAnleihen[[#This Row],[Gewinn gesamt]]/aktuelleAnleihen[[#This Row],[Kaufpreis]]</f>
        <v>1.7579837585469413E-2</v>
      </c>
      <c r="K188" s="3">
        <f>aktuelleAnleihen[[#This Row],[Verkaufspreis]]-aktuelleAnleihen[[#This Row],[Kaufpreis]]+aktuelleAnleihen[[#This Row],[Zinszahlungen]]</f>
        <v>33.835647945205437</v>
      </c>
      <c r="L188" s="4">
        <v>1924.6849</v>
      </c>
      <c r="M188" s="7">
        <v>0.96</v>
      </c>
      <c r="N188" s="61">
        <v>1</v>
      </c>
      <c r="O188" s="1">
        <v>1</v>
      </c>
      <c r="P188" s="1" t="s">
        <v>925</v>
      </c>
      <c r="Q188" s="30">
        <v>45385</v>
      </c>
      <c r="R188" s="1">
        <v>2</v>
      </c>
      <c r="S188" s="1">
        <v>1000</v>
      </c>
      <c r="T188" s="9">
        <v>45376</v>
      </c>
      <c r="U188" s="1">
        <v>4</v>
      </c>
      <c r="V188" s="62">
        <f>aktuelleAnleihen[[#This Row],[Stückelung]]*aktuelleAnleihen[[#This Row],[Anteile]]*aktuelleAnleihen[[#This Row],[Coupon]]/aktuelleAnleihen[[#This Row],[Aktueller Wechselkurs]]*($AC$1-aktuelleAnleihen[[#This Row],[Letzte Zinszahlung]])/365</f>
        <v>38.520547945205479</v>
      </c>
      <c r="W188" s="4">
        <v>4.6848999999999998</v>
      </c>
      <c r="X188" s="120" t="s">
        <v>122</v>
      </c>
      <c r="Y188" s="120" t="s">
        <v>39</v>
      </c>
      <c r="Z188" s="1" t="s">
        <v>263</v>
      </c>
      <c r="AA188" s="1" t="s">
        <v>264</v>
      </c>
      <c r="AB188" s="3">
        <f>SUMIF('Zinszahlungen Anleihen'!K:K,aktuelleAnleihen[[#This Row],[ISIN]],'Zinszahlungen Anleihen'!D:D)</f>
        <v>0</v>
      </c>
      <c r="AE188" s="10"/>
      <c r="AF188" s="1"/>
      <c r="AH188" s="7"/>
      <c r="AJ188" s="1"/>
      <c r="AN188" s="1"/>
      <c r="AQ188" s="1"/>
    </row>
    <row r="189" spans="1:43" x14ac:dyDescent="0.2">
      <c r="A189" s="1" t="s">
        <v>230</v>
      </c>
      <c r="B189" s="1" t="s">
        <v>7</v>
      </c>
      <c r="C189" s="7">
        <v>0.1</v>
      </c>
      <c r="D189" s="7">
        <v>0.94</v>
      </c>
      <c r="E189" s="7">
        <f>aktuelleAnleihen[[#This Row],[Aktueller Kurs]]-aktuelleAnleihen[[#This Row],[Kaufkurs]]</f>
        <v>0</v>
      </c>
      <c r="F189" s="8">
        <f>aktuelleAnleihen[[#This Row],[Stückelung]]*aktuelleAnleihen[[#This Row],[Aktueller Kurs]]*aktuelleAnleihen[[#This Row],[Anteile]]/aktuelleAnleihen[[#This Row],[Aktueller Wechselkurs]]+aktuelleAnleihen[[#This Row],[Stückzinsen]]</f>
        <v>1884.3835616438357</v>
      </c>
      <c r="G189" s="8">
        <f>aktuelleAnleihen[[#This Row],[Kursdifferenz]]*aktuelleAnleihen[[#This Row],[Anteile]]*aktuelleAnleihen[[#This Row],[Stückelung]]/aktuelleAnleihen[[#This Row],[Wechselkurs am Kauftag]]</f>
        <v>0</v>
      </c>
      <c r="H189" s="8">
        <f>aktuelleAnleihen[[#This Row],[Stückzinsen]]-aktuelleAnleihen[[#This Row],[Stückzinsen am Kauftag]]+aktuelleAnleihen[[#This Row],[Zinszahlungen]]</f>
        <v>35.525094977168955</v>
      </c>
      <c r="I189" s="8">
        <f>aktuelleAnleihen[[#This Row],[Gewinn gesamt]]-aktuelleAnleihen[[#This Row],[Gewinn aus Kursänderung]]-aktuelleAnleihen[[#This Row],[Gewinn aus Zinsen]]</f>
        <v>0</v>
      </c>
      <c r="J189" s="7">
        <f>aktuelleAnleihen[[#This Row],[Gewinn gesamt]]/aktuelleAnleihen[[#This Row],[Kaufpreis]]</f>
        <v>1.8874322466588683E-2</v>
      </c>
      <c r="K189" s="3">
        <f>aktuelleAnleihen[[#This Row],[Verkaufspreis]]-aktuelleAnleihen[[#This Row],[Kaufpreis]]+aktuelleAnleihen[[#This Row],[Zinszahlungen]]</f>
        <v>35.525094977168997</v>
      </c>
      <c r="L189" s="4">
        <v>1882.1918000000001</v>
      </c>
      <c r="M189" s="7">
        <v>0.94</v>
      </c>
      <c r="N189" s="61">
        <v>1</v>
      </c>
      <c r="O189" s="1">
        <v>1</v>
      </c>
      <c r="P189" s="1" t="s">
        <v>925</v>
      </c>
      <c r="Q189" s="30">
        <v>45385</v>
      </c>
      <c r="R189" s="1">
        <v>2</v>
      </c>
      <c r="S189" s="1">
        <v>1000</v>
      </c>
      <c r="T189" s="9">
        <v>45442</v>
      </c>
      <c r="U189" s="1">
        <v>12</v>
      </c>
      <c r="V189" s="62">
        <f>aktuelleAnleihen[[#This Row],[Stückelung]]*aktuelleAnleihen[[#This Row],[Anteile]]*aktuelleAnleihen[[#This Row],[Coupon]]/aktuelleAnleihen[[#This Row],[Aktueller Wechselkurs]]*($AC$1-aktuelleAnleihen[[#This Row],[Letzte Zinszahlung]])/365</f>
        <v>4.3835616438356162</v>
      </c>
      <c r="W189" s="4">
        <v>2.1918000000000002</v>
      </c>
      <c r="X189" s="120" t="s">
        <v>43</v>
      </c>
      <c r="Y189" s="120" t="s">
        <v>39</v>
      </c>
      <c r="Z189" s="1" t="s">
        <v>231</v>
      </c>
      <c r="AA189" s="1" t="s">
        <v>232</v>
      </c>
      <c r="AB189" s="3">
        <f>SUMIF('Zinszahlungen Anleihen'!K:K,aktuelleAnleihen[[#This Row],[ISIN]],'Zinszahlungen Anleihen'!D:D)</f>
        <v>33.333333333333336</v>
      </c>
      <c r="AE189" s="10"/>
      <c r="AF189" s="1"/>
      <c r="AH189" s="7"/>
      <c r="AJ189" s="1"/>
      <c r="AN189" s="1"/>
      <c r="AQ189" s="1"/>
    </row>
    <row r="190" spans="1:43" x14ac:dyDescent="0.2">
      <c r="A190" s="1" t="s">
        <v>197</v>
      </c>
      <c r="B190" s="1" t="s">
        <v>0</v>
      </c>
      <c r="C190" s="7">
        <v>0.10822</v>
      </c>
      <c r="D190" s="7">
        <v>1.0449999999999999</v>
      </c>
      <c r="E190" s="7">
        <f>aktuelleAnleihen[[#This Row],[Aktueller Kurs]]-aktuelleAnleihen[[#This Row],[Kaufkurs]]</f>
        <v>0</v>
      </c>
      <c r="F190" s="8">
        <f>aktuelleAnleihen[[#This Row],[Stückelung]]*aktuelleAnleihen[[#This Row],[Aktueller Kurs]]*aktuelleAnleihen[[#This Row],[Anteile]]/aktuelleAnleihen[[#This Row],[Aktueller Wechselkurs]]+aktuelleAnleihen[[#This Row],[Stückzinsen]]</f>
        <v>2135.6599452054793</v>
      </c>
      <c r="G190" s="8">
        <f>aktuelleAnleihen[[#This Row],[Kursdifferenz]]*aktuelleAnleihen[[#This Row],[Anteile]]*aktuelleAnleihen[[#This Row],[Stückelung]]/aktuelleAnleihen[[#This Row],[Wechselkurs am Kauftag]]</f>
        <v>0</v>
      </c>
      <c r="H190" s="8">
        <f>aktuelleAnleihen[[#This Row],[Stückzinsen]]-aktuelleAnleihen[[#This Row],[Stückzinsen am Kauftag]]+aktuelleAnleihen[[#This Row],[Zinszahlungen]]</f>
        <v>38.544145205479452</v>
      </c>
      <c r="I190" s="8">
        <f>aktuelleAnleihen[[#This Row],[Gewinn gesamt]]-aktuelleAnleihen[[#This Row],[Gewinn aus Kursänderung]]-aktuelleAnleihen[[#This Row],[Gewinn aus Zinsen]]</f>
        <v>-1.9895196601282805E-13</v>
      </c>
      <c r="J190" s="7">
        <f>aktuelleAnleihen[[#This Row],[Gewinn gesamt]]/aktuelleAnleihen[[#This Row],[Kaufpreis]]</f>
        <v>1.8379597924673141E-2</v>
      </c>
      <c r="K190" s="3">
        <f>aktuelleAnleihen[[#This Row],[Verkaufspreis]]-aktuelleAnleihen[[#This Row],[Kaufpreis]]+aktuelleAnleihen[[#This Row],[Zinszahlungen]]</f>
        <v>38.544145205479253</v>
      </c>
      <c r="L190" s="4">
        <v>2097.1158</v>
      </c>
      <c r="M190" s="7">
        <v>1.0449999999999999</v>
      </c>
      <c r="N190" s="61">
        <v>1</v>
      </c>
      <c r="O190" s="1">
        <v>1</v>
      </c>
      <c r="P190" s="1" t="s">
        <v>925</v>
      </c>
      <c r="Q190" s="30">
        <v>45385</v>
      </c>
      <c r="R190" s="1">
        <v>2</v>
      </c>
      <c r="S190" s="1">
        <v>1000</v>
      </c>
      <c r="T190" s="9">
        <v>45373</v>
      </c>
      <c r="U190" s="1">
        <v>4</v>
      </c>
      <c r="V190" s="62">
        <f>aktuelleAnleihen[[#This Row],[Stückelung]]*aktuelleAnleihen[[#This Row],[Anteile]]*aktuelleAnleihen[[#This Row],[Coupon]]/aktuelleAnleihen[[#This Row],[Aktueller Wechselkurs]]*($AC$1-aktuelleAnleihen[[#This Row],[Letzte Zinszahlung]])/365</f>
        <v>45.659945205479453</v>
      </c>
      <c r="W190" s="4">
        <v>7.1158000000000001</v>
      </c>
      <c r="X190" s="120" t="s">
        <v>78</v>
      </c>
      <c r="Y190" s="120" t="s">
        <v>39</v>
      </c>
      <c r="Z190" s="1" t="s">
        <v>198</v>
      </c>
      <c r="AA190" s="1" t="s">
        <v>199</v>
      </c>
      <c r="AB190" s="3">
        <f>SUMIF('Zinszahlungen Anleihen'!K:K,aktuelleAnleihen[[#This Row],[ISIN]],'Zinszahlungen Anleihen'!D:D)</f>
        <v>0</v>
      </c>
      <c r="AE190" s="10"/>
      <c r="AF190" s="1"/>
      <c r="AH190" s="7"/>
      <c r="AJ190" s="1"/>
      <c r="AN190" s="1"/>
      <c r="AQ190" s="1"/>
    </row>
    <row r="191" spans="1:43" x14ac:dyDescent="0.2">
      <c r="A191" s="1" t="s">
        <v>172</v>
      </c>
      <c r="B191" s="1" t="s">
        <v>0</v>
      </c>
      <c r="C191" s="7">
        <v>0.14000000000000001</v>
      </c>
      <c r="D191" s="7">
        <v>1.02</v>
      </c>
      <c r="E191" s="7">
        <f>aktuelleAnleihen[[#This Row],[Aktueller Kurs]]-aktuelleAnleihen[[#This Row],[Kaufkurs]]</f>
        <v>0</v>
      </c>
      <c r="F191" s="8">
        <f>aktuelleAnleihen[[#This Row],[Stückelung]]*aktuelleAnleihen[[#This Row],[Aktueller Kurs]]*aktuelleAnleihen[[#This Row],[Anteile]]/aktuelleAnleihen[[#This Row],[Aktueller Wechselkurs]]+aktuelleAnleihen[[#This Row],[Stückzinsen]]</f>
        <v>2091.3972602739727</v>
      </c>
      <c r="G191" s="8">
        <f>aktuelleAnleihen[[#This Row],[Kursdifferenz]]*aktuelleAnleihen[[#This Row],[Anteile]]*aktuelleAnleihen[[#This Row],[Stückelung]]/aktuelleAnleihen[[#This Row],[Wechselkurs am Kauftag]]</f>
        <v>0</v>
      </c>
      <c r="H191" s="8">
        <f>aktuelleAnleihen[[#This Row],[Stückzinsen]]-aktuelleAnleihen[[#This Row],[Stückzinsen am Kauftag]]+aktuelleAnleihen[[#This Row],[Zinszahlungen]]</f>
        <v>49.863060273972607</v>
      </c>
      <c r="I191" s="8">
        <f>aktuelleAnleihen[[#This Row],[Gewinn gesamt]]-aktuelleAnleihen[[#This Row],[Gewinn aus Kursänderung]]-aktuelleAnleihen[[#This Row],[Gewinn aus Zinsen]]</f>
        <v>7.1054273576010019E-14</v>
      </c>
      <c r="J191" s="7">
        <f>aktuelleAnleihen[[#This Row],[Gewinn gesamt]]/aktuelleAnleihen[[#This Row],[Kaufpreis]]</f>
        <v>2.4424308088482023E-2</v>
      </c>
      <c r="K191" s="3">
        <f>aktuelleAnleihen[[#This Row],[Verkaufspreis]]-aktuelleAnleihen[[#This Row],[Kaufpreis]]+aktuelleAnleihen[[#This Row],[Zinszahlungen]]</f>
        <v>49.863060273972678</v>
      </c>
      <c r="L191" s="4">
        <v>2041.5342000000001</v>
      </c>
      <c r="M191" s="7">
        <v>1.02</v>
      </c>
      <c r="N191" s="61">
        <v>1</v>
      </c>
      <c r="O191" s="1">
        <v>1</v>
      </c>
      <c r="P191" s="1" t="s">
        <v>925</v>
      </c>
      <c r="Q191" s="30">
        <v>45385</v>
      </c>
      <c r="R191" s="1">
        <v>2</v>
      </c>
      <c r="S191" s="1">
        <v>1000</v>
      </c>
      <c r="T191" s="9">
        <v>45383</v>
      </c>
      <c r="U191" s="1">
        <v>4</v>
      </c>
      <c r="V191" s="62">
        <f>aktuelleAnleihen[[#This Row],[Stückelung]]*aktuelleAnleihen[[#This Row],[Anteile]]*aktuelleAnleihen[[#This Row],[Coupon]]/aktuelleAnleihen[[#This Row],[Aktueller Wechselkurs]]*($AC$1-aktuelleAnleihen[[#This Row],[Letzte Zinszahlung]])/365</f>
        <v>51.397260273972606</v>
      </c>
      <c r="W191" s="4">
        <v>1.5342</v>
      </c>
      <c r="X191" s="120" t="s">
        <v>65</v>
      </c>
      <c r="Y191" s="120" t="s">
        <v>39</v>
      </c>
      <c r="Z191" s="1" t="s">
        <v>173</v>
      </c>
      <c r="AA191" s="1" t="s">
        <v>174</v>
      </c>
      <c r="AB191" s="3">
        <f>SUMIF('Zinszahlungen Anleihen'!K:K,aktuelleAnleihen[[#This Row],[ISIN]],'Zinszahlungen Anleihen'!D:D)</f>
        <v>0</v>
      </c>
      <c r="AE191" s="10"/>
      <c r="AF191" s="1"/>
      <c r="AH191" s="7"/>
      <c r="AJ191" s="1"/>
      <c r="AN191" s="1"/>
      <c r="AQ191" s="1"/>
    </row>
    <row r="192" spans="1:43" x14ac:dyDescent="0.2">
      <c r="A192" s="1" t="s">
        <v>972</v>
      </c>
      <c r="B192" s="1" t="s">
        <v>0</v>
      </c>
      <c r="C192" s="7">
        <v>6.8750000000000006E-2</v>
      </c>
      <c r="D192" s="7">
        <v>0.22</v>
      </c>
      <c r="E192" s="7">
        <f>aktuelleAnleihen[[#This Row],[Aktueller Kurs]]-aktuelleAnleihen[[#This Row],[Kaufkurs]]</f>
        <v>0</v>
      </c>
      <c r="F192" s="8">
        <f>aktuelleAnleihen[[#This Row],[Stückelung]]*aktuelleAnleihen[[#This Row],[Aktueller Kurs]]*aktuelleAnleihen[[#This Row],[Anteile]]/aktuelleAnleihen[[#This Row],[Aktueller Wechselkurs]]+aktuelleAnleihen[[#This Row],[Stückzinsen]]</f>
        <v>487.84246575342468</v>
      </c>
      <c r="G192" s="8">
        <f>aktuelleAnleihen[[#This Row],[Kursdifferenz]]*aktuelleAnleihen[[#This Row],[Anteile]]*aktuelleAnleihen[[#This Row],[Stückelung]]/aktuelleAnleihen[[#This Row],[Wechselkurs am Kauftag]]</f>
        <v>0</v>
      </c>
      <c r="H192" s="8">
        <f>aktuelleAnleihen[[#This Row],[Stückzinsen]]-aktuelleAnleihen[[#This Row],[Stückzinsen am Kauftag]]+aktuelleAnleihen[[#This Row],[Zinszahlungen]]</f>
        <v>16.575365753424656</v>
      </c>
      <c r="I192" s="8">
        <f>aktuelleAnleihen[[#This Row],[Gewinn gesamt]]-aktuelleAnleihen[[#This Row],[Gewinn aus Kursänderung]]-aktuelleAnleihen[[#This Row],[Gewinn aus Zinsen]]</f>
        <v>0</v>
      </c>
      <c r="J192" s="7">
        <f>aktuelleAnleihen[[#This Row],[Gewinn gesamt]]/aktuelleAnleihen[[#This Row],[Kaufpreis]]</f>
        <v>3.5171913663026015E-2</v>
      </c>
      <c r="K192" s="3">
        <f>aktuelleAnleihen[[#This Row],[Verkaufspreis]]-aktuelleAnleihen[[#This Row],[Kaufpreis]]+aktuelleAnleihen[[#This Row],[Zinszahlungen]]</f>
        <v>16.575365753424649</v>
      </c>
      <c r="L192" s="4">
        <v>471.26710000000003</v>
      </c>
      <c r="M192" s="7">
        <v>0.22</v>
      </c>
      <c r="N192" s="61">
        <v>1</v>
      </c>
      <c r="O192" s="1">
        <v>1</v>
      </c>
      <c r="P192" s="1" t="s">
        <v>925</v>
      </c>
      <c r="Q192" s="30">
        <v>45406</v>
      </c>
      <c r="R192" s="1">
        <v>2000</v>
      </c>
      <c r="S192" s="1">
        <v>1</v>
      </c>
      <c r="T192" s="9">
        <v>45323</v>
      </c>
      <c r="U192" s="1">
        <v>2</v>
      </c>
      <c r="V192" s="62">
        <f>aktuelleAnleihen[[#This Row],[Stückelung]]*aktuelleAnleihen[[#This Row],[Anteile]]*aktuelleAnleihen[[#This Row],[Coupon]]/aktuelleAnleihen[[#This Row],[Aktueller Wechselkurs]]*($AC$1-aktuelleAnleihen[[#This Row],[Letzte Zinszahlung]])/365</f>
        <v>47.842465753424655</v>
      </c>
      <c r="W192" s="4">
        <v>31.267099999999999</v>
      </c>
      <c r="X192" s="120" t="s">
        <v>51</v>
      </c>
      <c r="Y192" s="120" t="s">
        <v>216</v>
      </c>
      <c r="Z192" s="1" t="s">
        <v>973</v>
      </c>
      <c r="AA192" s="1" t="s">
        <v>974</v>
      </c>
      <c r="AB192" s="3">
        <f>SUMIF('Zinszahlungen Anleihen'!K:K,aktuelleAnleihen[[#This Row],[ISIN]],'Zinszahlungen Anleihen'!D:D)</f>
        <v>0</v>
      </c>
      <c r="AE192" s="10"/>
      <c r="AF192" s="1"/>
      <c r="AH192" s="7"/>
      <c r="AJ192" s="1"/>
      <c r="AN192" s="1"/>
      <c r="AQ192" s="1"/>
    </row>
    <row r="193" spans="1:43" x14ac:dyDescent="0.2">
      <c r="A193" s="1" t="s">
        <v>913</v>
      </c>
      <c r="B193" s="1" t="s">
        <v>0</v>
      </c>
      <c r="C193" s="7">
        <v>0.125</v>
      </c>
      <c r="D193" s="7">
        <v>0.98</v>
      </c>
      <c r="E193" s="7">
        <f>aktuelleAnleihen[[#This Row],[Aktueller Kurs]]-aktuelleAnleihen[[#This Row],[Kaufkurs]]</f>
        <v>0</v>
      </c>
      <c r="F193" s="8">
        <f>aktuelleAnleihen[[#This Row],[Stückelung]]*aktuelleAnleihen[[#This Row],[Aktueller Kurs]]*aktuelleAnleihen[[#This Row],[Anteile]]/aktuelleAnleihen[[#This Row],[Aktueller Wechselkurs]]+aktuelleAnleihen[[#This Row],[Stückzinsen]]</f>
        <v>2033.972602739726</v>
      </c>
      <c r="G193" s="8">
        <f>aktuelleAnleihen[[#This Row],[Kursdifferenz]]*aktuelleAnleihen[[#This Row],[Anteile]]*aktuelleAnleihen[[#This Row],[Stückelung]]/aktuelleAnleihen[[#This Row],[Wechselkurs am Kauftag]]</f>
        <v>0</v>
      </c>
      <c r="H193" s="8">
        <f>aktuelleAnleihen[[#This Row],[Stückzinsen]]-aktuelleAnleihen[[#This Row],[Stückzinsen am Kauftag]]+aktuelleAnleihen[[#This Row],[Zinszahlungen]]</f>
        <v>30.137002739726029</v>
      </c>
      <c r="I193" s="8">
        <f>aktuelleAnleihen[[#This Row],[Gewinn gesamt]]-aktuelleAnleihen[[#This Row],[Gewinn aus Kursänderung]]-aktuelleAnleihen[[#This Row],[Gewinn aus Zinsen]]</f>
        <v>-1.7053025658242404E-13</v>
      </c>
      <c r="J193" s="7">
        <f>aktuelleAnleihen[[#This Row],[Gewinn gesamt]]/aktuelleAnleihen[[#This Row],[Kaufpreis]]</f>
        <v>1.5039658313149969E-2</v>
      </c>
      <c r="K193" s="3">
        <f>aktuelleAnleihen[[#This Row],[Verkaufspreis]]-aktuelleAnleihen[[#This Row],[Kaufpreis]]+aktuelleAnleihen[[#This Row],[Zinszahlungen]]</f>
        <v>30.137002739725858</v>
      </c>
      <c r="L193" s="4">
        <v>2003.8356000000001</v>
      </c>
      <c r="M193" s="7">
        <v>0.98</v>
      </c>
      <c r="N193" s="61">
        <v>1</v>
      </c>
      <c r="O193" s="1">
        <v>1</v>
      </c>
      <c r="P193" s="1" t="s">
        <v>925</v>
      </c>
      <c r="Q193" s="30">
        <v>45406</v>
      </c>
      <c r="R193" s="1">
        <v>2</v>
      </c>
      <c r="S193" s="1">
        <v>1000</v>
      </c>
      <c r="T193" s="9">
        <v>45342</v>
      </c>
      <c r="U193" s="1">
        <v>2</v>
      </c>
      <c r="V193" s="62">
        <f>aktuelleAnleihen[[#This Row],[Stückelung]]*aktuelleAnleihen[[#This Row],[Anteile]]*aktuelleAnleihen[[#This Row],[Coupon]]/aktuelleAnleihen[[#This Row],[Aktueller Wechselkurs]]*($AC$1-aktuelleAnleihen[[#This Row],[Letzte Zinszahlung]])/365</f>
        <v>73.972602739726028</v>
      </c>
      <c r="W193" s="4">
        <v>43.835599999999999</v>
      </c>
      <c r="X193" s="120" t="s">
        <v>35</v>
      </c>
      <c r="Y193" s="120" t="s">
        <v>39</v>
      </c>
      <c r="Z193" s="1" t="s">
        <v>69</v>
      </c>
      <c r="AA193" s="1" t="s">
        <v>70</v>
      </c>
      <c r="AB193" s="3">
        <f>SUMIF('Zinszahlungen Anleihen'!K:K,aktuelleAnleihen[[#This Row],[ISIN]],'Zinszahlungen Anleihen'!D:D)</f>
        <v>0</v>
      </c>
      <c r="AE193" s="10"/>
      <c r="AF193" s="1"/>
      <c r="AH193" s="7"/>
      <c r="AJ193" s="1"/>
      <c r="AN193" s="1"/>
      <c r="AQ193" s="1"/>
    </row>
    <row r="194" spans="1:43" x14ac:dyDescent="0.2">
      <c r="A194" s="1" t="s">
        <v>1693</v>
      </c>
      <c r="B194" s="1" t="s">
        <v>11</v>
      </c>
      <c r="C194" s="7">
        <v>8.1000000000000003E-2</v>
      </c>
      <c r="D194" s="7">
        <v>0.75</v>
      </c>
      <c r="E194" s="7">
        <f>aktuelleAnleihen[[#This Row],[Aktueller Kurs]]-aktuelleAnleihen[[#This Row],[Kaufkurs]]</f>
        <v>0</v>
      </c>
      <c r="F194" s="8">
        <f>aktuelleAnleihen[[#This Row],[Stückelung]]*aktuelleAnleihen[[#This Row],[Aktueller Kurs]]*aktuelleAnleihen[[#This Row],[Anteile]]/aktuelleAnleihen[[#This Row],[Aktueller Wechselkurs]]+aktuelleAnleihen[[#This Row],[Stückzinsen]]</f>
        <v>1426.1870112685729</v>
      </c>
      <c r="G194" s="8">
        <f>aktuelleAnleihen[[#This Row],[Kursdifferenz]]*aktuelleAnleihen[[#This Row],[Anteile]]*aktuelleAnleihen[[#This Row],[Stückelung]]/aktuelleAnleihen[[#This Row],[Wechselkurs am Kauftag]]</f>
        <v>0</v>
      </c>
      <c r="H194" s="8">
        <f>aktuelleAnleihen[[#This Row],[Stückzinsen]]-aktuelleAnleihen[[#This Row],[Stückzinsen am Kauftag]]+aktuelleAnleihen[[#This Row],[Zinszahlungen]]</f>
        <v>14.962415308605948</v>
      </c>
      <c r="I194" s="8">
        <f>aktuelleAnleihen[[#This Row],[Gewinn gesamt]]-aktuelleAnleihen[[#This Row],[Gewinn aus Kursänderung]]-aktuelleAnleihen[[#This Row],[Gewinn aus Zinsen]]</f>
        <v>-21.578304040032997</v>
      </c>
      <c r="J194" s="7">
        <f>aktuelleAnleihen[[#This Row],[Gewinn gesamt]]/aktuelleAnleihen[[#This Row],[Kaufpreis]]</f>
        <v>-4.6174451010861641E-3</v>
      </c>
      <c r="K194" s="3">
        <f>aktuelleAnleihen[[#This Row],[Verkaufspreis]]-aktuelleAnleihen[[#This Row],[Kaufpreis]]+aktuelleAnleihen[[#This Row],[Zinszahlungen]]</f>
        <v>-6.6158887314270487</v>
      </c>
      <c r="L194" s="4">
        <v>1432.8028999999999</v>
      </c>
      <c r="M194" s="7">
        <v>0.75</v>
      </c>
      <c r="N194" s="61">
        <v>1.0723</v>
      </c>
      <c r="O194" s="1">
        <v>1.0891</v>
      </c>
      <c r="P194" s="1" t="s">
        <v>887</v>
      </c>
      <c r="Q194" s="30">
        <v>45412</v>
      </c>
      <c r="R194" s="1">
        <v>2000</v>
      </c>
      <c r="S194" s="1">
        <v>1</v>
      </c>
      <c r="T194" s="9">
        <v>45330</v>
      </c>
      <c r="U194" s="1">
        <v>2</v>
      </c>
      <c r="V194" s="62">
        <f>aktuelleAnleihen[[#This Row],[Stückelung]]*aktuelleAnleihen[[#This Row],[Anteile]]*aktuelleAnleihen[[#This Row],[Coupon]]/aktuelleAnleihen[[#This Row],[Aktueller Wechselkurs]]*($AC$1-aktuelleAnleihen[[#This Row],[Letzte Zinszahlung]])/365</f>
        <v>48.903015308605951</v>
      </c>
      <c r="W194" s="4">
        <v>33.940600000000003</v>
      </c>
      <c r="X194" s="120" t="s">
        <v>1105</v>
      </c>
      <c r="Y194" s="120" t="s">
        <v>39</v>
      </c>
      <c r="Z194" s="1" t="s">
        <v>1694</v>
      </c>
      <c r="AA194" s="1" t="s">
        <v>1695</v>
      </c>
      <c r="AB194" s="3">
        <f>SUMIF('Zinszahlungen Anleihen'!K:K,aktuelleAnleihen[[#This Row],[ISIN]],'Zinszahlungen Anleihen'!D:D)</f>
        <v>0</v>
      </c>
      <c r="AE194" s="10"/>
      <c r="AF194" s="1"/>
      <c r="AH194" s="7"/>
      <c r="AJ194" s="1"/>
      <c r="AN194" s="1"/>
      <c r="AQ194" s="1"/>
    </row>
    <row r="195" spans="1:43" x14ac:dyDescent="0.2">
      <c r="A195" s="1" t="s">
        <v>1638</v>
      </c>
      <c r="B195" s="1" t="s">
        <v>8</v>
      </c>
      <c r="C195" s="7">
        <v>8.2500000000000004E-2</v>
      </c>
      <c r="D195" s="7">
        <v>0.38049999999999989</v>
      </c>
      <c r="E195" s="7">
        <f>aktuelleAnleihen[[#This Row],[Aktueller Kurs]]-aktuelleAnleihen[[#This Row],[Kaufkurs]]</f>
        <v>0</v>
      </c>
      <c r="F195" s="8">
        <f>aktuelleAnleihen[[#This Row],[Stückelung]]*aktuelleAnleihen[[#This Row],[Aktueller Kurs]]*aktuelleAnleihen[[#This Row],[Anteile]]/aktuelleAnleihen[[#This Row],[Aktueller Wechselkurs]]+aktuelleAnleihen[[#This Row],[Stückzinsen]]</f>
        <v>748.13563543103942</v>
      </c>
      <c r="G195" s="8">
        <f>aktuelleAnleihen[[#This Row],[Kursdifferenz]]*aktuelleAnleihen[[#This Row],[Anteile]]*aktuelleAnleihen[[#This Row],[Stückelung]]/aktuelleAnleihen[[#This Row],[Wechselkurs am Kauftag]]</f>
        <v>0</v>
      </c>
      <c r="H195" s="8">
        <f>aktuelleAnleihen[[#This Row],[Stückzinsen]]-aktuelleAnleihen[[#This Row],[Stückzinsen am Kauftag]]+aktuelleAnleihen[[#This Row],[Zinszahlungen]]</f>
        <v>15.245954814016351</v>
      </c>
      <c r="I195" s="8">
        <f>aktuelleAnleihen[[#This Row],[Gewinn gesamt]]-aktuelleAnleihen[[#This Row],[Gewinn aus Kursänderung]]-aktuelleAnleihen[[#This Row],[Gewinn aus Zinsen]]</f>
        <v>-10.947319382976922</v>
      </c>
      <c r="J195" s="7">
        <f>aktuelleAnleihen[[#This Row],[Gewinn gesamt]]/aktuelleAnleihen[[#This Row],[Kaufpreis]]</f>
        <v>5.7790018929408313E-3</v>
      </c>
      <c r="K195" s="3">
        <f>aktuelleAnleihen[[#This Row],[Verkaufspreis]]-aktuelleAnleihen[[#This Row],[Kaufpreis]]+aktuelleAnleihen[[#This Row],[Zinszahlungen]]</f>
        <v>4.298635431039429</v>
      </c>
      <c r="L195" s="4">
        <v>743.83699999999999</v>
      </c>
      <c r="M195" s="7">
        <v>0.38049999999999989</v>
      </c>
      <c r="N195" s="61">
        <v>1.0723</v>
      </c>
      <c r="O195" s="1">
        <v>1.0891</v>
      </c>
      <c r="P195" s="1" t="s">
        <v>887</v>
      </c>
      <c r="Q195" s="30">
        <v>45412</v>
      </c>
      <c r="R195" s="1">
        <v>2</v>
      </c>
      <c r="S195" s="1">
        <v>1000</v>
      </c>
      <c r="T195" s="9">
        <v>45331</v>
      </c>
      <c r="U195" s="1">
        <v>2</v>
      </c>
      <c r="V195" s="62">
        <f>aktuelleAnleihen[[#This Row],[Stückelung]]*aktuelleAnleihen[[#This Row],[Anteile]]*aktuelleAnleihen[[#This Row],[Coupon]]/aktuelleAnleihen[[#This Row],[Aktueller Wechselkurs]]*($AC$1-aktuelleAnleihen[[#This Row],[Letzte Zinszahlung]])/365</f>
        <v>49.393554814016348</v>
      </c>
      <c r="W195" s="4">
        <v>34.147599999999997</v>
      </c>
      <c r="X195" s="120" t="s">
        <v>1020</v>
      </c>
      <c r="Y195" s="120" t="s">
        <v>52</v>
      </c>
      <c r="Z195" s="1" t="s">
        <v>1639</v>
      </c>
      <c r="AA195" s="1" t="s">
        <v>1640</v>
      </c>
      <c r="AB195" s="3">
        <f>SUMIF('Zinszahlungen Anleihen'!K:K,aktuelleAnleihen[[#This Row],[ISIN]],'Zinszahlungen Anleihen'!D:D)</f>
        <v>0</v>
      </c>
      <c r="AE195" s="10"/>
      <c r="AF195" s="1"/>
      <c r="AH195" s="7"/>
      <c r="AJ195" s="1"/>
      <c r="AN195" s="1"/>
      <c r="AQ195" s="1"/>
    </row>
    <row r="196" spans="1:43" x14ac:dyDescent="0.2">
      <c r="A196" s="1" t="s">
        <v>1635</v>
      </c>
      <c r="B196" s="1" t="s">
        <v>7</v>
      </c>
      <c r="C196" s="7">
        <v>8.2500000000000004E-2</v>
      </c>
      <c r="D196" s="7">
        <v>0.99839999999999995</v>
      </c>
      <c r="E196" s="7">
        <f>aktuelleAnleihen[[#This Row],[Aktueller Kurs]]-aktuelleAnleihen[[#This Row],[Kaufkurs]]</f>
        <v>0</v>
      </c>
      <c r="F196" s="8">
        <f>aktuelleAnleihen[[#This Row],[Stückelung]]*aktuelleAnleihen[[#This Row],[Aktueller Kurs]]*aktuelleAnleihen[[#This Row],[Anteile]]/aktuelleAnleihen[[#This Row],[Aktueller Wechselkurs]]+aktuelleAnleihen[[#This Row],[Stückzinsen]]</f>
        <v>1852.5337623248049</v>
      </c>
      <c r="G196" s="8">
        <f>aktuelleAnleihen[[#This Row],[Kursdifferenz]]*aktuelleAnleihen[[#This Row],[Anteile]]*aktuelleAnleihen[[#This Row],[Stückelung]]/aktuelleAnleihen[[#This Row],[Wechselkurs am Kauftag]]</f>
        <v>0</v>
      </c>
      <c r="H196" s="8">
        <f>aktuelleAnleihen[[#This Row],[Stückzinsen]]-aktuelleAnleihen[[#This Row],[Stückzinsen am Kauftag]]+aktuelleAnleihen[[#This Row],[Zinszahlungen]]</f>
        <v>15.720706902897076</v>
      </c>
      <c r="I196" s="8">
        <f>aktuelleAnleihen[[#This Row],[Gewinn gesamt]]-aktuelleAnleihen[[#This Row],[Gewinn aus Kursänderung]]-aktuelleAnleihen[[#This Row],[Gewinn aus Zinsen]]</f>
        <v>-28.724944578092177</v>
      </c>
      <c r="J196" s="7">
        <f>aktuelleAnleihen[[#This Row],[Gewinn gesamt]]/aktuelleAnleihen[[#This Row],[Kaufpreis]]</f>
        <v>-6.9707707241530859E-3</v>
      </c>
      <c r="K196" s="3">
        <f>aktuelleAnleihen[[#This Row],[Verkaufspreis]]-aktuelleAnleihen[[#This Row],[Kaufpreis]]+aktuelleAnleihen[[#This Row],[Zinszahlungen]]</f>
        <v>-13.0042376751951</v>
      </c>
      <c r="L196" s="4">
        <v>1865.538</v>
      </c>
      <c r="M196" s="7">
        <v>0.99839999999999995</v>
      </c>
      <c r="N196" s="61">
        <v>1.0723</v>
      </c>
      <c r="O196" s="1">
        <v>1.0891</v>
      </c>
      <c r="P196" s="1" t="s">
        <v>887</v>
      </c>
      <c r="Q196" s="30">
        <v>45412</v>
      </c>
      <c r="R196" s="1">
        <v>2</v>
      </c>
      <c r="S196" s="1">
        <v>1000</v>
      </c>
      <c r="T196" s="9">
        <v>45404</v>
      </c>
      <c r="U196" s="1">
        <v>2</v>
      </c>
      <c r="V196" s="62">
        <f>aktuelleAnleihen[[#This Row],[Stückelung]]*aktuelleAnleihen[[#This Row],[Anteile]]*aktuelleAnleihen[[#This Row],[Coupon]]/aktuelleAnleihen[[#This Row],[Aktueller Wechselkurs]]*($AC$1-aktuelleAnleihen[[#This Row],[Letzte Zinszahlung]])/365</f>
        <v>19.093306902897076</v>
      </c>
      <c r="W196" s="4">
        <v>3.3725999999999998</v>
      </c>
      <c r="X196" s="120" t="s">
        <v>567</v>
      </c>
      <c r="Y196" s="120" t="s">
        <v>52</v>
      </c>
      <c r="Z196" s="1" t="s">
        <v>1636</v>
      </c>
      <c r="AA196" s="1" t="s">
        <v>1637</v>
      </c>
      <c r="AB196" s="3">
        <f>SUMIF('Zinszahlungen Anleihen'!K:K,aktuelleAnleihen[[#This Row],[ISIN]],'Zinszahlungen Anleihen'!D:D)</f>
        <v>0</v>
      </c>
      <c r="AE196" s="10"/>
      <c r="AF196" s="1"/>
      <c r="AH196" s="7"/>
      <c r="AJ196" s="1"/>
      <c r="AN196" s="1"/>
      <c r="AQ196" s="1"/>
    </row>
    <row r="197" spans="1:43" x14ac:dyDescent="0.2">
      <c r="A197" s="1" t="s">
        <v>1403</v>
      </c>
      <c r="B197" s="1" t="s">
        <v>8</v>
      </c>
      <c r="C197" s="7">
        <v>8.7499999999999994E-2</v>
      </c>
      <c r="D197" s="7">
        <v>0.95320000000000005</v>
      </c>
      <c r="E197" s="7">
        <f>aktuelleAnleihen[[#This Row],[Aktueller Kurs]]-aktuelleAnleihen[[#This Row],[Kaufkurs]]</f>
        <v>0</v>
      </c>
      <c r="F197" s="8">
        <f>aktuelleAnleihen[[#This Row],[Stückelung]]*aktuelleAnleihen[[#This Row],[Aktueller Kurs]]*aktuelleAnleihen[[#This Row],[Anteile]]/aktuelleAnleihen[[#This Row],[Aktueller Wechselkurs]]+aktuelleAnleihen[[#This Row],[Stückzinsen]]</f>
        <v>1807.2255211353349</v>
      </c>
      <c r="G197" s="8">
        <f>aktuelleAnleihen[[#This Row],[Kursdifferenz]]*aktuelleAnleihen[[#This Row],[Anteile]]*aktuelleAnleihen[[#This Row],[Stückelung]]/aktuelleAnleihen[[#This Row],[Wechselkurs am Kauftag]]</f>
        <v>0</v>
      </c>
      <c r="H197" s="8">
        <f>aktuelleAnleihen[[#This Row],[Stückzinsen]]-aktuelleAnleihen[[#This Row],[Stückzinsen am Kauftag]]+aktuelleAnleihen[[#This Row],[Zinszahlungen]]</f>
        <v>16.100981203280824</v>
      </c>
      <c r="I197" s="8">
        <f>aktuelleAnleihen[[#This Row],[Gewinn gesamt]]-aktuelleAnleihen[[#This Row],[Gewinn aus Kursänderung]]-aktuelleAnleihen[[#This Row],[Gewinn aus Zinsen]]</f>
        <v>-27.424460067945873</v>
      </c>
      <c r="J197" s="7">
        <f>aktuelleAnleihen[[#This Row],[Gewinn gesamt]]/aktuelleAnleihen[[#This Row],[Kaufpreis]]</f>
        <v>-6.2266559024062862E-3</v>
      </c>
      <c r="K197" s="3">
        <f>aktuelleAnleihen[[#This Row],[Verkaufspreis]]-aktuelleAnleihen[[#This Row],[Kaufpreis]]+aktuelleAnleihen[[#This Row],[Zinszahlungen]]</f>
        <v>-11.323478864665049</v>
      </c>
      <c r="L197" s="4">
        <v>1818.549</v>
      </c>
      <c r="M197" s="7">
        <v>0.95320000000000005</v>
      </c>
      <c r="N197" s="61">
        <v>1.0723</v>
      </c>
      <c r="O197" s="1">
        <v>1.0891</v>
      </c>
      <c r="P197" s="1" t="s">
        <v>887</v>
      </c>
      <c r="Q197" s="30">
        <v>45412</v>
      </c>
      <c r="R197" s="1">
        <v>2</v>
      </c>
      <c r="S197" s="1">
        <v>1000</v>
      </c>
      <c r="T197" s="9">
        <v>45321</v>
      </c>
      <c r="U197" s="1">
        <v>2</v>
      </c>
      <c r="V197" s="62">
        <f>aktuelleAnleihen[[#This Row],[Stückelung]]*aktuelleAnleihen[[#This Row],[Anteile]]*aktuelleAnleihen[[#This Row],[Coupon]]/aktuelleAnleihen[[#This Row],[Aktueller Wechselkurs]]*($AC$1-aktuelleAnleihen[[#This Row],[Letzte Zinszahlung]])/365</f>
        <v>56.789381203280826</v>
      </c>
      <c r="W197" s="4">
        <v>40.688400000000001</v>
      </c>
      <c r="X197" s="120" t="s">
        <v>995</v>
      </c>
      <c r="Y197" s="120" t="s">
        <v>52</v>
      </c>
      <c r="Z197" s="1" t="s">
        <v>1404</v>
      </c>
      <c r="AA197" s="1" t="s">
        <v>1405</v>
      </c>
      <c r="AB197" s="3">
        <f>SUMIF('Zinszahlungen Anleihen'!K:K,aktuelleAnleihen[[#This Row],[ISIN]],'Zinszahlungen Anleihen'!D:D)</f>
        <v>0</v>
      </c>
      <c r="AE197" s="10"/>
      <c r="AF197" s="1"/>
      <c r="AH197" s="7"/>
      <c r="AJ197" s="1"/>
      <c r="AN197" s="1"/>
      <c r="AQ197" s="1"/>
    </row>
    <row r="198" spans="1:43" x14ac:dyDescent="0.2">
      <c r="A198" s="1" t="s">
        <v>1234</v>
      </c>
      <c r="B198" s="1" t="s">
        <v>0</v>
      </c>
      <c r="C198" s="7">
        <v>9.3710000000000002E-2</v>
      </c>
      <c r="D198" s="7">
        <v>0.995</v>
      </c>
      <c r="E198" s="7">
        <f>aktuelleAnleihen[[#This Row],[Aktueller Kurs]]-aktuelleAnleihen[[#This Row],[Kaufkurs]]</f>
        <v>0</v>
      </c>
      <c r="F198" s="8">
        <f>aktuelleAnleihen[[#This Row],[Stückelung]]*aktuelleAnleihen[[#This Row],[Aktueller Kurs]]*aktuelleAnleihen[[#This Row],[Anteile]]/aktuelleAnleihen[[#This Row],[Aktueller Wechselkurs]]+aktuelleAnleihen[[#This Row],[Stückzinsen]]</f>
        <v>1830.9685388085929</v>
      </c>
      <c r="G198" s="8">
        <f>aktuelleAnleihen[[#This Row],[Kursdifferenz]]*aktuelleAnleihen[[#This Row],[Anteile]]*aktuelleAnleihen[[#This Row],[Stückelung]]/aktuelleAnleihen[[#This Row],[Wechselkurs am Kauftag]]</f>
        <v>0</v>
      </c>
      <c r="H198" s="8">
        <f>aktuelleAnleihen[[#This Row],[Stückzinsen]]-aktuelleAnleihen[[#This Row],[Stückzinsen am Kauftag]]+aktuelleAnleihen[[#This Row],[Zinszahlungen]]</f>
        <v>17.481586452537073</v>
      </c>
      <c r="I198" s="8">
        <f>aktuelleAnleihen[[#This Row],[Gewinn gesamt]]-aktuelleAnleihen[[#This Row],[Gewinn aus Kursänderung]]-aktuelleAnleihen[[#This Row],[Gewinn aus Zinsen]]</f>
        <v>-28.627132026443704</v>
      </c>
      <c r="J198" s="7">
        <f>aktuelleAnleihen[[#This Row],[Gewinn gesamt]]/aktuelleAnleihen[[#This Row],[Kaufpreis]]</f>
        <v>-5.7790552989925598E-3</v>
      </c>
      <c r="K198" s="3">
        <f>aktuelleAnleihen[[#This Row],[Verkaufspreis]]-aktuelleAnleihen[[#This Row],[Kaufpreis]]+aktuelleAnleihen[[#This Row],[Zinszahlungen]]</f>
        <v>-11.145545573906631</v>
      </c>
      <c r="L198" s="4">
        <v>1928.6103000000001</v>
      </c>
      <c r="M198" s="7">
        <v>0.995</v>
      </c>
      <c r="N198" s="61">
        <v>1.0723</v>
      </c>
      <c r="O198" s="1">
        <v>1.0891</v>
      </c>
      <c r="P198" s="1" t="s">
        <v>887</v>
      </c>
      <c r="Q198" s="30">
        <v>45412</v>
      </c>
      <c r="R198" s="1">
        <v>2</v>
      </c>
      <c r="S198" s="1">
        <v>1000</v>
      </c>
      <c r="T198" s="9">
        <v>45442</v>
      </c>
      <c r="U198" s="1">
        <v>2</v>
      </c>
      <c r="V198" s="62">
        <f>aktuelleAnleihen[[#This Row],[Stückelung]]*aktuelleAnleihen[[#This Row],[Anteile]]*aktuelleAnleihen[[#This Row],[Coupon]]/aktuelleAnleihen[[#This Row],[Aktueller Wechselkurs]]*($AC$1-aktuelleAnleihen[[#This Row],[Letzte Zinszahlung]])/365</f>
        <v>3.7717708350365959</v>
      </c>
      <c r="W198" s="4">
        <v>72.7864</v>
      </c>
      <c r="X198" s="120" t="s">
        <v>986</v>
      </c>
      <c r="Y198" s="120" t="s">
        <v>39</v>
      </c>
      <c r="Z198" s="1" t="s">
        <v>1235</v>
      </c>
      <c r="AA198" s="1" t="s">
        <v>1236</v>
      </c>
      <c r="AB198" s="3">
        <f>SUMIF('Zinszahlungen Anleihen'!K:K,aktuelleAnleihen[[#This Row],[ISIN]],'Zinszahlungen Anleihen'!D:D)</f>
        <v>86.496215617500482</v>
      </c>
      <c r="AE198" s="10"/>
      <c r="AF198" s="1"/>
      <c r="AH198" s="7"/>
      <c r="AJ198" s="1"/>
      <c r="AN198" s="1"/>
      <c r="AQ198" s="1"/>
    </row>
    <row r="199" spans="1:43" x14ac:dyDescent="0.2">
      <c r="A199" s="1" t="s">
        <v>1193</v>
      </c>
      <c r="B199" s="1" t="s">
        <v>0</v>
      </c>
      <c r="C199" s="7">
        <v>9.5000000000000001E-2</v>
      </c>
      <c r="D199" s="7">
        <v>0.9506</v>
      </c>
      <c r="E199" s="7">
        <f>aktuelleAnleihen[[#This Row],[Aktueller Kurs]]-aktuelleAnleihen[[#This Row],[Kaufkurs]]</f>
        <v>0</v>
      </c>
      <c r="F199" s="8">
        <f>aktuelleAnleihen[[#This Row],[Stückelung]]*aktuelleAnleihen[[#This Row],[Aktueller Kurs]]*aktuelleAnleihen[[#This Row],[Anteile]]/aktuelleAnleihen[[#This Row],[Aktueller Wechselkurs]]+aktuelleAnleihen[[#This Row],[Stückzinsen]]</f>
        <v>1746.1395169821003</v>
      </c>
      <c r="G199" s="8">
        <f>aktuelleAnleihen[[#This Row],[Kursdifferenz]]*aktuelleAnleihen[[#This Row],[Anteile]]*aktuelleAnleihen[[#This Row],[Stückelung]]/aktuelleAnleihen[[#This Row],[Wechselkurs am Kauftag]]</f>
        <v>0</v>
      </c>
      <c r="H199" s="8">
        <f>aktuelleAnleihen[[#This Row],[Stückzinsen]]-aktuelleAnleihen[[#This Row],[Stückzinsen am Kauftag]]+aktuelleAnleihen[[#This Row],[Zinszahlungen]]</f>
        <v>16.830247980172146</v>
      </c>
      <c r="I199" s="8">
        <f>aktuelleAnleihen[[#This Row],[Gewinn gesamt]]-aktuelleAnleihen[[#This Row],[Gewinn aus Kursänderung]]-aktuelleAnleihen[[#This Row],[Gewinn aus Zinsen]]</f>
        <v>-27.349744587273875</v>
      </c>
      <c r="J199" s="7">
        <f>aktuelleAnleihen[[#This Row],[Gewinn gesamt]]/aktuelleAnleihen[[#This Row],[Kaufpreis]]</f>
        <v>-5.7050657698122119E-3</v>
      </c>
      <c r="K199" s="3">
        <f>aktuelleAnleihen[[#This Row],[Verkaufspreis]]-aktuelleAnleihen[[#This Row],[Kaufpreis]]+aktuelleAnleihen[[#This Row],[Zinszahlungen]]</f>
        <v>-10.519496607101729</v>
      </c>
      <c r="L199" s="4">
        <v>1843.8869999999999</v>
      </c>
      <c r="M199" s="7">
        <v>0.9506</v>
      </c>
      <c r="N199" s="61">
        <v>1.0723</v>
      </c>
      <c r="O199" s="1">
        <v>1.0891</v>
      </c>
      <c r="P199" s="1" t="s">
        <v>887</v>
      </c>
      <c r="Q199" s="30">
        <v>45412</v>
      </c>
      <c r="R199" s="1">
        <v>2</v>
      </c>
      <c r="S199" s="1">
        <v>1000</v>
      </c>
      <c r="T199" s="9">
        <v>45449</v>
      </c>
      <c r="U199" s="1">
        <v>2</v>
      </c>
      <c r="V199" s="62">
        <f>aktuelleAnleihen[[#This Row],[Stückelung]]*aktuelleAnleihen[[#This Row],[Anteile]]*aktuelleAnleihen[[#This Row],[Coupon]]/aktuelleAnleihen[[#This Row],[Aktueller Wechselkurs]]*($AC$1-aktuelleAnleihen[[#This Row],[Letzte Zinszahlung]])/365</f>
        <v>0.47796156937423512</v>
      </c>
      <c r="W199" s="4">
        <v>70.875699999999995</v>
      </c>
      <c r="X199" s="120" t="s">
        <v>176</v>
      </c>
      <c r="Y199" s="120" t="s">
        <v>81</v>
      </c>
      <c r="Z199" s="1" t="s">
        <v>1194</v>
      </c>
      <c r="AA199" s="1" t="s">
        <v>1195</v>
      </c>
      <c r="AB199" s="3">
        <f>SUMIF('Zinszahlungen Anleihen'!K:K,aktuelleAnleihen[[#This Row],[ISIN]],'Zinszahlungen Anleihen'!D:D)</f>
        <v>87.227986410797911</v>
      </c>
      <c r="AE199" s="10"/>
      <c r="AF199" s="1"/>
      <c r="AH199" s="7"/>
      <c r="AJ199" s="1"/>
      <c r="AN199" s="1"/>
      <c r="AQ199" s="1"/>
    </row>
    <row r="200" spans="1:43" x14ac:dyDescent="0.2">
      <c r="A200" s="1" t="s">
        <v>1167</v>
      </c>
      <c r="B200" s="1" t="s">
        <v>11</v>
      </c>
      <c r="C200" s="7">
        <v>9.6250000000000002E-2</v>
      </c>
      <c r="D200" s="7">
        <v>0.5</v>
      </c>
      <c r="E200" s="7">
        <f>aktuelleAnleihen[[#This Row],[Aktueller Kurs]]-aktuelleAnleihen[[#This Row],[Kaufkurs]]</f>
        <v>0</v>
      </c>
      <c r="F200" s="8">
        <f>aktuelleAnleihen[[#This Row],[Stückelung]]*aktuelleAnleihen[[#This Row],[Aktueller Kurs]]*aktuelleAnleihen[[#This Row],[Anteile]]/aktuelleAnleihen[[#This Row],[Aktueller Wechselkurs]]+aktuelleAnleihen[[#This Row],[Stückzinsen]]</f>
        <v>942.40185750959392</v>
      </c>
      <c r="G200" s="8">
        <f>aktuelleAnleihen[[#This Row],[Kursdifferenz]]*aktuelleAnleihen[[#This Row],[Anteile]]*aktuelleAnleihen[[#This Row],[Stückelung]]/aktuelleAnleihen[[#This Row],[Wechselkurs am Kauftag]]</f>
        <v>0</v>
      </c>
      <c r="H200" s="8">
        <f>aktuelleAnleihen[[#This Row],[Stückzinsen]]-aktuelleAnleihen[[#This Row],[Stückzinsen am Kauftag]]+aktuelleAnleihen[[#This Row],[Zinszahlungen]]</f>
        <v>18.310526869615856</v>
      </c>
      <c r="I200" s="8">
        <f>aktuelleAnleihen[[#This Row],[Gewinn gesamt]]-aktuelleAnleihen[[#This Row],[Gewinn aus Kursänderung]]-aktuelleAnleihen[[#This Row],[Gewinn aus Zinsen]]</f>
        <v>-14.385569360021933</v>
      </c>
      <c r="J200" s="7">
        <f>aktuelleAnleihen[[#This Row],[Gewinn gesamt]]/aktuelleAnleihen[[#This Row],[Kaufpreis]]</f>
        <v>4.1822633136669894E-3</v>
      </c>
      <c r="K200" s="3">
        <f>aktuelleAnleihen[[#This Row],[Verkaufspreis]]-aktuelleAnleihen[[#This Row],[Kaufpreis]]+aktuelleAnleihen[[#This Row],[Zinszahlungen]]</f>
        <v>3.9249575095939235</v>
      </c>
      <c r="L200" s="4">
        <v>938.4769</v>
      </c>
      <c r="M200" s="7">
        <v>0.5</v>
      </c>
      <c r="N200" s="61">
        <v>1.0723</v>
      </c>
      <c r="O200" s="1">
        <v>1.0891</v>
      </c>
      <c r="P200" s="1" t="s">
        <v>887</v>
      </c>
      <c r="Q200" s="30">
        <v>45412</v>
      </c>
      <c r="R200" s="1">
        <v>2</v>
      </c>
      <c r="S200" s="1">
        <v>1000</v>
      </c>
      <c r="T200" s="9">
        <v>45400</v>
      </c>
      <c r="U200" s="1">
        <v>2</v>
      </c>
      <c r="V200" s="62">
        <f>aktuelleAnleihen[[#This Row],[Stückelung]]*aktuelleAnleihen[[#This Row],[Anteile]]*aktuelleAnleihen[[#This Row],[Coupon]]/aktuelleAnleihen[[#This Row],[Aktueller Wechselkurs]]*($AC$1-aktuelleAnleihen[[#This Row],[Letzte Zinszahlung]])/365</f>
        <v>24.212526869615857</v>
      </c>
      <c r="W200" s="4">
        <v>5.9020000000000001</v>
      </c>
      <c r="X200" s="120" t="s">
        <v>1105</v>
      </c>
      <c r="Y200" s="120" t="s">
        <v>81</v>
      </c>
      <c r="Z200" s="1" t="s">
        <v>1168</v>
      </c>
      <c r="AA200" s="1" t="s">
        <v>1169</v>
      </c>
      <c r="AB200" s="3">
        <f>SUMIF('Zinszahlungen Anleihen'!K:K,aktuelleAnleihen[[#This Row],[ISIN]],'Zinszahlungen Anleihen'!D:D)</f>
        <v>0</v>
      </c>
      <c r="AE200" s="10"/>
      <c r="AF200" s="1"/>
      <c r="AH200" s="7"/>
      <c r="AJ200" s="1"/>
      <c r="AN200" s="1"/>
      <c r="AQ200" s="1"/>
    </row>
    <row r="201" spans="1:43" x14ac:dyDescent="0.2">
      <c r="A201" s="1" t="s">
        <v>1121</v>
      </c>
      <c r="B201" s="1" t="s">
        <v>0</v>
      </c>
      <c r="C201" s="7">
        <v>9.7500000000000003E-2</v>
      </c>
      <c r="D201" s="7">
        <v>0.99</v>
      </c>
      <c r="E201" s="7">
        <f>aktuelleAnleihen[[#This Row],[Aktueller Kurs]]-aktuelleAnleihen[[#This Row],[Kaufkurs]]</f>
        <v>0</v>
      </c>
      <c r="F201" s="8">
        <f>aktuelleAnleihen[[#This Row],[Stückelung]]*aktuelleAnleihen[[#This Row],[Aktueller Kurs]]*aktuelleAnleihen[[#This Row],[Anteile]]/aktuelleAnleihen[[#This Row],[Aktueller Wechselkurs]]+aktuelleAnleihen[[#This Row],[Stückzinsen]]</f>
        <v>1903.8592881139762</v>
      </c>
      <c r="G201" s="8">
        <f>aktuelleAnleihen[[#This Row],[Kursdifferenz]]*aktuelleAnleihen[[#This Row],[Anteile]]*aktuelleAnleihen[[#This Row],[Stückelung]]/aktuelleAnleihen[[#This Row],[Wechselkurs am Kauftag]]</f>
        <v>0</v>
      </c>
      <c r="H201" s="8">
        <f>aktuelleAnleihen[[#This Row],[Stückzinsen]]-aktuelleAnleihen[[#This Row],[Stückzinsen am Kauftag]]+aktuelleAnleihen[[#This Row],[Zinszahlungen]]</f>
        <v>17.587613446819873</v>
      </c>
      <c r="I201" s="8">
        <f>aktuelleAnleihen[[#This Row],[Gewinn gesamt]]-aktuelleAnleihen[[#This Row],[Gewinn aus Kursänderung]]-aktuelleAnleihen[[#This Row],[Gewinn aus Zinsen]]</f>
        <v>-28.483325332843819</v>
      </c>
      <c r="J201" s="7">
        <f>aktuelleAnleihen[[#This Row],[Gewinn gesamt]]/aktuelleAnleihen[[#This Row],[Kaufpreis]]</f>
        <v>-5.6903947951690665E-3</v>
      </c>
      <c r="K201" s="3">
        <f>aktuelleAnleihen[[#This Row],[Verkaufspreis]]-aktuelleAnleihen[[#This Row],[Kaufpreis]]+aktuelleAnleihen[[#This Row],[Zinszahlungen]]</f>
        <v>-10.895711886023946</v>
      </c>
      <c r="L201" s="4">
        <v>1914.7550000000001</v>
      </c>
      <c r="M201" s="7">
        <v>0.99</v>
      </c>
      <c r="N201" s="61">
        <v>1.0723</v>
      </c>
      <c r="O201" s="1">
        <v>1.0891</v>
      </c>
      <c r="P201" s="1" t="s">
        <v>887</v>
      </c>
      <c r="Q201" s="30">
        <v>45412</v>
      </c>
      <c r="R201" s="1">
        <v>2000</v>
      </c>
      <c r="S201" s="1">
        <v>1</v>
      </c>
      <c r="T201" s="9">
        <v>45275</v>
      </c>
      <c r="U201" s="1">
        <v>2</v>
      </c>
      <c r="V201" s="62">
        <f>aktuelleAnleihen[[#This Row],[Stückelung]]*aktuelleAnleihen[[#This Row],[Anteile]]*aktuelleAnleihen[[#This Row],[Coupon]]/aktuelleAnleihen[[#This Row],[Aktueller Wechselkurs]]*($AC$1-aktuelleAnleihen[[#This Row],[Letzte Zinszahlung]])/365</f>
        <v>85.844413446819871</v>
      </c>
      <c r="W201" s="4">
        <v>68.256799999999998</v>
      </c>
      <c r="X201" s="120" t="s">
        <v>65</v>
      </c>
      <c r="Y201" s="120" t="s">
        <v>39</v>
      </c>
      <c r="Z201" s="1" t="s">
        <v>1122</v>
      </c>
      <c r="AA201" s="1" t="s">
        <v>1123</v>
      </c>
      <c r="AB201" s="3">
        <f>SUMIF('Zinszahlungen Anleihen'!K:K,aktuelleAnleihen[[#This Row],[ISIN]],'Zinszahlungen Anleihen'!D:D)</f>
        <v>0</v>
      </c>
      <c r="AE201" s="10"/>
      <c r="AF201" s="1"/>
      <c r="AH201" s="7"/>
      <c r="AJ201" s="1"/>
      <c r="AN201" s="1"/>
      <c r="AQ201" s="1"/>
    </row>
    <row r="202" spans="1:43" x14ac:dyDescent="0.2">
      <c r="A202" s="1" t="s">
        <v>1082</v>
      </c>
      <c r="B202" s="1" t="s">
        <v>0</v>
      </c>
      <c r="C202" s="7">
        <v>0.10249999999999999</v>
      </c>
      <c r="D202" s="7">
        <v>0.99</v>
      </c>
      <c r="E202" s="7">
        <f>aktuelleAnleihen[[#This Row],[Aktueller Kurs]]-aktuelleAnleihen[[#This Row],[Kaufkurs]]</f>
        <v>0</v>
      </c>
      <c r="F202" s="8">
        <f>aktuelleAnleihen[[#This Row],[Stückelung]]*aktuelleAnleihen[[#This Row],[Aktueller Kurs]]*aktuelleAnleihen[[#This Row],[Anteile]]/aktuelleAnleihen[[#This Row],[Aktueller Wechselkurs]]+aktuelleAnleihen[[#This Row],[Stückzinsen]]</f>
        <v>1835.5485175015692</v>
      </c>
      <c r="G202" s="8">
        <f>aktuelleAnleihen[[#This Row],[Kursdifferenz]]*aktuelleAnleihen[[#This Row],[Anteile]]*aktuelleAnleihen[[#This Row],[Stückelung]]/aktuelleAnleihen[[#This Row],[Wechselkurs am Kauftag]]</f>
        <v>0</v>
      </c>
      <c r="H202" s="8">
        <f>aktuelleAnleihen[[#This Row],[Stückzinsen]]-aktuelleAnleihen[[#This Row],[Stückzinsen am Kauftag]]+aktuelleAnleihen[[#This Row],[Zinszahlungen]]</f>
        <v>18.429884215325274</v>
      </c>
      <c r="I202" s="8">
        <f>aktuelleAnleihen[[#This Row],[Gewinn gesamt]]-aktuelleAnleihen[[#This Row],[Gewinn aus Kursänderung]]-aktuelleAnleihen[[#This Row],[Gewinn aus Zinsen]]</f>
        <v>-28.483325332843606</v>
      </c>
      <c r="J202" s="7">
        <f>aktuelleAnleihen[[#This Row],[Gewinn gesamt]]/aktuelleAnleihen[[#This Row],[Kaufpreis]]</f>
        <v>-4.9375855364993419E-3</v>
      </c>
      <c r="K202" s="3">
        <f>aktuelleAnleihen[[#This Row],[Verkaufspreis]]-aktuelleAnleihen[[#This Row],[Kaufpreis]]+aktuelleAnleihen[[#This Row],[Zinszahlungen]]</f>
        <v>-10.053441117518332</v>
      </c>
      <c r="L202" s="4">
        <v>2036.1047000000001</v>
      </c>
      <c r="M202" s="7">
        <v>0.99</v>
      </c>
      <c r="N202" s="61">
        <v>1.0723</v>
      </c>
      <c r="O202" s="1">
        <v>1.0891</v>
      </c>
      <c r="P202" s="1" t="s">
        <v>887</v>
      </c>
      <c r="Q202" s="30">
        <v>45412</v>
      </c>
      <c r="R202" s="1">
        <v>2</v>
      </c>
      <c r="S202" s="1">
        <v>1000</v>
      </c>
      <c r="T202" s="9">
        <v>45416</v>
      </c>
      <c r="U202" s="1">
        <v>1</v>
      </c>
      <c r="V202" s="62">
        <f>aktuelleAnleihen[[#This Row],[Stückelung]]*aktuelleAnleihen[[#This Row],[Anteile]]*aktuelleAnleihen[[#This Row],[Coupon]]/aktuelleAnleihen[[#This Row],[Aktueller Wechselkurs]]*($AC$1-aktuelleAnleihen[[#This Row],[Letzte Zinszahlung]])/365</f>
        <v>17.533642834412731</v>
      </c>
      <c r="W202" s="4">
        <v>189.60650000000001</v>
      </c>
      <c r="X202" s="120" t="s">
        <v>176</v>
      </c>
      <c r="Y202" s="120" t="s">
        <v>39</v>
      </c>
      <c r="Z202" s="1" t="s">
        <v>1083</v>
      </c>
      <c r="AA202" s="1" t="s">
        <v>1084</v>
      </c>
      <c r="AB202" s="3">
        <f>SUMIF('Zinszahlungen Anleihen'!K:K,aktuelleAnleihen[[#This Row],[ISIN]],'Zinszahlungen Anleihen'!D:D)</f>
        <v>190.50274138091254</v>
      </c>
      <c r="AE202" s="10"/>
      <c r="AF202" s="1"/>
      <c r="AH202" s="7"/>
      <c r="AJ202" s="1"/>
      <c r="AN202" s="1"/>
      <c r="AQ202" s="1"/>
    </row>
    <row r="203" spans="1:43" x14ac:dyDescent="0.2">
      <c r="A203" s="1" t="s">
        <v>998</v>
      </c>
      <c r="B203" s="1" t="s">
        <v>0</v>
      </c>
      <c r="C203" s="7">
        <v>0.12</v>
      </c>
      <c r="D203" s="7">
        <v>0.99990000000000001</v>
      </c>
      <c r="E203" s="7">
        <f>aktuelleAnleihen[[#This Row],[Aktueller Kurs]]-aktuelleAnleihen[[#This Row],[Kaufkurs]]</f>
        <v>0</v>
      </c>
      <c r="F203" s="8">
        <f>aktuelleAnleihen[[#This Row],[Stückelung]]*aktuelleAnleihen[[#This Row],[Aktueller Kurs]]*aktuelleAnleihen[[#This Row],[Anteile]]/aktuelleAnleihen[[#This Row],[Aktueller Wechselkurs]]+aktuelleAnleihen[[#This Row],[Stückzinsen]]</f>
        <v>1838.6099871327715</v>
      </c>
      <c r="G203" s="8">
        <f>aktuelleAnleihen[[#This Row],[Kursdifferenz]]*aktuelleAnleihen[[#This Row],[Anteile]]*aktuelleAnleihen[[#This Row],[Stückelung]]/aktuelleAnleihen[[#This Row],[Wechselkurs am Kauftag]]</f>
        <v>0</v>
      </c>
      <c r="H203" s="8">
        <f>aktuelleAnleihen[[#This Row],[Stückzinsen]]-aktuelleAnleihen[[#This Row],[Stückzinsen am Kauftag]]+aktuelleAnleihen[[#This Row],[Zinszahlungen]]</f>
        <v>21.119710224171897</v>
      </c>
      <c r="I203" s="8">
        <f>aktuelleAnleihen[[#This Row],[Gewinn gesamt]]-aktuelleAnleihen[[#This Row],[Gewinn aus Kursänderung]]-aktuelleAnleihen[[#This Row],[Gewinn aus Zinsen]]</f>
        <v>-28.768076586171958</v>
      </c>
      <c r="J203" s="7">
        <f>aktuelleAnleihen[[#This Row],[Gewinn gesamt]]/aktuelleAnleihen[[#This Row],[Kaufpreis]]</f>
        <v>-3.9095483650278314E-3</v>
      </c>
      <c r="K203" s="3">
        <f>aktuelleAnleihen[[#This Row],[Verkaufspreis]]-aktuelleAnleihen[[#This Row],[Kaufpreis]]+aktuelleAnleihen[[#This Row],[Zinszahlungen]]</f>
        <v>-7.6483663620000613</v>
      </c>
      <c r="L203" s="4">
        <v>1956.3299</v>
      </c>
      <c r="M203" s="7">
        <v>0.99990000000000001</v>
      </c>
      <c r="N203" s="61">
        <v>1.0723</v>
      </c>
      <c r="O203" s="1">
        <v>1.0891</v>
      </c>
      <c r="P203" s="1" t="s">
        <v>887</v>
      </c>
      <c r="Q203" s="30">
        <v>45412</v>
      </c>
      <c r="R203" s="1">
        <v>2000</v>
      </c>
      <c r="S203" s="1">
        <v>1</v>
      </c>
      <c r="T203" s="9">
        <v>45446</v>
      </c>
      <c r="U203" s="1">
        <v>2</v>
      </c>
      <c r="V203" s="62">
        <f>aktuelleAnleihen[[#This Row],[Stückelung]]*aktuelleAnleihen[[#This Row],[Anteile]]*aktuelleAnleihen[[#This Row],[Coupon]]/aktuelleAnleihen[[#This Row],[Aktueller Wechselkurs]]*($AC$1-aktuelleAnleihen[[#This Row],[Letzte Zinszahlung]])/365</f>
        <v>2.414963718943504</v>
      </c>
      <c r="W203" s="4">
        <v>91.366799999999998</v>
      </c>
      <c r="X203" s="120" t="s">
        <v>284</v>
      </c>
      <c r="Y203" s="120" t="s">
        <v>39</v>
      </c>
      <c r="Z203" s="1" t="s">
        <v>999</v>
      </c>
      <c r="AA203" s="1" t="s">
        <v>1000</v>
      </c>
      <c r="AB203" s="3">
        <f>SUMIF('Zinszahlungen Anleihen'!K:K,aktuelleAnleihen[[#This Row],[ISIN]],'Zinszahlungen Anleihen'!D:D)</f>
        <v>110.0715465052284</v>
      </c>
      <c r="AE203" s="10"/>
      <c r="AF203" s="1"/>
      <c r="AH203" s="7"/>
      <c r="AJ203" s="1"/>
      <c r="AN203" s="1"/>
      <c r="AQ203" s="1"/>
    </row>
    <row r="204" spans="1:43" x14ac:dyDescent="0.2">
      <c r="A204" s="1" t="s">
        <v>1812</v>
      </c>
      <c r="B204" s="1" t="s">
        <v>0</v>
      </c>
      <c r="C204" s="7">
        <v>0.1</v>
      </c>
      <c r="D204" s="7">
        <v>1</v>
      </c>
      <c r="E204" s="7">
        <f>aktuelleAnleihen[[#This Row],[Aktueller Kurs]]-aktuelleAnleihen[[#This Row],[Kaufkurs]]</f>
        <v>0</v>
      </c>
      <c r="F204" s="8">
        <f>aktuelleAnleihen[[#This Row],[Stückelung]]*aktuelleAnleihen[[#This Row],[Aktueller Kurs]]*aktuelleAnleihen[[#This Row],[Anteile]]/aktuelleAnleihen[[#This Row],[Aktueller Wechselkurs]]+aktuelleAnleihen[[#This Row],[Stückzinsen]]</f>
        <v>2008.2191780821918</v>
      </c>
      <c r="G204" s="8">
        <f>aktuelleAnleihen[[#This Row],[Kursdifferenz]]*aktuelleAnleihen[[#This Row],[Anteile]]*aktuelleAnleihen[[#This Row],[Stückelung]]/aktuelleAnleihen[[#This Row],[Wechselkurs am Kauftag]]</f>
        <v>0</v>
      </c>
      <c r="H204" s="8">
        <f>aktuelleAnleihen[[#This Row],[Stückzinsen]]-aktuelleAnleihen[[#This Row],[Stückzinsen am Kauftag]]+aktuelleAnleihen[[#This Row],[Zinszahlungen]]</f>
        <v>8.2191780821917746</v>
      </c>
      <c r="I204" s="8">
        <f>aktuelleAnleihen[[#This Row],[Gewinn gesamt]]-aktuelleAnleihen[[#This Row],[Gewinn aus Kursänderung]]-aktuelleAnleihen[[#This Row],[Gewinn aus Zinsen]]</f>
        <v>0</v>
      </c>
      <c r="J204" s="7">
        <f>aktuelleAnleihen[[#This Row],[Gewinn gesamt]]/aktuelleAnleihen[[#This Row],[Kaufpreis]]</f>
        <v>3.7359900373598975E-3</v>
      </c>
      <c r="K204" s="3">
        <f>aktuelleAnleihen[[#This Row],[Verkaufspreis]]-aktuelleAnleihen[[#This Row],[Kaufpreis]]+aktuelleAnleihen[[#This Row],[Zinszahlungen]]</f>
        <v>8.2191780821917746</v>
      </c>
      <c r="L204" s="4">
        <v>2200</v>
      </c>
      <c r="M204" s="7">
        <v>1</v>
      </c>
      <c r="N204" s="61">
        <v>1</v>
      </c>
      <c r="O204" s="1">
        <v>1</v>
      </c>
      <c r="P204" s="1" t="s">
        <v>925</v>
      </c>
      <c r="Q204" s="30">
        <v>45434</v>
      </c>
      <c r="R204" s="1">
        <v>2</v>
      </c>
      <c r="S204" s="1">
        <v>1000</v>
      </c>
      <c r="T204" s="9">
        <v>45435</v>
      </c>
      <c r="U204" s="1">
        <v>1</v>
      </c>
      <c r="V204" s="62">
        <f>aktuelleAnleihen[[#This Row],[Stückelung]]*aktuelleAnleihen[[#This Row],[Anteile]]*aktuelleAnleihen[[#This Row],[Coupon]]/aktuelleAnleihen[[#This Row],[Aktueller Wechselkurs]]*($AC$1-aktuelleAnleihen[[#This Row],[Letzte Zinszahlung]])/365</f>
        <v>8.2191780821917817</v>
      </c>
      <c r="W204" s="4">
        <v>200</v>
      </c>
      <c r="X204" s="120" t="s">
        <v>56</v>
      </c>
      <c r="Y204" s="120" t="s">
        <v>39</v>
      </c>
      <c r="Z204" s="1" t="s">
        <v>1813</v>
      </c>
      <c r="AA204" s="1" t="s">
        <v>1814</v>
      </c>
      <c r="AB204" s="3">
        <f>SUMIF('Zinszahlungen Anleihen'!K:K,aktuelleAnleihen[[#This Row],[ISIN]],'Zinszahlungen Anleihen'!D:D)</f>
        <v>200</v>
      </c>
      <c r="AE204" s="10"/>
      <c r="AF204" s="1"/>
      <c r="AH204" s="7"/>
      <c r="AJ204" s="1"/>
      <c r="AN204" s="1"/>
      <c r="AQ204" s="1"/>
    </row>
    <row r="205" spans="1:43" x14ac:dyDescent="0.2">
      <c r="A205" s="1" t="s">
        <v>532</v>
      </c>
      <c r="B205" s="1" t="s">
        <v>10</v>
      </c>
      <c r="C205" s="7">
        <v>0.105</v>
      </c>
      <c r="D205" s="7">
        <v>1.0793999999999999</v>
      </c>
      <c r="E205" s="7">
        <f>aktuelleAnleihen[[#This Row],[Aktueller Kurs]]-aktuelleAnleihen[[#This Row],[Kaufkurs]]</f>
        <v>1.9999999999997797E-4</v>
      </c>
      <c r="F205" s="8">
        <f>aktuelleAnleihen[[#This Row],[Stückelung]]*aktuelleAnleihen[[#This Row],[Aktueller Kurs]]*aktuelleAnleihen[[#This Row],[Anteile]]/aktuelleAnleihen[[#This Row],[Aktueller Wechselkurs]]+aktuelleAnleihen[[#This Row],[Stückzinsen]]</f>
        <v>992.67838343334881</v>
      </c>
      <c r="G205" s="8">
        <f>aktuelleAnleihen[[#This Row],[Kursdifferenz]]*aktuelleAnleihen[[#This Row],[Anteile]]*aktuelleAnleihen[[#This Row],[Stückelung]]/aktuelleAnleihen[[#This Row],[Wechselkurs am Kauftag]]</f>
        <v>0.184162062615081</v>
      </c>
      <c r="H205" s="8">
        <f>aktuelleAnleihen[[#This Row],[Stückzinsen]]-aktuelleAnleihen[[#This Row],[Stückzinsen am Kauftag]]+aktuelleAnleihen[[#This Row],[Zinszahlungen]]</f>
        <v>2.2871574854834122</v>
      </c>
      <c r="I205" s="8">
        <f>aktuelleAnleihen[[#This Row],[Gewinn gesamt]]-aktuelleAnleihen[[#This Row],[Gewinn aus Kursänderung]]-aktuelleAnleihen[[#This Row],[Gewinn aus Zinsen]]</f>
        <v>-2.8290985698228619</v>
      </c>
      <c r="J205" s="7">
        <f>aktuelleAnleihen[[#This Row],[Gewinn gesamt]]/aktuelleAnleihen[[#This Row],[Kaufpreis]]</f>
        <v>-3.4354960917199579E-4</v>
      </c>
      <c r="K205" s="3">
        <f>aktuelleAnleihen[[#This Row],[Verkaufspreis]]-aktuelleAnleihen[[#This Row],[Kaufpreis]]+aktuelleAnleihen[[#This Row],[Zinszahlungen]]</f>
        <v>-0.35777902172436882</v>
      </c>
      <c r="L205" s="4">
        <v>1041.4187999999999</v>
      </c>
      <c r="M205" s="7">
        <v>1.0791999999999999</v>
      </c>
      <c r="N205" s="61">
        <v>1.0860000000000001</v>
      </c>
      <c r="O205" s="1">
        <v>1.0891</v>
      </c>
      <c r="P205" s="1" t="s">
        <v>887</v>
      </c>
      <c r="Q205" s="30">
        <v>45441</v>
      </c>
      <c r="R205" s="1">
        <v>1</v>
      </c>
      <c r="S205" s="1">
        <v>1000</v>
      </c>
      <c r="T205" s="9">
        <v>45444</v>
      </c>
      <c r="U205" s="1">
        <v>2</v>
      </c>
      <c r="V205" s="62">
        <f>aktuelleAnleihen[[#This Row],[Stückelung]]*aktuelleAnleihen[[#This Row],[Anteile]]*aktuelleAnleihen[[#This Row],[Coupon]]/aktuelleAnleihen[[#This Row],[Aktueller Wechselkurs]]*($AC$1-aktuelleAnleihen[[#This Row],[Letzte Zinszahlung]])/365</f>
        <v>1.5848199405566745</v>
      </c>
      <c r="W205" s="4">
        <v>47.680300000000003</v>
      </c>
      <c r="X205" s="120" t="s">
        <v>533</v>
      </c>
      <c r="Y205" s="120" t="s">
        <v>39</v>
      </c>
      <c r="Z205" s="1" t="s">
        <v>1856</v>
      </c>
      <c r="AA205" s="1" t="s">
        <v>1857</v>
      </c>
      <c r="AB205" s="3">
        <f>SUMIF('Zinszahlungen Anleihen'!K:K,aktuelleAnleihen[[#This Row],[ISIN]],'Zinszahlungen Anleihen'!D:D)</f>
        <v>48.382637544926737</v>
      </c>
      <c r="AE205" s="10"/>
      <c r="AF205" s="1"/>
      <c r="AH205" s="7"/>
      <c r="AJ205" s="1"/>
      <c r="AN205" s="1"/>
      <c r="AQ205" s="1"/>
    </row>
    <row r="206" spans="1:43" x14ac:dyDescent="0.2">
      <c r="A206" s="1" t="s">
        <v>835</v>
      </c>
      <c r="B206" s="1" t="s">
        <v>10</v>
      </c>
      <c r="C206" s="7">
        <v>0.06</v>
      </c>
      <c r="D206" s="7">
        <v>1.0001</v>
      </c>
      <c r="E206" s="7">
        <f>aktuelleAnleihen[[#This Row],[Aktueller Kurs]]-aktuelleAnleihen[[#This Row],[Kaufkurs]]</f>
        <v>9.9999999999988987E-5</v>
      </c>
      <c r="F206" s="8">
        <f>aktuelleAnleihen[[#This Row],[Stückelung]]*aktuelleAnleihen[[#This Row],[Aktueller Kurs]]*aktuelleAnleihen[[#This Row],[Anteile]]/aktuelleAnleihen[[#This Row],[Aktueller Wechselkurs]]+aktuelleAnleihen[[#This Row],[Stückzinsen]]</f>
        <v>2032.4191780821918</v>
      </c>
      <c r="G206" s="8">
        <f>aktuelleAnleihen[[#This Row],[Kursdifferenz]]*aktuelleAnleihen[[#This Row],[Anteile]]*aktuelleAnleihen[[#This Row],[Stückelung]]/aktuelleAnleihen[[#This Row],[Wechselkurs am Kauftag]]</f>
        <v>0.19999999999997797</v>
      </c>
      <c r="H206" s="8">
        <f>aktuelleAnleihen[[#This Row],[Stückzinsen]]-aktuelleAnleihen[[#This Row],[Stückzinsen am Kauftag]]+aktuelleAnleihen[[#This Row],[Zinszahlungen]]</f>
        <v>21.369878082191782</v>
      </c>
      <c r="I206" s="8">
        <f>aktuelleAnleihen[[#This Row],[Gewinn gesamt]]-aktuelleAnleihen[[#This Row],[Gewinn aus Kursänderung]]-aktuelleAnleihen[[#This Row],[Gewinn aus Zinsen]]</f>
        <v>0</v>
      </c>
      <c r="J206" s="7">
        <f>aktuelleAnleihen[[#This Row],[Gewinn gesamt]]/aktuelleAnleihen[[#This Row],[Kaufpreis]]</f>
        <v>1.0726750175754958E-2</v>
      </c>
      <c r="K206" s="3">
        <f>aktuelleAnleihen[[#This Row],[Verkaufspreis]]-aktuelleAnleihen[[#This Row],[Kaufpreis]]+aktuelleAnleihen[[#This Row],[Zinszahlungen]]</f>
        <v>21.569878082191735</v>
      </c>
      <c r="L206" s="4">
        <v>2010.8493000000001</v>
      </c>
      <c r="M206" s="7">
        <v>1</v>
      </c>
      <c r="N206" s="61">
        <v>1</v>
      </c>
      <c r="O206" s="1">
        <v>1</v>
      </c>
      <c r="P206" s="1" t="s">
        <v>925</v>
      </c>
      <c r="Q206" s="30">
        <v>45385</v>
      </c>
      <c r="R206" s="1">
        <v>20</v>
      </c>
      <c r="S206" s="1">
        <v>100</v>
      </c>
      <c r="T206" s="9">
        <v>45352</v>
      </c>
      <c r="U206" s="1">
        <v>1</v>
      </c>
      <c r="V206" s="62">
        <f>aktuelleAnleihen[[#This Row],[Stückelung]]*aktuelleAnleihen[[#This Row],[Anteile]]*aktuelleAnleihen[[#This Row],[Coupon]]/aktuelleAnleihen[[#This Row],[Aktueller Wechselkurs]]*($AC$1-aktuelleAnleihen[[#This Row],[Letzte Zinszahlung]])/365</f>
        <v>32.219178082191782</v>
      </c>
      <c r="W206" s="4">
        <v>10.849299999999999</v>
      </c>
      <c r="X206" s="120" t="s">
        <v>56</v>
      </c>
      <c r="Y206" s="120" t="s">
        <v>39</v>
      </c>
      <c r="Z206" s="1" t="s">
        <v>836</v>
      </c>
      <c r="AA206" s="1" t="s">
        <v>837</v>
      </c>
      <c r="AB206" s="3">
        <f>SUMIF('Zinszahlungen Anleihen'!K:K,aktuelleAnleihen[[#This Row],[ISIN]],'Zinszahlungen Anleihen'!D:D)</f>
        <v>0</v>
      </c>
      <c r="AE206" s="10"/>
      <c r="AF206" s="1"/>
      <c r="AH206" s="7"/>
      <c r="AJ206" s="1"/>
      <c r="AN206" s="1"/>
      <c r="AQ206" s="1"/>
    </row>
    <row r="207" spans="1:43" x14ac:dyDescent="0.2">
      <c r="A207" s="1" t="s">
        <v>612</v>
      </c>
      <c r="B207" s="1" t="s">
        <v>0</v>
      </c>
      <c r="C207" s="7">
        <v>7.2499999999999995E-2</v>
      </c>
      <c r="D207" s="7">
        <v>1.0501</v>
      </c>
      <c r="E207" s="7">
        <f>aktuelleAnleihen[[#This Row],[Aktueller Kurs]]-aktuelleAnleihen[[#This Row],[Kaufkurs]]</f>
        <v>9.9999999999988987E-5</v>
      </c>
      <c r="F207" s="8">
        <f>aktuelleAnleihen[[#This Row],[Stückelung]]*aktuelleAnleihen[[#This Row],[Aktueller Kurs]]*aktuelleAnleihen[[#This Row],[Anteile]]/aktuelleAnleihen[[#This Row],[Aktueller Wechselkurs]]+aktuelleAnleihen[[#This Row],[Stückzinsen]]</f>
        <v>2105.364383561644</v>
      </c>
      <c r="G207" s="8">
        <f>aktuelleAnleihen[[#This Row],[Kursdifferenz]]*aktuelleAnleihen[[#This Row],[Anteile]]*aktuelleAnleihen[[#This Row],[Stückelung]]/aktuelleAnleihen[[#This Row],[Wechselkurs am Kauftag]]</f>
        <v>0.19999999999997797</v>
      </c>
      <c r="H207" s="8">
        <f>aktuelleAnleihen[[#This Row],[Stückzinsen]]-aktuelleAnleihen[[#This Row],[Stückzinsen am Kauftag]]+aktuelleAnleihen[[#This Row],[Zinszahlungen]]</f>
        <v>25.424683561643832</v>
      </c>
      <c r="I207" s="8">
        <f>aktuelleAnleihen[[#This Row],[Gewinn gesamt]]-aktuelleAnleihen[[#This Row],[Gewinn aus Kursänderung]]-aktuelleAnleihen[[#This Row],[Gewinn aus Zinsen]]</f>
        <v>9.5923269327613525E-14</v>
      </c>
      <c r="J207" s="7">
        <f>aktuelleAnleihen[[#This Row],[Gewinn gesamt]]/aktuelleAnleihen[[#This Row],[Kaufpreis]]</f>
        <v>1.1518059196607993E-2</v>
      </c>
      <c r="K207" s="3">
        <f>aktuelleAnleihen[[#This Row],[Verkaufspreis]]-aktuelleAnleihen[[#This Row],[Kaufpreis]]+aktuelleAnleihen[[#This Row],[Zinszahlungen]]</f>
        <v>25.624683561643906</v>
      </c>
      <c r="L207" s="4">
        <v>2224.7397000000001</v>
      </c>
      <c r="M207" s="7">
        <v>1.05</v>
      </c>
      <c r="N207" s="61">
        <v>1</v>
      </c>
      <c r="O207" s="1">
        <v>1</v>
      </c>
      <c r="P207" s="1" t="s">
        <v>925</v>
      </c>
      <c r="Q207" s="30">
        <v>45385</v>
      </c>
      <c r="R207" s="1">
        <v>2</v>
      </c>
      <c r="S207" s="1">
        <v>1000</v>
      </c>
      <c r="T207" s="9">
        <v>45437</v>
      </c>
      <c r="U207" s="1">
        <v>1</v>
      </c>
      <c r="V207" s="62">
        <f>aktuelleAnleihen[[#This Row],[Stückelung]]*aktuelleAnleihen[[#This Row],[Anteile]]*aktuelleAnleihen[[#This Row],[Coupon]]/aktuelleAnleihen[[#This Row],[Aktueller Wechselkurs]]*($AC$1-aktuelleAnleihen[[#This Row],[Letzte Zinszahlung]])/365</f>
        <v>5.1643835616438354</v>
      </c>
      <c r="W207" s="4">
        <v>124.7397</v>
      </c>
      <c r="X207" s="120" t="s">
        <v>613</v>
      </c>
      <c r="Y207" s="120" t="s">
        <v>61</v>
      </c>
      <c r="Z207" s="1" t="s">
        <v>614</v>
      </c>
      <c r="AA207" s="1" t="s">
        <v>615</v>
      </c>
      <c r="AB207" s="3">
        <f>SUMIF('Zinszahlungen Anleihen'!K:K,aktuelleAnleihen[[#This Row],[ISIN]],'Zinszahlungen Anleihen'!D:D)</f>
        <v>145</v>
      </c>
      <c r="AE207" s="10"/>
      <c r="AF207" s="1"/>
      <c r="AH207" s="7"/>
      <c r="AJ207" s="1"/>
      <c r="AN207" s="1"/>
      <c r="AQ207" s="1"/>
    </row>
    <row r="208" spans="1:43" x14ac:dyDescent="0.2">
      <c r="A208" s="1" t="s">
        <v>329</v>
      </c>
      <c r="B208" s="1" t="s">
        <v>3</v>
      </c>
      <c r="C208" s="7">
        <v>8.9419999999999999E-2</v>
      </c>
      <c r="D208" s="7">
        <v>1.0018</v>
      </c>
      <c r="E208" s="7">
        <f>aktuelleAnleihen[[#This Row],[Aktueller Kurs]]-aktuelleAnleihen[[#This Row],[Kaufkurs]]</f>
        <v>9.9999999999988987E-5</v>
      </c>
      <c r="F208" s="8">
        <f>aktuelleAnleihen[[#This Row],[Stückelung]]*aktuelleAnleihen[[#This Row],[Aktueller Kurs]]*aktuelleAnleihen[[#This Row],[Anteile]]/aktuelleAnleihen[[#This Row],[Aktueller Wechselkurs]]+aktuelleAnleihen[[#This Row],[Stückzinsen]]</f>
        <v>2029.5685479452056</v>
      </c>
      <c r="G208" s="8">
        <f>aktuelleAnleihen[[#This Row],[Kursdifferenz]]*aktuelleAnleihen[[#This Row],[Anteile]]*aktuelleAnleihen[[#This Row],[Stückelung]]/aktuelleAnleihen[[#This Row],[Wechselkurs am Kauftag]]</f>
        <v>0.19999999999997797</v>
      </c>
      <c r="H208" s="8">
        <f>aktuelleAnleihen[[#This Row],[Stückzinsen]]-aktuelleAnleihen[[#This Row],[Stückzinsen am Kauftag]]+aktuelleAnleihen[[#This Row],[Zinszahlungen]]</f>
        <v>31.970747945205481</v>
      </c>
      <c r="I208" s="8">
        <f>aktuelleAnleihen[[#This Row],[Gewinn gesamt]]-aktuelleAnleihen[[#This Row],[Gewinn aus Kursänderung]]-aktuelleAnleihen[[#This Row],[Gewinn aus Zinsen]]</f>
        <v>1.8118839761882555E-13</v>
      </c>
      <c r="J208" s="7">
        <f>aktuelleAnleihen[[#This Row],[Gewinn gesamt]]/aktuelleAnleihen[[#This Row],[Kaufpreis]]</f>
        <v>1.5753697206976849E-2</v>
      </c>
      <c r="K208" s="3">
        <f>aktuelleAnleihen[[#This Row],[Verkaufspreis]]-aktuelleAnleihen[[#This Row],[Kaufpreis]]+aktuelleAnleihen[[#This Row],[Zinszahlungen]]</f>
        <v>32.17074794520564</v>
      </c>
      <c r="L208" s="4">
        <v>2042.1078</v>
      </c>
      <c r="M208" s="7">
        <v>1.0017</v>
      </c>
      <c r="N208" s="61">
        <v>1</v>
      </c>
      <c r="O208" s="1">
        <v>1</v>
      </c>
      <c r="P208" s="1" t="s">
        <v>925</v>
      </c>
      <c r="Q208" s="30">
        <v>45385</v>
      </c>
      <c r="R208" s="1">
        <v>2</v>
      </c>
      <c r="S208" s="1">
        <v>1000</v>
      </c>
      <c r="T208" s="9">
        <v>45397</v>
      </c>
      <c r="U208" s="1">
        <v>4</v>
      </c>
      <c r="V208" s="62">
        <f>aktuelleAnleihen[[#This Row],[Stückelung]]*aktuelleAnleihen[[#This Row],[Anteile]]*aktuelleAnleihen[[#This Row],[Coupon]]/aktuelleAnleihen[[#This Row],[Aktueller Wechselkurs]]*($AC$1-aktuelleAnleihen[[#This Row],[Letzte Zinszahlung]])/365</f>
        <v>25.968547945205479</v>
      </c>
      <c r="W208" s="4">
        <v>38.707799999999999</v>
      </c>
      <c r="X208" s="120" t="s">
        <v>56</v>
      </c>
      <c r="Y208" s="120" t="s">
        <v>61</v>
      </c>
      <c r="Z208" s="1" t="s">
        <v>330</v>
      </c>
      <c r="AA208" s="1" t="s">
        <v>956</v>
      </c>
      <c r="AB208" s="3">
        <f>SUMIF('Zinszahlungen Anleihen'!K:K,aktuelleAnleihen[[#This Row],[ISIN]],'Zinszahlungen Anleihen'!D:D)</f>
        <v>44.71</v>
      </c>
      <c r="AE208" s="10"/>
      <c r="AF208" s="1"/>
      <c r="AH208" s="7"/>
      <c r="AJ208" s="1"/>
      <c r="AN208" s="1"/>
      <c r="AQ208" s="1"/>
    </row>
    <row r="209" spans="1:43" x14ac:dyDescent="0.2">
      <c r="A209" s="1" t="s">
        <v>314</v>
      </c>
      <c r="B209" s="1" t="s">
        <v>2</v>
      </c>
      <c r="C209" s="7">
        <v>9.1899999999999996E-2</v>
      </c>
      <c r="D209" s="7">
        <v>1.0079</v>
      </c>
      <c r="E209" s="7">
        <f>aktuelleAnleihen[[#This Row],[Aktueller Kurs]]-aktuelleAnleihen[[#This Row],[Kaufkurs]]</f>
        <v>9.9999999999988987E-5</v>
      </c>
      <c r="F209" s="8">
        <f>aktuelleAnleihen[[#This Row],[Stückelung]]*aktuelleAnleihen[[#This Row],[Aktueller Kurs]]*aktuelleAnleihen[[#This Row],[Anteile]]/aktuelleAnleihen[[#This Row],[Aktueller Wechselkurs]]+aktuelleAnleihen[[#This Row],[Stückzinsen]]</f>
        <v>2058.0991780821919</v>
      </c>
      <c r="G209" s="8">
        <f>aktuelleAnleihen[[#This Row],[Kursdifferenz]]*aktuelleAnleihen[[#This Row],[Anteile]]*aktuelleAnleihen[[#This Row],[Stückelung]]/aktuelleAnleihen[[#This Row],[Wechselkurs am Kauftag]]</f>
        <v>0.19999999999997797</v>
      </c>
      <c r="H209" s="8">
        <f>aktuelleAnleihen[[#This Row],[Stückzinsen]]-aktuelleAnleihen[[#This Row],[Stückzinsen am Kauftag]]+aktuelleAnleihen[[#This Row],[Zinszahlungen]]</f>
        <v>32.731478082191778</v>
      </c>
      <c r="I209" s="8">
        <f>aktuelleAnleihen[[#This Row],[Gewinn gesamt]]-aktuelleAnleihen[[#This Row],[Gewinn aus Kursänderung]]-aktuelleAnleihen[[#This Row],[Gewinn aus Zinsen]]</f>
        <v>1.6342482922482304E-13</v>
      </c>
      <c r="J209" s="7">
        <f>aktuelleAnleihen[[#This Row],[Gewinn gesamt]]/aktuelleAnleihen[[#This Row],[Kaufpreis]]</f>
        <v>1.6261111651243457E-2</v>
      </c>
      <c r="K209" s="3">
        <f>aktuelleAnleihen[[#This Row],[Verkaufspreis]]-aktuelleAnleihen[[#This Row],[Kaufpreis]]+aktuelleAnleihen[[#This Row],[Zinszahlungen]]</f>
        <v>32.931478082191916</v>
      </c>
      <c r="L209" s="4">
        <v>2025.1677</v>
      </c>
      <c r="M209" s="7">
        <v>1.0078</v>
      </c>
      <c r="N209" s="61">
        <v>1</v>
      </c>
      <c r="O209" s="1">
        <v>1</v>
      </c>
      <c r="P209" s="1" t="s">
        <v>925</v>
      </c>
      <c r="Q209" s="30">
        <v>45385</v>
      </c>
      <c r="R209" s="1">
        <v>2</v>
      </c>
      <c r="S209" s="1">
        <v>1000</v>
      </c>
      <c r="T209" s="9">
        <v>45366</v>
      </c>
      <c r="U209" s="1">
        <v>4</v>
      </c>
      <c r="V209" s="62">
        <f>aktuelleAnleihen[[#This Row],[Stückelung]]*aktuelleAnleihen[[#This Row],[Anteile]]*aktuelleAnleihen[[#This Row],[Coupon]]/aktuelleAnleihen[[#This Row],[Aktueller Wechselkurs]]*($AC$1-aktuelleAnleihen[[#This Row],[Letzte Zinszahlung]])/365</f>
        <v>42.29917808219178</v>
      </c>
      <c r="W209" s="4">
        <v>9.5677000000000003</v>
      </c>
      <c r="X209" s="120" t="s">
        <v>35</v>
      </c>
      <c r="Y209" s="120" t="s">
        <v>61</v>
      </c>
      <c r="Z209" s="1" t="s">
        <v>315</v>
      </c>
      <c r="AA209" s="1" t="s">
        <v>316</v>
      </c>
      <c r="AB209" s="3">
        <f>SUMIF('Zinszahlungen Anleihen'!K:K,aktuelleAnleihen[[#This Row],[ISIN]],'Zinszahlungen Anleihen'!D:D)</f>
        <v>0</v>
      </c>
      <c r="AE209" s="10"/>
      <c r="AF209" s="1"/>
      <c r="AH209" s="7"/>
      <c r="AJ209" s="1"/>
      <c r="AN209" s="1"/>
      <c r="AQ209" s="1"/>
    </row>
    <row r="210" spans="1:43" x14ac:dyDescent="0.2">
      <c r="A210" s="1" t="s">
        <v>1863</v>
      </c>
      <c r="B210" s="1" t="s">
        <v>4</v>
      </c>
      <c r="C210" s="7">
        <v>0.125</v>
      </c>
      <c r="D210" s="7">
        <v>1.0215000000000001</v>
      </c>
      <c r="E210" s="7">
        <f>aktuelleAnleihen[[#This Row],[Aktueller Kurs]]-aktuelleAnleihen[[#This Row],[Kaufkurs]]</f>
        <v>1.9999999999997797E-4</v>
      </c>
      <c r="F210" s="8">
        <f>aktuelleAnleihen[[#This Row],[Stückelung]]*aktuelleAnleihen[[#This Row],[Aktueller Kurs]]*aktuelleAnleihen[[#This Row],[Anteile]]/aktuelleAnleihen[[#This Row],[Aktueller Wechselkurs]]+aktuelleAnleihen[[#This Row],[Stückzinsen]]</f>
        <v>1995.3511948410342</v>
      </c>
      <c r="G210" s="8">
        <f>aktuelleAnleihen[[#This Row],[Kursdifferenz]]*aktuelleAnleihen[[#This Row],[Anteile]]*aktuelleAnleihen[[#This Row],[Stückelung]]/aktuelleAnleihen[[#This Row],[Wechselkurs am Kauftag]]</f>
        <v>0.36764705882348891</v>
      </c>
      <c r="H210" s="8">
        <f>aktuelleAnleihen[[#This Row],[Stückzinsen]]-aktuelleAnleihen[[#This Row],[Stückzinsen am Kauftag]]+aktuelleAnleihen[[#This Row],[Zinszahlungen]]</f>
        <v>1.1382923435587884</v>
      </c>
      <c r="I210" s="8">
        <f>aktuelleAnleihen[[#This Row],[Gewinn gesamt]]-aktuelleAnleihen[[#This Row],[Gewinn aus Kursänderung]]-aktuelleAnleihen[[#This Row],[Gewinn aus Zinsen]]</f>
        <v>-1.896544561348132</v>
      </c>
      <c r="J210" s="7">
        <f>aktuelleAnleihen[[#This Row],[Gewinn gesamt]]/aktuelleAnleihen[[#This Row],[Kaufpreis]]</f>
        <v>-1.9571928541350117E-4</v>
      </c>
      <c r="K210" s="3">
        <f>aktuelleAnleihen[[#This Row],[Verkaufspreis]]-aktuelleAnleihen[[#This Row],[Kaufpreis]]+aktuelleAnleihen[[#This Row],[Zinszahlungen]]</f>
        <v>-0.39060515896585457</v>
      </c>
      <c r="L210" s="4">
        <v>1995.7418</v>
      </c>
      <c r="M210" s="7">
        <v>1.0213000000000001</v>
      </c>
      <c r="N210" s="61">
        <v>1.0880000000000001</v>
      </c>
      <c r="O210" s="1">
        <v>1.0891</v>
      </c>
      <c r="P210" s="1" t="s">
        <v>887</v>
      </c>
      <c r="Q210" s="30">
        <v>45448</v>
      </c>
      <c r="R210" s="1">
        <v>2</v>
      </c>
      <c r="S210" s="1">
        <v>1000</v>
      </c>
      <c r="T210" s="9">
        <v>45260</v>
      </c>
      <c r="U210" s="1">
        <v>1</v>
      </c>
      <c r="V210" s="62">
        <f>aktuelleAnleihen[[#This Row],[Stückelung]]*aktuelleAnleihen[[#This Row],[Anteile]]*aktuelleAnleihen[[#This Row],[Coupon]]/aktuelleAnleihen[[#This Row],[Aktueller Wechselkurs]]*($AC$1-aktuelleAnleihen[[#This Row],[Letzte Zinszahlung]])/365</f>
        <v>119.49039234355878</v>
      </c>
      <c r="W210" s="4">
        <v>118.35209999999999</v>
      </c>
      <c r="X210" s="120" t="s">
        <v>65</v>
      </c>
      <c r="Y210" s="120" t="s">
        <v>52</v>
      </c>
      <c r="Z210" s="1" t="s">
        <v>1864</v>
      </c>
      <c r="AA210" s="1" t="s">
        <v>1865</v>
      </c>
      <c r="AB210" s="3">
        <f>SUMIF('Zinszahlungen Anleihen'!K:K,aktuelleAnleihen[[#This Row],[ISIN]],'Zinszahlungen Anleihen'!D:D)</f>
        <v>0</v>
      </c>
      <c r="AE210" s="10"/>
      <c r="AF210" s="1"/>
      <c r="AH210" s="7"/>
      <c r="AJ210" s="1"/>
      <c r="AN210" s="1"/>
      <c r="AQ210" s="1"/>
    </row>
    <row r="211" spans="1:43" x14ac:dyDescent="0.2">
      <c r="A211" s="1" t="s">
        <v>399</v>
      </c>
      <c r="B211" s="1" t="s">
        <v>0</v>
      </c>
      <c r="C211" s="7">
        <v>8.3750000000000005E-2</v>
      </c>
      <c r="D211" s="7">
        <v>1.0450999999999999</v>
      </c>
      <c r="E211" s="7">
        <f>aktuelleAnleihen[[#This Row],[Aktueller Kurs]]-aktuelleAnleihen[[#This Row],[Kaufkurs]]</f>
        <v>1.9999999999997797E-4</v>
      </c>
      <c r="F211" s="8">
        <f>aktuelleAnleihen[[#This Row],[Stückelung]]*aktuelleAnleihen[[#This Row],[Aktueller Kurs]]*aktuelleAnleihen[[#This Row],[Anteile]]/aktuelleAnleihen[[#This Row],[Aktueller Wechselkurs]]+aktuelleAnleihen[[#This Row],[Stückzinsen]]</f>
        <v>2155.8232876712327</v>
      </c>
      <c r="G211" s="8">
        <f>aktuelleAnleihen[[#This Row],[Kursdifferenz]]*aktuelleAnleihen[[#This Row],[Anteile]]*aktuelleAnleihen[[#This Row],[Stückelung]]/aktuelleAnleihen[[#This Row],[Wechselkurs am Kauftag]]</f>
        <v>0.39999999999995595</v>
      </c>
      <c r="H211" s="8">
        <f>aktuelleAnleihen[[#This Row],[Stückzinsen]]-aktuelleAnleihen[[#This Row],[Stückzinsen am Kauftag]]+aktuelleAnleihen[[#This Row],[Zinszahlungen]]</f>
        <v>29.828787671232874</v>
      </c>
      <c r="I211" s="8">
        <f>aktuelleAnleihen[[#This Row],[Gewinn gesamt]]-aktuelleAnleihen[[#This Row],[Gewinn aus Kursänderung]]-aktuelleAnleihen[[#This Row],[Gewinn aus Zinsen]]</f>
        <v>-2.6290081223123707E-13</v>
      </c>
      <c r="J211" s="7">
        <f>aktuelleAnleihen[[#This Row],[Gewinn gesamt]]/aktuelleAnleihen[[#This Row],[Kaufpreis]]</f>
        <v>1.4221333218180874E-2</v>
      </c>
      <c r="K211" s="3">
        <f>aktuelleAnleihen[[#This Row],[Verkaufspreis]]-aktuelleAnleihen[[#This Row],[Kaufpreis]]+aktuelleAnleihen[[#This Row],[Zinszahlungen]]</f>
        <v>30.228787671232567</v>
      </c>
      <c r="L211" s="4">
        <v>2125.5945000000002</v>
      </c>
      <c r="M211" s="7">
        <v>1.0448999999999999</v>
      </c>
      <c r="N211" s="61">
        <v>1</v>
      </c>
      <c r="O211" s="1">
        <v>1</v>
      </c>
      <c r="P211" s="1" t="s">
        <v>925</v>
      </c>
      <c r="Q211" s="30">
        <v>45385</v>
      </c>
      <c r="R211" s="1">
        <v>2</v>
      </c>
      <c r="S211" s="1">
        <v>1000</v>
      </c>
      <c r="T211" s="9">
        <v>45307</v>
      </c>
      <c r="U211" s="1">
        <v>2</v>
      </c>
      <c r="V211" s="62">
        <f>aktuelleAnleihen[[#This Row],[Stückelung]]*aktuelleAnleihen[[#This Row],[Anteile]]*aktuelleAnleihen[[#This Row],[Coupon]]/aktuelleAnleihen[[#This Row],[Aktueller Wechselkurs]]*($AC$1-aktuelleAnleihen[[#This Row],[Letzte Zinszahlung]])/365</f>
        <v>65.623287671232873</v>
      </c>
      <c r="W211" s="4">
        <v>35.794499999999999</v>
      </c>
      <c r="X211" s="120" t="s">
        <v>170</v>
      </c>
      <c r="Y211" s="120" t="s">
        <v>52</v>
      </c>
      <c r="Z211" s="1" t="s">
        <v>400</v>
      </c>
      <c r="AA211" s="1" t="s">
        <v>401</v>
      </c>
      <c r="AB211" s="3">
        <f>SUMIF('Zinszahlungen Anleihen'!K:K,aktuelleAnleihen[[#This Row],[ISIN]],'Zinszahlungen Anleihen'!D:D)</f>
        <v>0</v>
      </c>
      <c r="AE211" s="10"/>
      <c r="AF211" s="1"/>
      <c r="AH211" s="7"/>
      <c r="AJ211" s="1"/>
      <c r="AN211" s="1"/>
      <c r="AQ211" s="1"/>
    </row>
    <row r="212" spans="1:43" x14ac:dyDescent="0.2">
      <c r="A212" s="1" t="s">
        <v>586</v>
      </c>
      <c r="B212" s="1" t="s">
        <v>0</v>
      </c>
      <c r="C212" s="7">
        <v>7.3749999999999996E-2</v>
      </c>
      <c r="D212" s="7">
        <v>0.89980000000000004</v>
      </c>
      <c r="E212" s="7">
        <f>aktuelleAnleihen[[#This Row],[Aktueller Kurs]]-aktuelleAnleihen[[#This Row],[Kaufkurs]]</f>
        <v>2.00000000000089E-4</v>
      </c>
      <c r="F212" s="8">
        <f>aktuelleAnleihen[[#This Row],[Stückelung]]*aktuelleAnleihen[[#This Row],[Aktueller Kurs]]*aktuelleAnleihen[[#This Row],[Anteile]]/aktuelleAnleihen[[#This Row],[Aktueller Wechselkurs]]+aktuelleAnleihen[[#This Row],[Stückzinsen]]</f>
        <v>1803.2369863013701</v>
      </c>
      <c r="G212" s="8">
        <f>aktuelleAnleihen[[#This Row],[Kursdifferenz]]*aktuelleAnleihen[[#This Row],[Anteile]]*aktuelleAnleihen[[#This Row],[Stückelung]]/aktuelleAnleihen[[#This Row],[Wechselkurs am Kauftag]]</f>
        <v>0.40000000000017799</v>
      </c>
      <c r="H212" s="8">
        <f>aktuelleAnleihen[[#This Row],[Stückzinsen]]-aktuelleAnleihen[[#This Row],[Stückzinsen am Kauftag]]+aktuelleAnleihen[[#This Row],[Zinszahlungen]]</f>
        <v>26.469186301369866</v>
      </c>
      <c r="I212" s="8">
        <f>aktuelleAnleihen[[#This Row],[Gewinn gesamt]]-aktuelleAnleihen[[#This Row],[Gewinn aus Kursänderung]]-aktuelleAnleihen[[#This Row],[Gewinn aus Zinsen]]</f>
        <v>0</v>
      </c>
      <c r="J212" s="7">
        <f>aktuelleAnleihen[[#This Row],[Gewinn gesamt]]/aktuelleAnleihen[[#This Row],[Kaufpreis]]</f>
        <v>1.4522959727953574E-2</v>
      </c>
      <c r="K212" s="3">
        <f>aktuelleAnleihen[[#This Row],[Verkaufspreis]]-aktuelleAnleihen[[#This Row],[Kaufpreis]]+aktuelleAnleihen[[#This Row],[Zinszahlungen]]</f>
        <v>26.869186301370064</v>
      </c>
      <c r="L212" s="4">
        <v>1850.1178</v>
      </c>
      <c r="M212" s="7">
        <v>0.89959999999999996</v>
      </c>
      <c r="N212" s="61">
        <v>1</v>
      </c>
      <c r="O212" s="1">
        <v>1</v>
      </c>
      <c r="P212" s="1" t="s">
        <v>925</v>
      </c>
      <c r="Q212" s="30">
        <v>45385</v>
      </c>
      <c r="R212" s="1">
        <v>2</v>
      </c>
      <c r="S212" s="1">
        <v>1000</v>
      </c>
      <c r="T212" s="9">
        <v>45441</v>
      </c>
      <c r="U212" s="1">
        <v>2</v>
      </c>
      <c r="V212" s="62">
        <f>aktuelleAnleihen[[#This Row],[Stückelung]]*aktuelleAnleihen[[#This Row],[Anteile]]*aktuelleAnleihen[[#This Row],[Coupon]]/aktuelleAnleihen[[#This Row],[Aktueller Wechselkurs]]*($AC$1-aktuelleAnleihen[[#This Row],[Letzte Zinszahlung]])/365</f>
        <v>3.6369863013698631</v>
      </c>
      <c r="W212" s="4">
        <v>50.9178</v>
      </c>
      <c r="X212" s="120" t="s">
        <v>51</v>
      </c>
      <c r="Y212" s="120" t="s">
        <v>341</v>
      </c>
      <c r="Z212" s="1" t="s">
        <v>587</v>
      </c>
      <c r="AA212" s="1" t="s">
        <v>588</v>
      </c>
      <c r="AB212" s="3">
        <f>SUMIF('Zinszahlungen Anleihen'!K:K,aktuelleAnleihen[[#This Row],[ISIN]],'Zinszahlungen Anleihen'!D:D)</f>
        <v>73.75</v>
      </c>
      <c r="AE212" s="10"/>
      <c r="AF212" s="1"/>
      <c r="AH212" s="7"/>
      <c r="AJ212" s="1"/>
      <c r="AN212" s="1"/>
      <c r="AQ212" s="1"/>
    </row>
    <row r="213" spans="1:43" x14ac:dyDescent="0.2">
      <c r="A213" s="1" t="s">
        <v>1152</v>
      </c>
      <c r="B213" s="1" t="s">
        <v>0</v>
      </c>
      <c r="C213" s="7">
        <v>9.7000000000000003E-2</v>
      </c>
      <c r="D213" s="7">
        <v>0.96830000000000005</v>
      </c>
      <c r="E213" s="7">
        <f>aktuelleAnleihen[[#This Row],[Aktueller Kurs]]-aktuelleAnleihen[[#This Row],[Kaufkurs]]</f>
        <v>3.0000000000007798E-4</v>
      </c>
      <c r="F213" s="8">
        <f>aktuelleAnleihen[[#This Row],[Stückelung]]*aktuelleAnleihen[[#This Row],[Aktueller Kurs]]*aktuelleAnleihen[[#This Row],[Anteile]]/aktuelleAnleihen[[#This Row],[Aktueller Wechselkurs]]+aktuelleAnleihen[[#This Row],[Stückzinsen]]</f>
        <v>1854.2971889570754</v>
      </c>
      <c r="G213" s="8">
        <f>aktuelleAnleihen[[#This Row],[Kursdifferenz]]*aktuelleAnleihen[[#This Row],[Anteile]]*aktuelleAnleihen[[#This Row],[Stückelung]]/aktuelleAnleihen[[#This Row],[Wechselkurs am Kauftag]]</f>
        <v>0.5595449034786496</v>
      </c>
      <c r="H213" s="8">
        <f>aktuelleAnleihen[[#This Row],[Stückzinsen]]-aktuelleAnleihen[[#This Row],[Stückzinsen am Kauftag]]+aktuelleAnleihen[[#This Row],[Zinszahlungen]]</f>
        <v>17.642731239693966</v>
      </c>
      <c r="I213" s="8">
        <f>aktuelleAnleihen[[#This Row],[Gewinn gesamt]]-aktuelleAnleihen[[#This Row],[Gewinn aus Kursänderung]]-aktuelleAnleihen[[#This Row],[Gewinn aus Zinsen]]</f>
        <v>-27.858987186097213</v>
      </c>
      <c r="J213" s="7">
        <f>aktuelleAnleihen[[#This Row],[Gewinn gesamt]]/aktuelleAnleihen[[#This Row],[Kaufpreis]]</f>
        <v>-5.1807671010128519E-3</v>
      </c>
      <c r="K213" s="3">
        <f>aktuelleAnleihen[[#This Row],[Verkaufspreis]]-aktuelleAnleihen[[#This Row],[Kaufpreis]]+aktuelleAnleihen[[#This Row],[Zinszahlungen]]</f>
        <v>-9.6567110429245986</v>
      </c>
      <c r="L213" s="4">
        <v>1863.9539</v>
      </c>
      <c r="M213" s="7">
        <v>0.96799999999999997</v>
      </c>
      <c r="N213" s="61">
        <v>1.0723</v>
      </c>
      <c r="O213" s="1">
        <v>1.0891</v>
      </c>
      <c r="P213" s="1" t="s">
        <v>887</v>
      </c>
      <c r="Q213" s="30">
        <v>45412</v>
      </c>
      <c r="R213" s="1">
        <v>2</v>
      </c>
      <c r="S213" s="1">
        <v>1000</v>
      </c>
      <c r="T213" s="9">
        <v>45294</v>
      </c>
      <c r="U213" s="1">
        <v>2</v>
      </c>
      <c r="V213" s="62">
        <f>aktuelleAnleihen[[#This Row],[Stückelung]]*aktuelleAnleihen[[#This Row],[Anteile]]*aktuelleAnleihen[[#This Row],[Coupon]]/aktuelleAnleihen[[#This Row],[Aktueller Wechselkurs]]*($AC$1-aktuelleAnleihen[[#This Row],[Letzte Zinszahlung]])/365</f>
        <v>76.131731239693963</v>
      </c>
      <c r="W213" s="4">
        <v>58.488999999999997</v>
      </c>
      <c r="X213" s="120" t="s">
        <v>1153</v>
      </c>
      <c r="Y213" s="120" t="s">
        <v>52</v>
      </c>
      <c r="Z213" s="1" t="s">
        <v>1154</v>
      </c>
      <c r="AA213" s="1" t="s">
        <v>1155</v>
      </c>
      <c r="AB213" s="3">
        <f>SUMIF('Zinszahlungen Anleihen'!K:K,aktuelleAnleihen[[#This Row],[ISIN]],'Zinszahlungen Anleihen'!D:D)</f>
        <v>0</v>
      </c>
      <c r="AE213" s="10"/>
      <c r="AF213" s="1"/>
      <c r="AH213" s="7"/>
      <c r="AJ213" s="1"/>
      <c r="AN213" s="1"/>
      <c r="AQ213" s="1"/>
    </row>
    <row r="214" spans="1:43" x14ac:dyDescent="0.2">
      <c r="A214" s="1" t="s">
        <v>644</v>
      </c>
      <c r="B214" s="1" t="s">
        <v>0</v>
      </c>
      <c r="C214" s="7">
        <v>7.0000000000000007E-2</v>
      </c>
      <c r="D214" s="7">
        <v>1.0305</v>
      </c>
      <c r="E214" s="7">
        <f>aktuelleAnleihen[[#This Row],[Aktueller Kurs]]-aktuelleAnleihen[[#This Row],[Kaufkurs]]</f>
        <v>3.9999999999995595E-4</v>
      </c>
      <c r="F214" s="8">
        <f>aktuelleAnleihen[[#This Row],[Stückelung]]*aktuelleAnleihen[[#This Row],[Aktueller Kurs]]*aktuelleAnleihen[[#This Row],[Anteile]]/aktuelleAnleihen[[#This Row],[Aktueller Wechselkurs]]+aktuelleAnleihen[[#This Row],[Stückzinsen]]</f>
        <v>2145</v>
      </c>
      <c r="G214" s="8">
        <f>aktuelleAnleihen[[#This Row],[Kursdifferenz]]*aktuelleAnleihen[[#This Row],[Anteile]]*aktuelleAnleihen[[#This Row],[Stückelung]]/aktuelleAnleihen[[#This Row],[Wechselkurs am Kauftag]]</f>
        <v>0.79999999999991189</v>
      </c>
      <c r="H214" s="8">
        <f>aktuelleAnleihen[[#This Row],[Stückzinsen]]-aktuelleAnleihen[[#This Row],[Stückzinsen am Kauftag]]+aktuelleAnleihen[[#This Row],[Zinszahlungen]]</f>
        <v>24.9315</v>
      </c>
      <c r="I214" s="8">
        <f>aktuelleAnleihen[[#This Row],[Gewinn gesamt]]-aktuelleAnleihen[[#This Row],[Gewinn aus Kursänderung]]-aktuelleAnleihen[[#This Row],[Gewinn aus Zinsen]]</f>
        <v>-4.2632564145606011E-14</v>
      </c>
      <c r="J214" s="7">
        <f>aktuelleAnleihen[[#This Row],[Gewinn gesamt]]/aktuelleAnleihen[[#This Row],[Kaufpreis]]</f>
        <v>1.2141689455583315E-2</v>
      </c>
      <c r="K214" s="3">
        <f>aktuelleAnleihen[[#This Row],[Verkaufspreis]]-aktuelleAnleihen[[#This Row],[Kaufpreis]]+aktuelleAnleihen[[#This Row],[Zinszahlungen]]</f>
        <v>25.731499999999869</v>
      </c>
      <c r="L214" s="4">
        <v>2119.2685000000001</v>
      </c>
      <c r="M214" s="7">
        <v>1.0301</v>
      </c>
      <c r="N214" s="61">
        <v>1</v>
      </c>
      <c r="O214" s="1">
        <v>1</v>
      </c>
      <c r="P214" s="1" t="s">
        <v>925</v>
      </c>
      <c r="Q214" s="30">
        <v>45385</v>
      </c>
      <c r="R214" s="1">
        <v>2</v>
      </c>
      <c r="S214" s="1">
        <v>1000</v>
      </c>
      <c r="T214" s="9">
        <v>45231</v>
      </c>
      <c r="U214" s="1">
        <v>1</v>
      </c>
      <c r="V214" s="62">
        <f>aktuelleAnleihen[[#This Row],[Stückelung]]*aktuelleAnleihen[[#This Row],[Anteile]]*aktuelleAnleihen[[#This Row],[Coupon]]/aktuelleAnleihen[[#This Row],[Aktueller Wechselkurs]]*($AC$1-aktuelleAnleihen[[#This Row],[Letzte Zinszahlung]])/365</f>
        <v>84</v>
      </c>
      <c r="W214" s="4">
        <v>59.0685</v>
      </c>
      <c r="X214" s="120" t="s">
        <v>56</v>
      </c>
      <c r="Y214" s="120" t="s">
        <v>81</v>
      </c>
      <c r="Z214" s="1" t="s">
        <v>645</v>
      </c>
      <c r="AA214" s="1" t="s">
        <v>646</v>
      </c>
      <c r="AB214" s="3">
        <f>SUMIF('Zinszahlungen Anleihen'!K:K,aktuelleAnleihen[[#This Row],[ISIN]],'Zinszahlungen Anleihen'!D:D)</f>
        <v>0</v>
      </c>
      <c r="AE214" s="10"/>
      <c r="AF214" s="1"/>
      <c r="AH214" s="7"/>
      <c r="AJ214" s="1"/>
      <c r="AN214" s="1"/>
      <c r="AQ214" s="1"/>
    </row>
    <row r="215" spans="1:43" x14ac:dyDescent="0.2">
      <c r="A215" s="1" t="s">
        <v>783</v>
      </c>
      <c r="B215" s="1" t="s">
        <v>0</v>
      </c>
      <c r="C215" s="7">
        <v>6.3750000000000001E-2</v>
      </c>
      <c r="D215" s="7">
        <v>0.82889999999999997</v>
      </c>
      <c r="E215" s="7">
        <f>aktuelleAnleihen[[#This Row],[Aktueller Kurs]]-aktuelleAnleihen[[#This Row],[Kaufkurs]]</f>
        <v>4.0000000000006697E-4</v>
      </c>
      <c r="F215" s="8">
        <f>aktuelleAnleihen[[#This Row],[Stückelung]]*aktuelleAnleihen[[#This Row],[Aktueller Kurs]]*aktuelleAnleihen[[#This Row],[Anteile]]/aktuelleAnleihen[[#This Row],[Aktueller Wechselkurs]]+aktuelleAnleihen[[#This Row],[Stückzinsen]]</f>
        <v>1772.3753424657534</v>
      </c>
      <c r="G215" s="8">
        <f>aktuelleAnleihen[[#This Row],[Kursdifferenz]]*aktuelleAnleihen[[#This Row],[Anteile]]*aktuelleAnleihen[[#This Row],[Stückelung]]/aktuelleAnleihen[[#This Row],[Wechselkurs am Kauftag]]</f>
        <v>0.80000000000013394</v>
      </c>
      <c r="H215" s="8">
        <f>aktuelleAnleihen[[#This Row],[Stückzinsen]]-aktuelleAnleihen[[#This Row],[Stückzinsen am Kauftag]]+aktuelleAnleihen[[#This Row],[Zinszahlungen]]</f>
        <v>22.705442465753421</v>
      </c>
      <c r="I215" s="8">
        <f>aktuelleAnleihen[[#This Row],[Gewinn gesamt]]-aktuelleAnleihen[[#This Row],[Gewinn aus Kursänderung]]-aktuelleAnleihen[[#This Row],[Gewinn aus Zinsen]]</f>
        <v>-4.9737991503207013E-14</v>
      </c>
      <c r="J215" s="7">
        <f>aktuelleAnleihen[[#This Row],[Gewinn gesamt]]/aktuelleAnleihen[[#This Row],[Kaufpreis]]</f>
        <v>1.3440360810002794E-2</v>
      </c>
      <c r="K215" s="3">
        <f>aktuelleAnleihen[[#This Row],[Verkaufspreis]]-aktuelleAnleihen[[#This Row],[Kaufpreis]]+aktuelleAnleihen[[#This Row],[Zinszahlungen]]</f>
        <v>23.505442465753504</v>
      </c>
      <c r="L215" s="4">
        <v>1748.8698999999999</v>
      </c>
      <c r="M215" s="7">
        <v>0.8284999999999999</v>
      </c>
      <c r="N215" s="61">
        <v>1</v>
      </c>
      <c r="O215" s="1">
        <v>1</v>
      </c>
      <c r="P215" s="1" t="s">
        <v>925</v>
      </c>
      <c r="Q215" s="30">
        <v>45385</v>
      </c>
      <c r="R215" s="1">
        <v>2</v>
      </c>
      <c r="S215" s="1">
        <v>1000</v>
      </c>
      <c r="T215" s="9">
        <v>45122</v>
      </c>
      <c r="U215" s="1">
        <v>1</v>
      </c>
      <c r="V215" s="62">
        <f>aktuelleAnleihen[[#This Row],[Stückelung]]*aktuelleAnleihen[[#This Row],[Anteile]]*aktuelleAnleihen[[#This Row],[Coupon]]/aktuelleAnleihen[[#This Row],[Aktueller Wechselkurs]]*($AC$1-aktuelleAnleihen[[#This Row],[Letzte Zinszahlung]])/365</f>
        <v>114.57534246575342</v>
      </c>
      <c r="W215" s="4">
        <v>91.869900000000001</v>
      </c>
      <c r="X215" s="120" t="s">
        <v>784</v>
      </c>
      <c r="Y215" s="120" t="s">
        <v>44</v>
      </c>
      <c r="Z215" s="1" t="s">
        <v>785</v>
      </c>
      <c r="AA215" s="1" t="s">
        <v>786</v>
      </c>
      <c r="AB215" s="3">
        <f>SUMIF('Zinszahlungen Anleihen'!K:K,aktuelleAnleihen[[#This Row],[ISIN]],'Zinszahlungen Anleihen'!D:D)</f>
        <v>0</v>
      </c>
      <c r="AE215" s="10"/>
      <c r="AF215" s="1"/>
      <c r="AH215" s="7"/>
      <c r="AJ215" s="1"/>
      <c r="AN215" s="1"/>
      <c r="AQ215" s="1"/>
    </row>
    <row r="216" spans="1:43" x14ac:dyDescent="0.2">
      <c r="A216" s="1" t="s">
        <v>1173</v>
      </c>
      <c r="B216" s="1" t="s">
        <v>10</v>
      </c>
      <c r="C216" s="7">
        <v>9.5000000000000001E-2</v>
      </c>
      <c r="D216" s="7">
        <v>0.99758999999999998</v>
      </c>
      <c r="E216" s="7">
        <f>aktuelleAnleihen[[#This Row],[Aktueller Kurs]]-aktuelleAnleihen[[#This Row],[Kaufkurs]]</f>
        <v>4.8999999999999044E-4</v>
      </c>
      <c r="F216" s="8">
        <f>aktuelleAnleihen[[#This Row],[Stückelung]]*aktuelleAnleihen[[#This Row],[Aktueller Kurs]]*aktuelleAnleihen[[#This Row],[Anteile]]/aktuelleAnleihen[[#This Row],[Aktueller Wechselkurs]]+aktuelleAnleihen[[#This Row],[Stückzinsen]]</f>
        <v>1835.7766812612651</v>
      </c>
      <c r="G216" s="8">
        <f>aktuelleAnleihen[[#This Row],[Kursdifferenz]]*aktuelleAnleihen[[#This Row],[Anteile]]*aktuelleAnleihen[[#This Row],[Stückelung]]/aktuelleAnleihen[[#This Row],[Wechselkurs am Kauftag]]</f>
        <v>0.9139233423482056</v>
      </c>
      <c r="H216" s="8">
        <f>aktuelleAnleihen[[#This Row],[Stückzinsen]]-aktuelleAnleihen[[#This Row],[Stückzinsen am Kauftag]]+aktuelleAnleihen[[#This Row],[Zinszahlungen]]</f>
        <v>17.722204129666224</v>
      </c>
      <c r="I216" s="8">
        <f>aktuelleAnleihen[[#This Row],[Gewinn gesamt]]-aktuelleAnleihen[[#This Row],[Gewinn aus Kursänderung]]-aktuelleAnleihen[[#This Row],[Gewinn aus Zinsen]]</f>
        <v>-28.701634636076925</v>
      </c>
      <c r="J216" s="7">
        <f>aktuelleAnleihen[[#This Row],[Gewinn gesamt]]/aktuelleAnleihen[[#This Row],[Kaufpreis]]</f>
        <v>-5.2057696799404241E-3</v>
      </c>
      <c r="K216" s="3">
        <f>aktuelleAnleihen[[#This Row],[Verkaufspreis]]-aktuelleAnleihen[[#This Row],[Kaufpreis]]+aktuelleAnleihen[[#This Row],[Zinszahlungen]]</f>
        <v>-10.065507164062495</v>
      </c>
      <c r="L216" s="4">
        <v>1933.5291</v>
      </c>
      <c r="M216" s="7">
        <v>0.99709999999999999</v>
      </c>
      <c r="N216" s="61">
        <v>1.0723</v>
      </c>
      <c r="O216" s="1">
        <v>1.0891</v>
      </c>
      <c r="P216" s="1" t="s">
        <v>887</v>
      </c>
      <c r="Q216" s="30">
        <v>45412</v>
      </c>
      <c r="R216" s="1">
        <v>2</v>
      </c>
      <c r="S216" s="1">
        <v>1000</v>
      </c>
      <c r="T216" s="9">
        <v>45442</v>
      </c>
      <c r="U216" s="1">
        <v>2</v>
      </c>
      <c r="V216" s="62">
        <f>aktuelleAnleihen[[#This Row],[Stückelung]]*aktuelleAnleihen[[#This Row],[Anteile]]*aktuelleAnleihen[[#This Row],[Coupon]]/aktuelleAnleihen[[#This Row],[Aktueller Wechselkurs]]*($AC$1-aktuelleAnleihen[[#This Row],[Letzte Zinszahlung]])/365</f>
        <v>3.8236925549938809</v>
      </c>
      <c r="W216" s="4">
        <v>73.788399999999996</v>
      </c>
      <c r="X216" s="120" t="s">
        <v>276</v>
      </c>
      <c r="Y216" s="120" t="s">
        <v>109</v>
      </c>
      <c r="Z216" s="1" t="s">
        <v>1174</v>
      </c>
      <c r="AA216" s="1" t="s">
        <v>1175</v>
      </c>
      <c r="AB216" s="3">
        <f>SUMIF('Zinszahlungen Anleihen'!K:K,aktuelleAnleihen[[#This Row],[ISIN]],'Zinszahlungen Anleihen'!D:D)</f>
        <v>87.686911574672337</v>
      </c>
      <c r="AE216" s="10"/>
      <c r="AF216" s="1"/>
      <c r="AH216" s="7"/>
      <c r="AJ216" s="1"/>
      <c r="AN216" s="1"/>
      <c r="AQ216" s="1"/>
    </row>
    <row r="217" spans="1:43" x14ac:dyDescent="0.2">
      <c r="A217" s="1" t="s">
        <v>1317</v>
      </c>
      <c r="B217" s="1" t="s">
        <v>4</v>
      </c>
      <c r="C217" s="7">
        <v>0.09</v>
      </c>
      <c r="D217" s="7">
        <v>0.98089999999999999</v>
      </c>
      <c r="E217" s="7">
        <f>aktuelleAnleihen[[#This Row],[Aktueller Kurs]]-aktuelleAnleihen[[#This Row],[Kaufkurs]]</f>
        <v>4.9999999999994493E-4</v>
      </c>
      <c r="F217" s="8">
        <f>aktuelleAnleihen[[#This Row],[Stückelung]]*aktuelleAnleihen[[#This Row],[Aktueller Kurs]]*aktuelleAnleihen[[#This Row],[Anteile]]/aktuelleAnleihen[[#This Row],[Aktueller Wechselkurs]]+aktuelleAnleihen[[#This Row],[Stückzinsen]]</f>
        <v>1807.1903029144337</v>
      </c>
      <c r="G217" s="8">
        <f>aktuelleAnleihen[[#This Row],[Kursdifferenz]]*aktuelleAnleihen[[#This Row],[Anteile]]*aktuelleAnleihen[[#This Row],[Stückelung]]/aktuelleAnleihen[[#This Row],[Wechselkurs am Kauftag]]</f>
        <v>0.93257483913073747</v>
      </c>
      <c r="H217" s="8">
        <f>aktuelleAnleihen[[#This Row],[Stückzinsen]]-aktuelleAnleihen[[#This Row],[Stückzinsen am Kauftag]]+aktuelleAnleihen[[#This Row],[Zinszahlungen]]</f>
        <v>16.654424456738184</v>
      </c>
      <c r="I217" s="8">
        <f>aktuelleAnleihen[[#This Row],[Gewinn gesamt]]-aktuelleAnleihen[[#This Row],[Gewinn aus Kursänderung]]-aktuelleAnleihen[[#This Row],[Gewinn aus Zinsen]]</f>
        <v>-28.221445989621856</v>
      </c>
      <c r="J217" s="7">
        <f>aktuelleAnleihen[[#This Row],[Gewinn gesamt]]/aktuelleAnleihen[[#This Row],[Kaufpreis]]</f>
        <v>-5.5947303650799819E-3</v>
      </c>
      <c r="K217" s="3">
        <f>aktuelleAnleihen[[#This Row],[Verkaufspreis]]-aktuelleAnleihen[[#This Row],[Kaufpreis]]+aktuelleAnleihen[[#This Row],[Zinszahlungen]]</f>
        <v>-10.634446693752935</v>
      </c>
      <c r="L217" s="4">
        <v>1900.797</v>
      </c>
      <c r="M217" s="7">
        <v>0.98040000000000005</v>
      </c>
      <c r="N217" s="61">
        <v>1.0723</v>
      </c>
      <c r="O217" s="1">
        <v>1.0891</v>
      </c>
      <c r="P217" s="1" t="s">
        <v>887</v>
      </c>
      <c r="Q217" s="30">
        <v>45412</v>
      </c>
      <c r="R217" s="1">
        <v>2</v>
      </c>
      <c r="S217" s="1">
        <v>1000</v>
      </c>
      <c r="T217" s="9">
        <v>45437</v>
      </c>
      <c r="U217" s="1">
        <v>2</v>
      </c>
      <c r="V217" s="62">
        <f>aktuelleAnleihen[[#This Row],[Stückelung]]*aktuelleAnleihen[[#This Row],[Anteile]]*aktuelleAnleihen[[#This Row],[Coupon]]/aktuelleAnleihen[[#This Row],[Aktueller Wechselkurs]]*($AC$1-aktuelleAnleihen[[#This Row],[Letzte Zinszahlung]])/365</f>
        <v>5.8864740649247898</v>
      </c>
      <c r="W217" s="4">
        <v>72.204300000000003</v>
      </c>
      <c r="X217" s="120" t="s">
        <v>1004</v>
      </c>
      <c r="Y217" s="120" t="s">
        <v>52</v>
      </c>
      <c r="Z217" s="1" t="s">
        <v>1318</v>
      </c>
      <c r="AA217" s="1" t="s">
        <v>1319</v>
      </c>
      <c r="AB217" s="3">
        <f>SUMIF('Zinszahlungen Anleihen'!K:K,aktuelleAnleihen[[#This Row],[ISIN]],'Zinszahlungen Anleihen'!D:D)</f>
        <v>82.972250391813404</v>
      </c>
      <c r="AE217" s="10"/>
      <c r="AF217" s="1"/>
      <c r="AH217" s="7"/>
      <c r="AJ217" s="1"/>
      <c r="AN217" s="1"/>
      <c r="AQ217" s="1"/>
    </row>
    <row r="218" spans="1:43" x14ac:dyDescent="0.2">
      <c r="A218" s="1" t="s">
        <v>1179</v>
      </c>
      <c r="B218" s="1" t="s">
        <v>11</v>
      </c>
      <c r="C218" s="7">
        <v>9.5000000000000001E-2</v>
      </c>
      <c r="D218" s="7">
        <v>0.78849999999999998</v>
      </c>
      <c r="E218" s="7">
        <f>aktuelleAnleihen[[#This Row],[Aktueller Kurs]]-aktuelleAnleihen[[#This Row],[Kaufkurs]]</f>
        <v>5.0000000000005596E-4</v>
      </c>
      <c r="F218" s="8">
        <f>aktuelleAnleihen[[#This Row],[Stückelung]]*aktuelleAnleihen[[#This Row],[Aktueller Kurs]]*aktuelleAnleihen[[#This Row],[Anteile]]/aktuelleAnleihen[[#This Row],[Aktueller Wechselkurs]]+aktuelleAnleihen[[#This Row],[Stückzinsen]]</f>
        <v>1516.8110404091351</v>
      </c>
      <c r="G218" s="8">
        <f>aktuelleAnleihen[[#This Row],[Kursdifferenz]]*aktuelleAnleihen[[#This Row],[Anteile]]*aktuelleAnleihen[[#This Row],[Stückelung]]/aktuelleAnleihen[[#This Row],[Wechselkurs am Kauftag]]</f>
        <v>0.93257483913094463</v>
      </c>
      <c r="H218" s="8">
        <f>aktuelleAnleihen[[#This Row],[Stückzinsen]]-aktuelleAnleihen[[#This Row],[Stückzinsen am Kauftag]]+aktuelleAnleihen[[#This Row],[Zinszahlungen]]</f>
        <v>17.368765989889852</v>
      </c>
      <c r="I218" s="8">
        <f>aktuelleAnleihen[[#This Row],[Gewinn gesamt]]-aktuelleAnleihen[[#This Row],[Gewinn aus Kursänderung]]-aktuelleAnleihen[[#This Row],[Gewinn aus Zinsen]]</f>
        <v>-22.685900419885705</v>
      </c>
      <c r="J218" s="7">
        <f>aktuelleAnleihen[[#This Row],[Gewinn gesamt]]/aktuelleAnleihen[[#This Row],[Kaufpreis]]</f>
        <v>-2.8823115126449944E-3</v>
      </c>
      <c r="K218" s="3">
        <f>aktuelleAnleihen[[#This Row],[Verkaufspreis]]-aktuelleAnleihen[[#This Row],[Kaufpreis]]+aktuelleAnleihen[[#This Row],[Zinszahlungen]]</f>
        <v>-4.3845595908649102</v>
      </c>
      <c r="L218" s="4">
        <v>1521.1956</v>
      </c>
      <c r="M218" s="7">
        <v>0.78799999999999992</v>
      </c>
      <c r="N218" s="61">
        <v>1.0723</v>
      </c>
      <c r="O218" s="1">
        <v>1.0891</v>
      </c>
      <c r="P218" s="1" t="s">
        <v>887</v>
      </c>
      <c r="Q218" s="30">
        <v>45412</v>
      </c>
      <c r="R218" s="1">
        <v>2</v>
      </c>
      <c r="S218" s="1">
        <v>1000</v>
      </c>
      <c r="T218" s="9">
        <v>45306</v>
      </c>
      <c r="U218" s="1">
        <v>2</v>
      </c>
      <c r="V218" s="62">
        <f>aktuelleAnleihen[[#This Row],[Stückelung]]*aktuelleAnleihen[[#This Row],[Anteile]]*aktuelleAnleihen[[#This Row],[Coupon]]/aktuelleAnleihen[[#This Row],[Aktueller Wechselkurs]]*($AC$1-aktuelleAnleihen[[#This Row],[Letzte Zinszahlung]])/365</f>
        <v>68.826465989889854</v>
      </c>
      <c r="W218" s="4">
        <v>51.457700000000003</v>
      </c>
      <c r="X218" s="120" t="s">
        <v>1180</v>
      </c>
      <c r="Y218" s="120" t="s">
        <v>39</v>
      </c>
      <c r="Z218" s="1" t="s">
        <v>1181</v>
      </c>
      <c r="AA218" s="1" t="s">
        <v>1182</v>
      </c>
      <c r="AB218" s="3">
        <f>SUMIF('Zinszahlungen Anleihen'!K:K,aktuelleAnleihen[[#This Row],[ISIN]],'Zinszahlungen Anleihen'!D:D)</f>
        <v>0</v>
      </c>
      <c r="AE218" s="10"/>
      <c r="AF218" s="1"/>
      <c r="AH218" s="7"/>
      <c r="AJ218" s="1"/>
      <c r="AN218" s="1"/>
      <c r="AQ218" s="1"/>
    </row>
    <row r="219" spans="1:43" x14ac:dyDescent="0.2">
      <c r="A219" s="1" t="s">
        <v>1343</v>
      </c>
      <c r="B219" s="1" t="s">
        <v>0</v>
      </c>
      <c r="C219" s="7">
        <v>8.8749999999999996E-2</v>
      </c>
      <c r="D219" s="7">
        <v>1.0518000000000001</v>
      </c>
      <c r="E219" s="7">
        <f>aktuelleAnleihen[[#This Row],[Aktueller Kurs]]-aktuelleAnleihen[[#This Row],[Kaufkurs]]</f>
        <v>5.0000000000016698E-4</v>
      </c>
      <c r="F219" s="8">
        <f>aktuelleAnleihen[[#This Row],[Stückelung]]*aktuelleAnleihen[[#This Row],[Aktueller Kurs]]*aktuelleAnleihen[[#This Row],[Anteile]]/aktuelleAnleihen[[#This Row],[Aktueller Wechselkurs]]+aktuelleAnleihen[[#This Row],[Stückzinsen]]</f>
        <v>1975.2617154040729</v>
      </c>
      <c r="G219" s="8">
        <f>aktuelleAnleihen[[#This Row],[Kursdifferenz]]*aktuelleAnleihen[[#This Row],[Anteile]]*aktuelleAnleihen[[#This Row],[Stückelung]]/aktuelleAnleihen[[#This Row],[Wechselkurs am Kauftag]]</f>
        <v>0.93257483913115169</v>
      </c>
      <c r="H219" s="8">
        <f>aktuelleAnleihen[[#This Row],[Stückzinsen]]-aktuelleAnleihen[[#This Row],[Stückzinsen am Kauftag]]+aktuelleAnleihen[[#This Row],[Zinszahlungen]]</f>
        <v>16.547939469814846</v>
      </c>
      <c r="I219" s="8">
        <f>aktuelleAnleihen[[#This Row],[Gewinn gesamt]]-aktuelleAnleihen[[#This Row],[Gewinn aus Kursänderung]]-aktuelleAnleihen[[#This Row],[Gewinn aus Zinsen]]</f>
        <v>-30.26139890487309</v>
      </c>
      <c r="J219" s="7">
        <f>aktuelleAnleihen[[#This Row],[Gewinn gesamt]]/aktuelleAnleihen[[#This Row],[Kaufpreis]]</f>
        <v>-6.4288786346565667E-3</v>
      </c>
      <c r="K219" s="3">
        <f>aktuelleAnleihen[[#This Row],[Verkaufspreis]]-aktuelleAnleihen[[#This Row],[Kaufpreis]]+aktuelleAnleihen[[#This Row],[Zinszahlungen]]</f>
        <v>-12.780884595927091</v>
      </c>
      <c r="L219" s="4">
        <v>1988.0426</v>
      </c>
      <c r="M219" s="7">
        <v>1.0512999999999999</v>
      </c>
      <c r="N219" s="61">
        <v>1.0723</v>
      </c>
      <c r="O219" s="1">
        <v>1.0891</v>
      </c>
      <c r="P219" s="1" t="s">
        <v>887</v>
      </c>
      <c r="Q219" s="30">
        <v>45412</v>
      </c>
      <c r="R219" s="1">
        <v>2</v>
      </c>
      <c r="S219" s="1">
        <v>1000</v>
      </c>
      <c r="T219" s="9">
        <v>45352</v>
      </c>
      <c r="U219" s="1">
        <v>2</v>
      </c>
      <c r="V219" s="62">
        <f>aktuelleAnleihen[[#This Row],[Stückelung]]*aktuelleAnleihen[[#This Row],[Anteile]]*aktuelleAnleihen[[#This Row],[Coupon]]/aktuelleAnleihen[[#This Row],[Aktueller Wechselkurs]]*($AC$1-aktuelleAnleihen[[#This Row],[Letzte Zinszahlung]])/365</f>
        <v>43.758639469814845</v>
      </c>
      <c r="W219" s="4">
        <v>27.210699999999999</v>
      </c>
      <c r="X219" s="120" t="s">
        <v>1344</v>
      </c>
      <c r="Y219" s="120" t="s">
        <v>39</v>
      </c>
      <c r="Z219" s="1" t="s">
        <v>1345</v>
      </c>
      <c r="AA219" s="1" t="s">
        <v>1346</v>
      </c>
      <c r="AB219" s="3">
        <f>SUMIF('Zinszahlungen Anleihen'!K:K,aktuelleAnleihen[[#This Row],[ISIN]],'Zinszahlungen Anleihen'!D:D)</f>
        <v>0</v>
      </c>
      <c r="AE219" s="10"/>
      <c r="AF219" s="1"/>
      <c r="AH219" s="7"/>
      <c r="AJ219" s="1"/>
      <c r="AN219" s="1"/>
      <c r="AQ219" s="1"/>
    </row>
    <row r="220" spans="1:43" x14ac:dyDescent="0.2">
      <c r="A220" s="1" t="s">
        <v>129</v>
      </c>
      <c r="B220" s="1" t="s">
        <v>4</v>
      </c>
      <c r="C220" s="7">
        <v>0.12</v>
      </c>
      <c r="D220" s="7">
        <v>0.99950000000000006</v>
      </c>
      <c r="E220" s="7">
        <f>aktuelleAnleihen[[#This Row],[Aktueller Kurs]]-aktuelleAnleihen[[#This Row],[Kaufkurs]]</f>
        <v>5.0000000000005596E-4</v>
      </c>
      <c r="F220" s="8">
        <f>aktuelleAnleihen[[#This Row],[Stückelung]]*aktuelleAnleihen[[#This Row],[Aktueller Kurs]]*aktuelleAnleihen[[#This Row],[Anteile]]/aktuelleAnleihen[[#This Row],[Aktueller Wechselkurs]]+aktuelleAnleihen[[#This Row],[Stückzinsen]]</f>
        <v>2043.0547945205481</v>
      </c>
      <c r="G220" s="8">
        <f>aktuelleAnleihen[[#This Row],[Kursdifferenz]]*aktuelleAnleihen[[#This Row],[Anteile]]*aktuelleAnleihen[[#This Row],[Stückelung]]/aktuelleAnleihen[[#This Row],[Wechselkurs am Kauftag]]</f>
        <v>1.0000000000001119</v>
      </c>
      <c r="H220" s="8">
        <f>aktuelleAnleihen[[#This Row],[Stückzinsen]]-aktuelleAnleihen[[#This Row],[Stückzinsen am Kauftag]]+aktuelleAnleihen[[#This Row],[Zinszahlungen]]</f>
        <v>47.013694520547944</v>
      </c>
      <c r="I220" s="8">
        <f>aktuelleAnleihen[[#This Row],[Gewinn gesamt]]-aktuelleAnleihen[[#This Row],[Gewinn aus Kursänderung]]-aktuelleAnleihen[[#This Row],[Gewinn aus Zinsen]]</f>
        <v>8.5265128291212022E-14</v>
      </c>
      <c r="J220" s="7">
        <f>aktuelleAnleihen[[#This Row],[Gewinn gesamt]]/aktuelleAnleihen[[#This Row],[Kaufpreis]]</f>
        <v>2.2701069270260586E-2</v>
      </c>
      <c r="K220" s="3">
        <f>aktuelleAnleihen[[#This Row],[Verkaufspreis]]-aktuelleAnleihen[[#This Row],[Kaufpreis]]+aktuelleAnleihen[[#This Row],[Zinszahlungen]]</f>
        <v>48.013694520548142</v>
      </c>
      <c r="L220" s="4">
        <v>2115.0410999999999</v>
      </c>
      <c r="M220" s="7">
        <v>0.999</v>
      </c>
      <c r="N220" s="61">
        <v>1</v>
      </c>
      <c r="O220" s="1">
        <v>1</v>
      </c>
      <c r="P220" s="1" t="s">
        <v>925</v>
      </c>
      <c r="Q220" s="30">
        <v>45378</v>
      </c>
      <c r="R220" s="1">
        <v>2</v>
      </c>
      <c r="S220" s="1">
        <v>1000</v>
      </c>
      <c r="T220" s="9">
        <v>45383</v>
      </c>
      <c r="U220" s="1">
        <v>2</v>
      </c>
      <c r="V220" s="62">
        <f>aktuelleAnleihen[[#This Row],[Stückelung]]*aktuelleAnleihen[[#This Row],[Anteile]]*aktuelleAnleihen[[#This Row],[Coupon]]/aktuelleAnleihen[[#This Row],[Aktueller Wechselkurs]]*($AC$1-aktuelleAnleihen[[#This Row],[Letzte Zinszahlung]])/365</f>
        <v>44.054794520547944</v>
      </c>
      <c r="W220" s="4">
        <v>117.0411</v>
      </c>
      <c r="X220" s="120" t="s">
        <v>56</v>
      </c>
      <c r="Y220" s="120" t="s">
        <v>39</v>
      </c>
      <c r="Z220" s="1" t="s">
        <v>130</v>
      </c>
      <c r="AA220" s="1" t="s">
        <v>131</v>
      </c>
      <c r="AB220" s="3">
        <f>SUMIF('Zinszahlungen Anleihen'!K:K,aktuelleAnleihen[[#This Row],[ISIN]],'Zinszahlungen Anleihen'!D:D)</f>
        <v>120</v>
      </c>
      <c r="AE220" s="10"/>
      <c r="AF220" s="1"/>
      <c r="AH220" s="7"/>
      <c r="AJ220" s="1"/>
      <c r="AN220" s="1"/>
      <c r="AQ220" s="1"/>
    </row>
    <row r="221" spans="1:43" x14ac:dyDescent="0.2">
      <c r="A221" s="1" t="s">
        <v>504</v>
      </c>
      <c r="B221" s="1" t="s">
        <v>6</v>
      </c>
      <c r="C221" s="7">
        <v>7.7619999999999995E-2</v>
      </c>
      <c r="D221" s="7">
        <v>0.99790000000000001</v>
      </c>
      <c r="E221" s="7">
        <f>aktuelleAnleihen[[#This Row],[Aktueller Kurs]]-aktuelleAnleihen[[#This Row],[Kaufkurs]]</f>
        <v>5.0000000000005596E-4</v>
      </c>
      <c r="F221" s="8">
        <f>aktuelleAnleihen[[#This Row],[Stückelung]]*aktuelleAnleihen[[#This Row],[Aktueller Kurs]]*aktuelleAnleihen[[#This Row],[Anteile]]/aktuelleAnleihen[[#This Row],[Aktueller Wechselkurs]]+aktuelleAnleihen[[#This Row],[Stückzinsen]]</f>
        <v>2011.9619726027397</v>
      </c>
      <c r="G221" s="8">
        <f>aktuelleAnleihen[[#This Row],[Kursdifferenz]]*aktuelleAnleihen[[#This Row],[Anteile]]*aktuelleAnleihen[[#This Row],[Stückelung]]/aktuelleAnleihen[[#This Row],[Wechselkurs am Kauftag]]</f>
        <v>1.0000000000001119</v>
      </c>
      <c r="H221" s="8">
        <f>aktuelleAnleihen[[#This Row],[Stückzinsen]]-aktuelleAnleihen[[#This Row],[Stückzinsen am Kauftag]]+aktuelleAnleihen[[#This Row],[Zinszahlungen]]</f>
        <v>27.75177260273972</v>
      </c>
      <c r="I221" s="8">
        <f>aktuelleAnleihen[[#This Row],[Gewinn gesamt]]-aktuelleAnleihen[[#This Row],[Gewinn aus Kursänderung]]-aktuelleAnleihen[[#This Row],[Gewinn aus Zinsen]]</f>
        <v>-6.3948846218409017E-14</v>
      </c>
      <c r="J221" s="7">
        <f>aktuelleAnleihen[[#This Row],[Gewinn gesamt]]/aktuelleAnleihen[[#This Row],[Kaufpreis]]</f>
        <v>1.4219330055525543E-2</v>
      </c>
      <c r="K221" s="3">
        <f>aktuelleAnleihen[[#This Row],[Verkaufspreis]]-aktuelleAnleihen[[#This Row],[Kaufpreis]]+aktuelleAnleihen[[#This Row],[Zinszahlungen]]</f>
        <v>28.75177260273977</v>
      </c>
      <c r="L221" s="4">
        <v>2022.0201999999999</v>
      </c>
      <c r="M221" s="7">
        <v>0.99739999999999995</v>
      </c>
      <c r="N221" s="61">
        <v>1</v>
      </c>
      <c r="O221" s="1">
        <v>1</v>
      </c>
      <c r="P221" s="1" t="s">
        <v>925</v>
      </c>
      <c r="Q221" s="30">
        <v>45385</v>
      </c>
      <c r="R221" s="1">
        <v>2</v>
      </c>
      <c r="S221" s="1">
        <v>1000</v>
      </c>
      <c r="T221" s="9">
        <v>45412</v>
      </c>
      <c r="U221" s="1">
        <v>4</v>
      </c>
      <c r="V221" s="62">
        <f>aktuelleAnleihen[[#This Row],[Stückelung]]*aktuelleAnleihen[[#This Row],[Anteile]]*aktuelleAnleihen[[#This Row],[Coupon]]/aktuelleAnleihen[[#This Row],[Aktueller Wechselkurs]]*($AC$1-aktuelleAnleihen[[#This Row],[Letzte Zinszahlung]])/365</f>
        <v>16.161972602739723</v>
      </c>
      <c r="W221" s="4">
        <v>27.220199999999998</v>
      </c>
      <c r="X221" s="120" t="s">
        <v>35</v>
      </c>
      <c r="Y221" s="120" t="s">
        <v>39</v>
      </c>
      <c r="Z221" s="1" t="s">
        <v>505</v>
      </c>
      <c r="AA221" s="1" t="s">
        <v>506</v>
      </c>
      <c r="AB221" s="3">
        <f>SUMIF('Zinszahlungen Anleihen'!K:K,aktuelleAnleihen[[#This Row],[ISIN]],'Zinszahlungen Anleihen'!D:D)</f>
        <v>38.809999999999995</v>
      </c>
      <c r="AE221" s="10"/>
      <c r="AF221" s="1"/>
      <c r="AH221" s="7"/>
      <c r="AJ221" s="1"/>
      <c r="AN221" s="1"/>
      <c r="AQ221" s="1"/>
    </row>
    <row r="222" spans="1:43" x14ac:dyDescent="0.2">
      <c r="A222" s="1" t="s">
        <v>1041</v>
      </c>
      <c r="B222" s="1" t="s">
        <v>0</v>
      </c>
      <c r="C222" s="7">
        <v>0.10775</v>
      </c>
      <c r="D222" s="7">
        <v>0.99429999999999996</v>
      </c>
      <c r="E222" s="7">
        <f>aktuelleAnleihen[[#This Row],[Aktueller Kurs]]-aktuelleAnleihen[[#This Row],[Kaufkurs]]</f>
        <v>5.9999999999993392E-4</v>
      </c>
      <c r="F222" s="8">
        <f>aktuelleAnleihen[[#This Row],[Stückelung]]*aktuelleAnleihen[[#This Row],[Aktueller Kurs]]*aktuelleAnleihen[[#This Row],[Anteile]]/aktuelleAnleihen[[#This Row],[Aktueller Wechselkurs]]+aktuelleAnleihen[[#This Row],[Stückzinsen]]</f>
        <v>1861.1483907159738</v>
      </c>
      <c r="G222" s="8">
        <f>aktuelleAnleihen[[#This Row],[Kursdifferenz]]*aktuelleAnleihen[[#This Row],[Anteile]]*aktuelleAnleihen[[#This Row],[Stückelung]]/aktuelleAnleihen[[#This Row],[Wechselkurs am Kauftag]]</f>
        <v>1.1190898069568851</v>
      </c>
      <c r="H222" s="8">
        <f>aktuelleAnleihen[[#This Row],[Stückzinsen]]-aktuelleAnleihen[[#This Row],[Stückzinsen am Kauftag]]+aktuelleAnleihen[[#This Row],[Zinszahlungen]]</f>
        <v>20.370787805313675</v>
      </c>
      <c r="I222" s="8">
        <f>aktuelleAnleihen[[#This Row],[Gewinn gesamt]]-aktuelleAnleihen[[#This Row],[Gewinn aus Kursänderung]]-aktuelleAnleihen[[#This Row],[Gewinn aus Zinsen]]</f>
        <v>-28.606986896296689</v>
      </c>
      <c r="J222" s="7">
        <f>aktuelleAnleihen[[#This Row],[Gewinn gesamt]]/aktuelleAnleihen[[#This Row],[Kaufpreis]]</f>
        <v>-3.8094742337350489E-3</v>
      </c>
      <c r="K222" s="3">
        <f>aktuelleAnleihen[[#This Row],[Verkaufspreis]]-aktuelleAnleihen[[#This Row],[Kaufpreis]]+aktuelleAnleihen[[#This Row],[Zinszahlungen]]</f>
        <v>-7.1171092840261281</v>
      </c>
      <c r="L222" s="4">
        <v>1868.2655</v>
      </c>
      <c r="M222" s="7">
        <v>0.99370000000000003</v>
      </c>
      <c r="N222" s="61">
        <v>1.0723</v>
      </c>
      <c r="O222" s="1">
        <v>1.0891</v>
      </c>
      <c r="P222" s="1" t="s">
        <v>887</v>
      </c>
      <c r="Q222" s="30">
        <v>45412</v>
      </c>
      <c r="R222" s="1">
        <v>2</v>
      </c>
      <c r="S222" s="1">
        <v>1000</v>
      </c>
      <c r="T222" s="9">
        <v>45385</v>
      </c>
      <c r="U222" s="1">
        <v>2</v>
      </c>
      <c r="V222" s="62">
        <f>aktuelleAnleihen[[#This Row],[Stückelung]]*aktuelleAnleihen[[#This Row],[Anteile]]*aktuelleAnleihen[[#This Row],[Coupon]]/aktuelleAnleihen[[#This Row],[Aktueller Wechselkurs]]*($AC$1-aktuelleAnleihen[[#This Row],[Letzte Zinszahlung]])/365</f>
        <v>35.237087805313678</v>
      </c>
      <c r="W222" s="4">
        <v>14.866300000000001</v>
      </c>
      <c r="X222" s="120" t="s">
        <v>1031</v>
      </c>
      <c r="Y222" s="120" t="s">
        <v>39</v>
      </c>
      <c r="Z222" s="1" t="s">
        <v>1042</v>
      </c>
      <c r="AA222" s="1" t="s">
        <v>1043</v>
      </c>
      <c r="AB222" s="3">
        <f>SUMIF('Zinszahlungen Anleihen'!K:K,aktuelleAnleihen[[#This Row],[ISIN]],'Zinszahlungen Anleihen'!D:D)</f>
        <v>0</v>
      </c>
      <c r="AE222" s="10"/>
      <c r="AF222" s="1"/>
      <c r="AH222" s="7"/>
      <c r="AJ222" s="1"/>
      <c r="AN222" s="1"/>
      <c r="AQ222" s="1"/>
    </row>
    <row r="223" spans="1:43" x14ac:dyDescent="0.2">
      <c r="A223" s="1" t="s">
        <v>272</v>
      </c>
      <c r="B223" s="1" t="s">
        <v>10</v>
      </c>
      <c r="C223" s="7">
        <v>9.5000000000000001E-2</v>
      </c>
      <c r="D223" s="7">
        <v>1.0134999999999998</v>
      </c>
      <c r="E223" s="7">
        <f>aktuelleAnleihen[[#This Row],[Aktueller Kurs]]-aktuelleAnleihen[[#This Row],[Kaufkurs]]</f>
        <v>5.9999999999993392E-4</v>
      </c>
      <c r="F223" s="8">
        <f>aktuelleAnleihen[[#This Row],[Stückelung]]*aktuelleAnleihen[[#This Row],[Aktueller Kurs]]*aktuelleAnleihen[[#This Row],[Anteile]]/aktuelleAnleihen[[#This Row],[Aktueller Wechselkurs]]+aktuelleAnleihen[[#This Row],[Stückzinsen]]</f>
        <v>2061.8767123287671</v>
      </c>
      <c r="G223" s="8">
        <f>aktuelleAnleihen[[#This Row],[Kursdifferenz]]*aktuelleAnleihen[[#This Row],[Anteile]]*aktuelleAnleihen[[#This Row],[Stückelung]]/aktuelleAnleihen[[#This Row],[Wechselkurs am Kauftag]]</f>
        <v>1.1999999999998678</v>
      </c>
      <c r="H223" s="8">
        <f>aktuelleAnleihen[[#This Row],[Stückzinsen]]-aktuelleAnleihen[[#This Row],[Stückzinsen am Kauftag]]+aktuelleAnleihen[[#This Row],[Zinszahlungen]]</f>
        <v>33.835612328767127</v>
      </c>
      <c r="I223" s="8">
        <f>aktuelleAnleihen[[#This Row],[Gewinn gesamt]]-aktuelleAnleihen[[#This Row],[Gewinn aus Kursänderung]]-aktuelleAnleihen[[#This Row],[Gewinn aus Zinsen]]</f>
        <v>0</v>
      </c>
      <c r="J223" s="7">
        <f>aktuelleAnleihen[[#This Row],[Gewinn gesamt]]/aktuelleAnleihen[[#This Row],[Kaufpreis]]</f>
        <v>1.7285820940164971E-2</v>
      </c>
      <c r="K223" s="3">
        <f>aktuelleAnleihen[[#This Row],[Verkaufspreis]]-aktuelleAnleihen[[#This Row],[Kaufpreis]]+aktuelleAnleihen[[#This Row],[Zinszahlungen]]</f>
        <v>35.035612328767002</v>
      </c>
      <c r="L223" s="4">
        <v>2026.8411000000001</v>
      </c>
      <c r="M223" s="7">
        <v>1.0128999999999999</v>
      </c>
      <c r="N223" s="61">
        <v>1</v>
      </c>
      <c r="O223" s="1">
        <v>1</v>
      </c>
      <c r="P223" s="1" t="s">
        <v>925</v>
      </c>
      <c r="Q223" s="30">
        <v>45385</v>
      </c>
      <c r="R223" s="1">
        <v>2</v>
      </c>
      <c r="S223" s="1">
        <v>1000</v>
      </c>
      <c r="T223" s="9">
        <v>45383</v>
      </c>
      <c r="U223" s="1">
        <v>2</v>
      </c>
      <c r="V223" s="62">
        <f>aktuelleAnleihen[[#This Row],[Stückelung]]*aktuelleAnleihen[[#This Row],[Anteile]]*aktuelleAnleihen[[#This Row],[Coupon]]/aktuelleAnleihen[[#This Row],[Aktueller Wechselkurs]]*($AC$1-aktuelleAnleihen[[#This Row],[Letzte Zinszahlung]])/365</f>
        <v>34.876712328767127</v>
      </c>
      <c r="W223" s="4">
        <v>1.0410999999999999</v>
      </c>
      <c r="X223" s="120" t="s">
        <v>56</v>
      </c>
      <c r="Y223" s="120" t="s">
        <v>61</v>
      </c>
      <c r="Z223" s="1" t="s">
        <v>273</v>
      </c>
      <c r="AA223" s="1" t="s">
        <v>274</v>
      </c>
      <c r="AB223" s="3">
        <f>SUMIF('Zinszahlungen Anleihen'!K:K,aktuelleAnleihen[[#This Row],[ISIN]],'Zinszahlungen Anleihen'!D:D)</f>
        <v>0</v>
      </c>
      <c r="AE223" s="10"/>
      <c r="AF223" s="1"/>
      <c r="AH223" s="7"/>
      <c r="AJ223" s="1"/>
      <c r="AN223" s="1"/>
      <c r="AQ223" s="1"/>
    </row>
    <row r="224" spans="1:43" x14ac:dyDescent="0.2">
      <c r="A224" s="1" t="s">
        <v>1443</v>
      </c>
      <c r="B224" s="1" t="s">
        <v>5</v>
      </c>
      <c r="C224" s="7">
        <v>8.5000000000000006E-2</v>
      </c>
      <c r="D224" s="7">
        <v>1.0613999999999999</v>
      </c>
      <c r="E224" s="7">
        <f>aktuelleAnleihen[[#This Row],[Aktueller Kurs]]-aktuelleAnleihen[[#This Row],[Kaufkurs]]</f>
        <v>6.9999999999992291E-4</v>
      </c>
      <c r="F224" s="8">
        <f>aktuelleAnleihen[[#This Row],[Stückelung]]*aktuelleAnleihen[[#This Row],[Aktueller Kurs]]*aktuelleAnleihen[[#This Row],[Anteile]]/aktuelleAnleihen[[#This Row],[Aktueller Wechselkurs]]+aktuelleAnleihen[[#This Row],[Stückzinsen]]</f>
        <v>2010.7138859156046</v>
      </c>
      <c r="G224" s="8">
        <f>aktuelleAnleihen[[#This Row],[Kursdifferenz]]*aktuelleAnleihen[[#This Row],[Anteile]]*aktuelleAnleihen[[#This Row],[Stückelung]]/aktuelleAnleihen[[#This Row],[Wechselkurs am Kauftag]]</f>
        <v>1.3056047747830326</v>
      </c>
      <c r="H224" s="8">
        <f>aktuelleAnleihen[[#This Row],[Stückzinsen]]-aktuelleAnleihen[[#This Row],[Stückzinsen am Kauftag]]+aktuelleAnleihen[[#This Row],[Zinszahlungen]]</f>
        <v>15.540474833059342</v>
      </c>
      <c r="I224" s="8">
        <f>aktuelleAnleihen[[#This Row],[Gewinn gesamt]]-aktuelleAnleihen[[#This Row],[Gewinn aus Kursänderung]]-aktuelleAnleihen[[#This Row],[Gewinn aus Zinsen]]</f>
        <v>-30.537593692237898</v>
      </c>
      <c r="J224" s="7">
        <f>aktuelleAnleihen[[#This Row],[Gewinn gesamt]]/aktuelleAnleihen[[#This Row],[Kaufpreis]]</f>
        <v>-6.7632274071169349E-3</v>
      </c>
      <c r="K224" s="3">
        <f>aktuelleAnleihen[[#This Row],[Verkaufspreis]]-aktuelleAnleihen[[#This Row],[Kaufpreis]]+aktuelleAnleihen[[#This Row],[Zinszahlungen]]</f>
        <v>-13.691514084395521</v>
      </c>
      <c r="L224" s="4">
        <v>2024.4054000000001</v>
      </c>
      <c r="M224" s="7">
        <v>1.0607</v>
      </c>
      <c r="N224" s="61">
        <v>1.0723</v>
      </c>
      <c r="O224" s="1">
        <v>1.0891</v>
      </c>
      <c r="P224" s="1" t="s">
        <v>887</v>
      </c>
      <c r="Q224" s="30">
        <v>45412</v>
      </c>
      <c r="R224" s="1">
        <v>2</v>
      </c>
      <c r="S224" s="1">
        <v>1000</v>
      </c>
      <c r="T224" s="9">
        <v>45306</v>
      </c>
      <c r="U224" s="1">
        <v>2</v>
      </c>
      <c r="V224" s="62">
        <f>aktuelleAnleihen[[#This Row],[Stückelung]]*aktuelleAnleihen[[#This Row],[Anteile]]*aktuelleAnleihen[[#This Row],[Coupon]]/aktuelleAnleihen[[#This Row],[Aktueller Wechselkurs]]*($AC$1-aktuelleAnleihen[[#This Row],[Letzte Zinszahlung]])/365</f>
        <v>61.581574833059342</v>
      </c>
      <c r="W224" s="4">
        <v>46.0411</v>
      </c>
      <c r="X224" s="120" t="s">
        <v>986</v>
      </c>
      <c r="Y224" s="120" t="s">
        <v>81</v>
      </c>
      <c r="Z224" s="1" t="s">
        <v>1447</v>
      </c>
      <c r="AA224" s="1" t="s">
        <v>1448</v>
      </c>
      <c r="AB224" s="3">
        <f>SUMIF('Zinszahlungen Anleihen'!K:K,aktuelleAnleihen[[#This Row],[ISIN]],'Zinszahlungen Anleihen'!D:D)</f>
        <v>0</v>
      </c>
      <c r="AE224" s="10"/>
      <c r="AF224" s="1"/>
      <c r="AH224" s="7"/>
      <c r="AJ224" s="1"/>
      <c r="AN224" s="1"/>
      <c r="AQ224" s="1"/>
    </row>
    <row r="225" spans="1:43" x14ac:dyDescent="0.2">
      <c r="A225" s="1" t="s">
        <v>1293</v>
      </c>
      <c r="B225" s="1" t="s">
        <v>7</v>
      </c>
      <c r="C225" s="7">
        <v>9.1249999999999998E-2</v>
      </c>
      <c r="D225" s="7">
        <v>0.99639999999999995</v>
      </c>
      <c r="E225" s="7">
        <f>aktuelleAnleihen[[#This Row],[Aktueller Kurs]]-aktuelleAnleihen[[#This Row],[Kaufkurs]]</f>
        <v>8.9999999999990088E-4</v>
      </c>
      <c r="F225" s="8">
        <f>aktuelleAnleihen[[#This Row],[Stückelung]]*aktuelleAnleihen[[#This Row],[Aktueller Kurs]]*aktuelleAnleihen[[#This Row],[Anteile]]/aktuelleAnleihen[[#This Row],[Aktueller Wechselkurs]]+aktuelleAnleihen[[#This Row],[Stückzinsen]]</f>
        <v>1854.0997153613075</v>
      </c>
      <c r="G225" s="8">
        <f>aktuelleAnleihen[[#This Row],[Kursdifferenz]]*aktuelleAnleihen[[#This Row],[Anteile]]*aktuelleAnleihen[[#This Row],[Stückelung]]/aktuelleAnleihen[[#This Row],[Wechselkurs am Kauftag]]</f>
        <v>1.6786347104353276</v>
      </c>
      <c r="H225" s="8">
        <f>aktuelleAnleihen[[#This Row],[Stückzinsen]]-aktuelleAnleihen[[#This Row],[Stückzinsen am Kauftag]]+aktuelleAnleihen[[#This Row],[Zinszahlungen]]</f>
        <v>17.337717261959419</v>
      </c>
      <c r="I225" s="8">
        <f>aktuelleAnleihen[[#This Row],[Gewinn gesamt]]-aktuelleAnleihen[[#This Row],[Gewinn aus Kursänderung]]-aktuelleAnleihen[[#This Row],[Gewinn aus Zinsen]]</f>
        <v>-28.667436611087254</v>
      </c>
      <c r="J225" s="7">
        <f>aktuelleAnleihen[[#This Row],[Gewinn gesamt]]/aktuelleAnleihen[[#This Row],[Kaufpreis]]</f>
        <v>-5.1783128080709661E-3</v>
      </c>
      <c r="K225" s="3">
        <f>aktuelleAnleihen[[#This Row],[Verkaufspreis]]-aktuelleAnleihen[[#This Row],[Kaufpreis]]+aktuelleAnleihen[[#This Row],[Zinszahlungen]]</f>
        <v>-9.6510846386925095</v>
      </c>
      <c r="L225" s="4">
        <v>1863.7508</v>
      </c>
      <c r="M225" s="7">
        <v>0.99550000000000005</v>
      </c>
      <c r="N225" s="61">
        <v>1.0723</v>
      </c>
      <c r="O225" s="1">
        <v>1.0891</v>
      </c>
      <c r="P225" s="1" t="s">
        <v>887</v>
      </c>
      <c r="Q225" s="30">
        <v>45412</v>
      </c>
      <c r="R225" s="1">
        <v>2</v>
      </c>
      <c r="S225" s="1">
        <v>1000</v>
      </c>
      <c r="T225" s="9">
        <v>45397</v>
      </c>
      <c r="U225" s="1">
        <v>2</v>
      </c>
      <c r="V225" s="62">
        <f>aktuelleAnleihen[[#This Row],[Stückelung]]*aktuelleAnleihen[[#This Row],[Anteile]]*aktuelleAnleihen[[#This Row],[Coupon]]/aktuelleAnleihen[[#This Row],[Aktueller Wechselkurs]]*($AC$1-aktuelleAnleihen[[#This Row],[Letzte Zinszahlung]])/365</f>
        <v>24.332017261959418</v>
      </c>
      <c r="W225" s="4">
        <v>6.9943</v>
      </c>
      <c r="X225" s="120" t="s">
        <v>1105</v>
      </c>
      <c r="Y225" s="120" t="s">
        <v>39</v>
      </c>
      <c r="Z225" s="1" t="s">
        <v>1294</v>
      </c>
      <c r="AA225" s="1" t="s">
        <v>1295</v>
      </c>
      <c r="AB225" s="3">
        <f>SUMIF('Zinszahlungen Anleihen'!K:K,aktuelleAnleihen[[#This Row],[ISIN]],'Zinszahlungen Anleihen'!D:D)</f>
        <v>0</v>
      </c>
      <c r="AE225" s="10"/>
      <c r="AF225" s="1"/>
      <c r="AH225" s="7"/>
      <c r="AJ225" s="1"/>
      <c r="AN225" s="1"/>
      <c r="AQ225" s="1"/>
    </row>
    <row r="226" spans="1:43" x14ac:dyDescent="0.2">
      <c r="A226" s="1" t="s">
        <v>1463</v>
      </c>
      <c r="B226" s="1" t="s">
        <v>0</v>
      </c>
      <c r="C226" s="7">
        <v>8.5000000000000006E-2</v>
      </c>
      <c r="D226" s="7">
        <v>0.99929999999999997</v>
      </c>
      <c r="E226" s="7">
        <f>aktuelleAnleihen[[#This Row],[Aktueller Kurs]]-aktuelleAnleihen[[#This Row],[Kaufkurs]]</f>
        <v>9.000000000000119E-4</v>
      </c>
      <c r="F226" s="8">
        <f>aktuelleAnleihen[[#This Row],[Stückelung]]*aktuelleAnleihen[[#This Row],[Aktueller Kurs]]*aktuelleAnleihen[[#This Row],[Anteile]]/aktuelleAnleihen[[#This Row],[Aktueller Wechselkurs]]+aktuelleAnleihen[[#This Row],[Stückzinsen]]</f>
        <v>1871.0157815363445</v>
      </c>
      <c r="G226" s="8">
        <f>aktuelleAnleihen[[#This Row],[Kursdifferenz]]*aktuelleAnleihen[[#This Row],[Anteile]]*aktuelleAnleihen[[#This Row],[Stückelung]]/aktuelleAnleihen[[#This Row],[Wechselkurs am Kauftag]]</f>
        <v>1.6786347104355346</v>
      </c>
      <c r="H226" s="8">
        <f>aktuelleAnleihen[[#This Row],[Stückzinsen]]-aktuelleAnleihen[[#This Row],[Stückzinsen am Kauftag]]+aktuelleAnleihen[[#This Row],[Zinszahlungen]]</f>
        <v>15.942485319284621</v>
      </c>
      <c r="I226" s="8">
        <f>aktuelleAnleihen[[#This Row],[Gewinn gesamt]]-aktuelleAnleihen[[#This Row],[Gewinn aus Kursänderung]]-aktuelleAnleihen[[#This Row],[Gewinn aus Zinsen]]</f>
        <v>-28.750838493375692</v>
      </c>
      <c r="J226" s="7">
        <f>aktuelleAnleihen[[#This Row],[Gewinn gesamt]]/aktuelleAnleihen[[#This Row],[Kaufpreis]]</f>
        <v>-5.913314599564983E-3</v>
      </c>
      <c r="K226" s="3">
        <f>aktuelleAnleihen[[#This Row],[Verkaufspreis]]-aktuelleAnleihen[[#This Row],[Kaufpreis]]+aktuelleAnleihen[[#This Row],[Zinszahlungen]]</f>
        <v>-11.129718463655536</v>
      </c>
      <c r="L226" s="4">
        <v>1882.1455000000001</v>
      </c>
      <c r="M226" s="7">
        <v>0.99839999999999995</v>
      </c>
      <c r="N226" s="61">
        <v>1.0723</v>
      </c>
      <c r="O226" s="1">
        <v>1.0891</v>
      </c>
      <c r="P226" s="1" t="s">
        <v>887</v>
      </c>
      <c r="Q226" s="30">
        <v>45412</v>
      </c>
      <c r="R226" s="1">
        <v>2</v>
      </c>
      <c r="S226" s="1">
        <v>1000</v>
      </c>
      <c r="T226" s="9">
        <v>45366</v>
      </c>
      <c r="U226" s="1">
        <v>2</v>
      </c>
      <c r="V226" s="62">
        <f>aktuelleAnleihen[[#This Row],[Stückelung]]*aktuelleAnleihen[[#This Row],[Anteile]]*aktuelleAnleihen[[#This Row],[Coupon]]/aktuelleAnleihen[[#This Row],[Aktueller Wechselkurs]]*($AC$1-aktuelleAnleihen[[#This Row],[Letzte Zinszahlung]])/365</f>
        <v>35.922585319284622</v>
      </c>
      <c r="W226" s="4">
        <v>19.9801</v>
      </c>
      <c r="X226" s="120" t="s">
        <v>276</v>
      </c>
      <c r="Y226" s="120" t="s">
        <v>57</v>
      </c>
      <c r="Z226" s="1" t="s">
        <v>1464</v>
      </c>
      <c r="AA226" s="1" t="s">
        <v>1465</v>
      </c>
      <c r="AB226" s="3">
        <f>SUMIF('Zinszahlungen Anleihen'!K:K,aktuelleAnleihen[[#This Row],[ISIN]],'Zinszahlungen Anleihen'!D:D)</f>
        <v>0</v>
      </c>
      <c r="AE226" s="10"/>
      <c r="AF226" s="1"/>
      <c r="AH226" s="7"/>
      <c r="AJ226" s="1"/>
      <c r="AN226" s="1"/>
      <c r="AQ226" s="1"/>
    </row>
    <row r="227" spans="1:43" x14ac:dyDescent="0.2">
      <c r="A227" s="1" t="s">
        <v>1196</v>
      </c>
      <c r="B227" s="1" t="s">
        <v>11</v>
      </c>
      <c r="C227" s="7">
        <v>9.5000000000000001E-2</v>
      </c>
      <c r="D227" s="7">
        <v>0.98509999999999998</v>
      </c>
      <c r="E227" s="7">
        <f>aktuelleAnleihen[[#This Row],[Aktueller Kurs]]-aktuelleAnleihen[[#This Row],[Kaufkurs]]</f>
        <v>1.0000000000000009E-3</v>
      </c>
      <c r="F227" s="8">
        <f>aktuelleAnleihen[[#This Row],[Stückelung]]*aktuelleAnleihen[[#This Row],[Aktueller Kurs]]*aktuelleAnleihen[[#This Row],[Anteile]]/aktuelleAnleihen[[#This Row],[Aktueller Wechselkurs]]+aktuelleAnleihen[[#This Row],[Stückzinsen]]</f>
        <v>1818.0978890449951</v>
      </c>
      <c r="G227" s="8">
        <f>aktuelleAnleihen[[#This Row],[Kursdifferenz]]*aktuelleAnleihen[[#This Row],[Anteile]]*aktuelleAnleihen[[#This Row],[Stückelung]]/aktuelleAnleihen[[#This Row],[Wechselkurs am Kauftag]]</f>
        <v>1.8651496782616821</v>
      </c>
      <c r="H227" s="8">
        <f>aktuelleAnleihen[[#This Row],[Stückzinsen]]-aktuelleAnleihen[[#This Row],[Stückzinsen am Kauftag]]+aktuelleAnleihen[[#This Row],[Zinszahlungen]]</f>
        <v>17.34947395794488</v>
      </c>
      <c r="I227" s="8">
        <f>aktuelleAnleihen[[#This Row],[Gewinn gesamt]]-aktuelleAnleihen[[#This Row],[Gewinn aus Kursänderung]]-aktuelleAnleihen[[#This Row],[Gewinn aus Zinsen]]</f>
        <v>-28.342330451377101</v>
      </c>
      <c r="J227" s="7">
        <f>aktuelleAnleihen[[#This Row],[Gewinn gesamt]]/aktuelleAnleihen[[#This Row],[Kaufpreis]]</f>
        <v>-4.7673673124166592E-3</v>
      </c>
      <c r="K227" s="3">
        <f>aktuelleAnleihen[[#This Row],[Verkaufspreis]]-aktuelleAnleihen[[#This Row],[Kaufpreis]]+aktuelleAnleihen[[#This Row],[Zinszahlungen]]</f>
        <v>-9.1277068151705407</v>
      </c>
      <c r="L227" s="4">
        <v>1914.6221</v>
      </c>
      <c r="M227" s="7">
        <v>0.98409999999999997</v>
      </c>
      <c r="N227" s="61">
        <v>1.0723</v>
      </c>
      <c r="O227" s="1">
        <v>1.0891</v>
      </c>
      <c r="P227" s="1" t="s">
        <v>887</v>
      </c>
      <c r="Q227" s="30">
        <v>45412</v>
      </c>
      <c r="R227" s="1">
        <v>2</v>
      </c>
      <c r="S227" s="1">
        <v>1000</v>
      </c>
      <c r="T227" s="9">
        <v>45431</v>
      </c>
      <c r="U227" s="1">
        <v>2</v>
      </c>
      <c r="V227" s="62">
        <f>aktuelleAnleihen[[#This Row],[Stückelung]]*aktuelleAnleihen[[#This Row],[Anteile]]*aktuelleAnleihen[[#This Row],[Coupon]]/aktuelleAnleihen[[#This Row],[Aktueller Wechselkurs]]*($AC$1-aktuelleAnleihen[[#This Row],[Letzte Zinszahlung]])/365</f>
        <v>9.0812698181104672</v>
      </c>
      <c r="W227" s="4">
        <v>79.128299999999996</v>
      </c>
      <c r="X227" s="120" t="s">
        <v>1197</v>
      </c>
      <c r="Y227" s="120" t="s">
        <v>52</v>
      </c>
      <c r="Z227" s="1" t="s">
        <v>1198</v>
      </c>
      <c r="AA227" s="1" t="s">
        <v>1199</v>
      </c>
      <c r="AB227" s="3">
        <f>SUMIF('Zinszahlungen Anleihen'!K:K,aktuelleAnleihen[[#This Row],[ISIN]],'Zinszahlungen Anleihen'!D:D)</f>
        <v>87.396504139834406</v>
      </c>
      <c r="AE227" s="10"/>
      <c r="AF227" s="1"/>
      <c r="AH227" s="7"/>
      <c r="AJ227" s="1"/>
      <c r="AN227" s="1"/>
      <c r="AQ227" s="1"/>
    </row>
    <row r="228" spans="1:43" x14ac:dyDescent="0.2">
      <c r="A228" s="1" t="s">
        <v>1794</v>
      </c>
      <c r="B228" s="1" t="s">
        <v>6</v>
      </c>
      <c r="C228" s="7">
        <v>7.8750000000000001E-2</v>
      </c>
      <c r="D228" s="7">
        <v>0.99624999999999997</v>
      </c>
      <c r="E228" s="7">
        <f>aktuelleAnleihen[[#This Row],[Aktueller Kurs]]-aktuelleAnleihen[[#This Row],[Kaufkurs]]</f>
        <v>9.5000000000000639E-4</v>
      </c>
      <c r="F228" s="8">
        <f>aktuelleAnleihen[[#This Row],[Stückelung]]*aktuelleAnleihen[[#This Row],[Aktueller Kurs]]*aktuelleAnleihen[[#This Row],[Anteile]]/aktuelleAnleihen[[#This Row],[Aktueller Wechselkurs]]+aktuelleAnleihen[[#This Row],[Stückzinsen]]</f>
        <v>2008.4657534246576</v>
      </c>
      <c r="G228" s="8">
        <f>aktuelleAnleihen[[#This Row],[Kursdifferenz]]*aktuelleAnleihen[[#This Row],[Anteile]]*aktuelleAnleihen[[#This Row],[Stückelung]]/aktuelleAnleihen[[#This Row],[Wechselkurs am Kauftag]]</f>
        <v>1.9000000000000128</v>
      </c>
      <c r="H228" s="8">
        <f>aktuelleAnleihen[[#This Row],[Stückzinsen]]-aktuelleAnleihen[[#This Row],[Stückzinsen am Kauftag]]+aktuelleAnleihen[[#This Row],[Zinszahlungen]]</f>
        <v>9.9246534246575333</v>
      </c>
      <c r="I228" s="8">
        <f>aktuelleAnleihen[[#This Row],[Gewinn gesamt]]-aktuelleAnleihen[[#This Row],[Gewinn aus Kursänderung]]-aktuelleAnleihen[[#This Row],[Gewinn aus Zinsen]]</f>
        <v>-1.9539925233402755E-14</v>
      </c>
      <c r="J228" s="7">
        <f>aktuelleAnleihen[[#This Row],[Gewinn gesamt]]/aktuelleAnleihen[[#This Row],[Kaufpreis]]</f>
        <v>5.9222728735061729E-3</v>
      </c>
      <c r="K228" s="3">
        <f>aktuelleAnleihen[[#This Row],[Verkaufspreis]]-aktuelleAnleihen[[#This Row],[Kaufpreis]]+aktuelleAnleihen[[#This Row],[Zinszahlungen]]</f>
        <v>11.824653424657527</v>
      </c>
      <c r="L228" s="4">
        <v>1996.6411000000001</v>
      </c>
      <c r="M228" s="7">
        <v>0.99529999999999996</v>
      </c>
      <c r="N228" s="61">
        <v>1</v>
      </c>
      <c r="O228" s="1">
        <v>1</v>
      </c>
      <c r="P228" s="1" t="s">
        <v>925</v>
      </c>
      <c r="Q228" s="30">
        <v>45427</v>
      </c>
      <c r="R228" s="1">
        <v>2</v>
      </c>
      <c r="S228" s="1">
        <v>1000</v>
      </c>
      <c r="T228" s="9">
        <v>45413</v>
      </c>
      <c r="U228" s="1">
        <v>2</v>
      </c>
      <c r="V228" s="62">
        <f>aktuelleAnleihen[[#This Row],[Stückelung]]*aktuelleAnleihen[[#This Row],[Anteile]]*aktuelleAnleihen[[#This Row],[Coupon]]/aktuelleAnleihen[[#This Row],[Aktueller Wechselkurs]]*($AC$1-aktuelleAnleihen[[#This Row],[Letzte Zinszahlung]])/365</f>
        <v>15.965753424657533</v>
      </c>
      <c r="W228" s="4">
        <v>6.0411000000000001</v>
      </c>
      <c r="X228" s="120" t="s">
        <v>276</v>
      </c>
      <c r="Y228" s="120" t="s">
        <v>39</v>
      </c>
      <c r="Z228" s="1" t="s">
        <v>1795</v>
      </c>
      <c r="AA228" s="1" t="s">
        <v>1796</v>
      </c>
      <c r="AB228" s="3">
        <f>SUMIF('Zinszahlungen Anleihen'!K:K,aktuelleAnleihen[[#This Row],[ISIN]],'Zinszahlungen Anleihen'!D:D)</f>
        <v>0</v>
      </c>
      <c r="AE228" s="10"/>
      <c r="AF228" s="1"/>
      <c r="AH228" s="7"/>
      <c r="AJ228" s="1"/>
      <c r="AN228" s="1"/>
      <c r="AQ228" s="1"/>
    </row>
    <row r="229" spans="1:43" x14ac:dyDescent="0.2">
      <c r="A229" s="1" t="s">
        <v>1056</v>
      </c>
      <c r="B229" s="1" t="s">
        <v>11</v>
      </c>
      <c r="C229" s="7">
        <v>0.1075</v>
      </c>
      <c r="D229" s="7">
        <v>1.0700499999999999</v>
      </c>
      <c r="E229" s="7">
        <f>aktuelleAnleihen[[#This Row],[Aktueller Kurs]]-aktuelleAnleihen[[#This Row],[Kaufkurs]]</f>
        <v>1.0499999999999954E-3</v>
      </c>
      <c r="F229" s="8">
        <f>aktuelleAnleihen[[#This Row],[Stückelung]]*aktuelleAnleihen[[#This Row],[Aktueller Kurs]]*aktuelleAnleihen[[#This Row],[Anteile]]/aktuelleAnleihen[[#This Row],[Aktueller Wechselkurs]]+aktuelleAnleihen[[#This Row],[Stückzinsen]]</f>
        <v>1995.3046564777001</v>
      </c>
      <c r="G229" s="8">
        <f>aktuelleAnleihen[[#This Row],[Kursdifferenz]]*aktuelleAnleihen[[#This Row],[Anteile]]*aktuelleAnleihen[[#This Row],[Stückelung]]/aktuelleAnleihen[[#This Row],[Wechselkurs am Kauftag]]</f>
        <v>1.9584071621747559</v>
      </c>
      <c r="H229" s="8">
        <f>aktuelleAnleihen[[#This Row],[Stückzinsen]]-aktuelleAnleihen[[#This Row],[Stückzinsen am Kauftag]]+aktuelleAnleihen[[#This Row],[Zinszahlungen]]</f>
        <v>20.399869975083107</v>
      </c>
      <c r="I229" s="8">
        <f>aktuelleAnleihen[[#This Row],[Gewinn gesamt]]-aktuelleAnleihen[[#This Row],[Gewinn aus Kursänderung]]-aktuelleAnleihen[[#This Row],[Gewinn aus Zinsen]]</f>
        <v>-30.786520659557773</v>
      </c>
      <c r="J229" s="7">
        <f>aktuelleAnleihen[[#This Row],[Gewinn gesamt]]/aktuelleAnleihen[[#This Row],[Kaufpreis]]</f>
        <v>-4.2062709667041497E-3</v>
      </c>
      <c r="K229" s="3">
        <f>aktuelleAnleihen[[#This Row],[Verkaufspreis]]-aktuelleAnleihen[[#This Row],[Kaufpreis]]+aktuelleAnleihen[[#This Row],[Zinszahlungen]]</f>
        <v>-8.4282435222999084</v>
      </c>
      <c r="L229" s="4">
        <v>2003.7329</v>
      </c>
      <c r="M229" s="7">
        <v>1.069</v>
      </c>
      <c r="N229" s="61">
        <v>1.0723</v>
      </c>
      <c r="O229" s="1">
        <v>1.0891</v>
      </c>
      <c r="P229" s="1" t="s">
        <v>887</v>
      </c>
      <c r="Q229" s="30">
        <v>45412</v>
      </c>
      <c r="R229" s="1">
        <v>2</v>
      </c>
      <c r="S229" s="1">
        <v>1000</v>
      </c>
      <c r="T229" s="9">
        <v>45394</v>
      </c>
      <c r="U229" s="1">
        <v>2</v>
      </c>
      <c r="V229" s="62">
        <f>aktuelleAnleihen[[#This Row],[Stückelung]]*aktuelleAnleihen[[#This Row],[Anteile]]*aktuelleAnleihen[[#This Row],[Coupon]]/aktuelleAnleihen[[#This Row],[Aktueller Wechselkurs]]*($AC$1-aktuelleAnleihen[[#This Row],[Letzte Zinszahlung]])/365</f>
        <v>30.287669975083105</v>
      </c>
      <c r="W229" s="4">
        <v>9.8878000000000004</v>
      </c>
      <c r="X229" s="120" t="s">
        <v>1004</v>
      </c>
      <c r="Y229" s="120" t="s">
        <v>39</v>
      </c>
      <c r="Z229" s="1" t="s">
        <v>1057</v>
      </c>
      <c r="AA229" s="1" t="s">
        <v>1058</v>
      </c>
      <c r="AB229" s="3">
        <f>SUMIF('Zinszahlungen Anleihen'!K:K,aktuelleAnleihen[[#This Row],[ISIN]],'Zinszahlungen Anleihen'!D:D)</f>
        <v>0</v>
      </c>
      <c r="AE229" s="10"/>
      <c r="AF229" s="1"/>
      <c r="AH229" s="7"/>
      <c r="AJ229" s="1"/>
      <c r="AN229" s="1"/>
      <c r="AQ229" s="1"/>
    </row>
    <row r="230" spans="1:43" x14ac:dyDescent="0.2">
      <c r="A230" s="1" t="s">
        <v>1200</v>
      </c>
      <c r="B230" s="1" t="s">
        <v>1</v>
      </c>
      <c r="C230" s="7">
        <v>9.5000000000000001E-2</v>
      </c>
      <c r="D230" s="7">
        <v>0.9234</v>
      </c>
      <c r="E230" s="7">
        <f>aktuelleAnleihen[[#This Row],[Aktueller Kurs]]-aktuelleAnleihen[[#This Row],[Kaufkurs]]</f>
        <v>1.0999999999999899E-3</v>
      </c>
      <c r="F230" s="8">
        <f>aktuelleAnleihen[[#This Row],[Stückelung]]*aktuelleAnleihen[[#This Row],[Aktueller Kurs]]*aktuelleAnleihen[[#This Row],[Anteile]]/aktuelleAnleihen[[#This Row],[Aktueller Wechselkurs]]+aktuelleAnleihen[[#This Row],[Stückzinsen]]</f>
        <v>1723.4338268496172</v>
      </c>
      <c r="G230" s="8">
        <f>aktuelleAnleihen[[#This Row],[Kursdifferenz]]*aktuelleAnleihen[[#This Row],[Anteile]]*aktuelleAnleihen[[#This Row],[Stückelung]]/aktuelleAnleihen[[#This Row],[Wechselkurs am Kauftag]]</f>
        <v>2.0516646460878296</v>
      </c>
      <c r="H230" s="8">
        <f>aktuelleAnleihen[[#This Row],[Stückzinsen]]-aktuelleAnleihen[[#This Row],[Stückzinsen am Kauftag]]+aktuelleAnleihen[[#This Row],[Zinszahlungen]]</f>
        <v>18.012771023705639</v>
      </c>
      <c r="I230" s="8">
        <f>aktuelleAnleihen[[#This Row],[Gewinn gesamt]]-aktuelleAnleihen[[#This Row],[Gewinn aus Kursänderung]]-aktuelleAnleihen[[#This Row],[Gewinn aus Zinsen]]</f>
        <v>-26.56710882017633</v>
      </c>
      <c r="J230" s="7">
        <f>aktuelleAnleihen[[#This Row],[Gewinn gesamt]]/aktuelleAnleihen[[#This Row],[Kaufpreis]]</f>
        <v>-3.7589085786575759E-3</v>
      </c>
      <c r="K230" s="3">
        <f>aktuelleAnleihen[[#This Row],[Verkaufspreis]]-aktuelleAnleihen[[#This Row],[Kaufpreis]]+aktuelleAnleihen[[#This Row],[Zinszahlungen]]</f>
        <v>-6.5026731503828614</v>
      </c>
      <c r="L230" s="4">
        <v>1729.9365</v>
      </c>
      <c r="M230" s="7">
        <v>0.92230000000000001</v>
      </c>
      <c r="N230" s="61">
        <v>1.0723</v>
      </c>
      <c r="O230" s="1">
        <v>1.0891</v>
      </c>
      <c r="P230" s="1" t="s">
        <v>887</v>
      </c>
      <c r="Q230" s="30">
        <v>45412</v>
      </c>
      <c r="R230" s="1">
        <v>2</v>
      </c>
      <c r="S230" s="1">
        <v>1000</v>
      </c>
      <c r="T230" s="9">
        <v>45392</v>
      </c>
      <c r="U230" s="1">
        <v>4</v>
      </c>
      <c r="V230" s="62">
        <f>aktuelleAnleihen[[#This Row],[Stückelung]]*aktuelleAnleihen[[#This Row],[Anteile]]*aktuelleAnleihen[[#This Row],[Coupon]]/aktuelleAnleihen[[#This Row],[Aktueller Wechselkurs]]*($AC$1-aktuelleAnleihen[[#This Row],[Letzte Zinszahlung]])/365</f>
        <v>27.721771023705639</v>
      </c>
      <c r="W230" s="4">
        <v>9.7089999999999996</v>
      </c>
      <c r="X230" s="120" t="s">
        <v>1004</v>
      </c>
      <c r="Y230" s="120" t="s">
        <v>52</v>
      </c>
      <c r="Z230" s="1" t="s">
        <v>1201</v>
      </c>
      <c r="AA230" s="1" t="s">
        <v>1202</v>
      </c>
      <c r="AB230" s="3">
        <f>SUMIF('Zinszahlungen Anleihen'!K:K,aktuelleAnleihen[[#This Row],[ISIN]],'Zinszahlungen Anleihen'!D:D)</f>
        <v>0</v>
      </c>
      <c r="AE230" s="10"/>
      <c r="AF230" s="1"/>
      <c r="AH230" s="7"/>
      <c r="AJ230" s="1"/>
      <c r="AN230" s="1"/>
      <c r="AQ230" s="1"/>
    </row>
    <row r="231" spans="1:43" x14ac:dyDescent="0.2">
      <c r="A231" s="1" t="s">
        <v>1314</v>
      </c>
      <c r="B231" s="1" t="s">
        <v>1</v>
      </c>
      <c r="C231" s="7">
        <v>0.09</v>
      </c>
      <c r="D231" s="7">
        <v>0.82379999999999998</v>
      </c>
      <c r="E231" s="7">
        <f>aktuelleAnleihen[[#This Row],[Aktueller Kurs]]-aktuelleAnleihen[[#This Row],[Kaufkurs]]</f>
        <v>1.1999999999999789E-3</v>
      </c>
      <c r="F231" s="8">
        <f>aktuelleAnleihen[[#This Row],[Stückelung]]*aktuelleAnleihen[[#This Row],[Aktueller Kurs]]*aktuelleAnleihen[[#This Row],[Anteile]]/aktuelleAnleihen[[#This Row],[Aktueller Wechselkurs]]+aktuelleAnleihen[[#This Row],[Stückzinsen]]</f>
        <v>1533.6378032383154</v>
      </c>
      <c r="G231" s="8">
        <f>aktuelleAnleihen[[#This Row],[Kursdifferenz]]*aktuelleAnleihen[[#This Row],[Anteile]]*aktuelleAnleihen[[#This Row],[Stückelung]]/aktuelleAnleihen[[#This Row],[Wechselkurs am Kauftag]]</f>
        <v>2.2381796139139771</v>
      </c>
      <c r="H231" s="8">
        <f>aktuelleAnleihen[[#This Row],[Stückzinsen]]-aktuelleAnleihen[[#This Row],[Stückzinsen am Kauftag]]+aktuelleAnleihen[[#This Row],[Zinszahlungen]]</f>
        <v>17.149862075887718</v>
      </c>
      <c r="I231" s="8">
        <f>aktuelleAnleihen[[#This Row],[Gewinn gesamt]]-aktuelleAnleihen[[#This Row],[Gewinn aus Kursänderung]]-aktuelleAnleihen[[#This Row],[Gewinn aus Zinsen]]</f>
        <v>-23.701538451486215</v>
      </c>
      <c r="J231" s="7">
        <f>aktuelleAnleihen[[#This Row],[Gewinn gesamt]]/aktuelleAnleihen[[#This Row],[Kaufpreis]]</f>
        <v>-2.8047030888978856E-3</v>
      </c>
      <c r="K231" s="3">
        <f>aktuelleAnleihen[[#This Row],[Verkaufspreis]]-aktuelleAnleihen[[#This Row],[Kaufpreis]]+aktuelleAnleihen[[#This Row],[Zinszahlungen]]</f>
        <v>-4.3134967616845188</v>
      </c>
      <c r="L231" s="4">
        <v>1537.9512999999999</v>
      </c>
      <c r="M231" s="7">
        <v>0.8226</v>
      </c>
      <c r="N231" s="61">
        <v>1.0723</v>
      </c>
      <c r="O231" s="1">
        <v>1.0891</v>
      </c>
      <c r="P231" s="1" t="s">
        <v>887</v>
      </c>
      <c r="Q231" s="30">
        <v>45412</v>
      </c>
      <c r="R231" s="1">
        <v>2</v>
      </c>
      <c r="S231" s="1">
        <v>1000</v>
      </c>
      <c r="T231" s="9">
        <v>45404</v>
      </c>
      <c r="U231" s="1">
        <v>2</v>
      </c>
      <c r="V231" s="62">
        <f>aktuelleAnleihen[[#This Row],[Stückelung]]*aktuelleAnleihen[[#This Row],[Anteile]]*aktuelleAnleihen[[#This Row],[Coupon]]/aktuelleAnleihen[[#This Row],[Aktueller Wechselkurs]]*($AC$1-aktuelleAnleihen[[#This Row],[Letzte Zinszahlung]])/365</f>
        <v>20.82906207588772</v>
      </c>
      <c r="W231" s="4">
        <v>3.6791999999999998</v>
      </c>
      <c r="X231" s="120" t="s">
        <v>176</v>
      </c>
      <c r="Y231" s="120" t="s">
        <v>39</v>
      </c>
      <c r="Z231" s="1" t="s">
        <v>1315</v>
      </c>
      <c r="AA231" s="1" t="s">
        <v>1316</v>
      </c>
      <c r="AB231" s="3">
        <f>SUMIF('Zinszahlungen Anleihen'!K:K,aktuelleAnleihen[[#This Row],[ISIN]],'Zinszahlungen Anleihen'!D:D)</f>
        <v>0</v>
      </c>
      <c r="AE231" s="10"/>
      <c r="AF231" s="1"/>
      <c r="AH231" s="7"/>
      <c r="AJ231" s="1"/>
      <c r="AN231" s="1"/>
      <c r="AQ231" s="1"/>
    </row>
    <row r="232" spans="1:43" x14ac:dyDescent="0.2">
      <c r="A232" s="1" t="s">
        <v>480</v>
      </c>
      <c r="B232" s="1" t="s">
        <v>10</v>
      </c>
      <c r="C232" s="7">
        <v>7.9119999999999996E-2</v>
      </c>
      <c r="D232" s="7">
        <v>1.0067999999999999</v>
      </c>
      <c r="E232" s="7">
        <f>aktuelleAnleihen[[#This Row],[Aktueller Kurs]]-aktuelleAnleihen[[#This Row],[Kaufkurs]]</f>
        <v>1.2999999999998568E-3</v>
      </c>
      <c r="F232" s="8">
        <f>aktuelleAnleihen[[#This Row],[Stückelung]]*aktuelleAnleihen[[#This Row],[Aktueller Kurs]]*aktuelleAnleihen[[#This Row],[Anteile]]/aktuelleAnleihen[[#This Row],[Aktueller Wechselkurs]]+aktuelleAnleihen[[#This Row],[Stückzinsen]]</f>
        <v>2029.2072328767122</v>
      </c>
      <c r="G232" s="8">
        <f>aktuelleAnleihen[[#This Row],[Kursdifferenz]]*aktuelleAnleihen[[#This Row],[Anteile]]*aktuelleAnleihen[[#This Row],[Stückelung]]/aktuelleAnleihen[[#This Row],[Wechselkurs am Kauftag]]</f>
        <v>2.5999999999997137</v>
      </c>
      <c r="H232" s="8">
        <f>aktuelleAnleihen[[#This Row],[Stückzinsen]]-aktuelleAnleihen[[#This Row],[Stückzinsen am Kauftag]]+aktuelleAnleihen[[#This Row],[Zinszahlungen]]</f>
        <v>28.721632876712324</v>
      </c>
      <c r="I232" s="8">
        <f>aktuelleAnleihen[[#This Row],[Gewinn gesamt]]-aktuelleAnleihen[[#This Row],[Gewinn aus Kursänderung]]-aktuelleAnleihen[[#This Row],[Gewinn aus Zinsen]]</f>
        <v>1.1368683772161603E-13</v>
      </c>
      <c r="J232" s="7">
        <f>aktuelleAnleihen[[#This Row],[Gewinn gesamt]]/aktuelleAnleihen[[#This Row],[Kaufpreis]]</f>
        <v>1.537299100241604E-2</v>
      </c>
      <c r="K232" s="3">
        <f>aktuelleAnleihen[[#This Row],[Verkaufspreis]]-aktuelleAnleihen[[#This Row],[Kaufpreis]]+aktuelleAnleihen[[#This Row],[Zinszahlungen]]</f>
        <v>31.321632876712151</v>
      </c>
      <c r="L232" s="4">
        <v>2037.4456</v>
      </c>
      <c r="M232" s="7">
        <v>1.0055000000000001</v>
      </c>
      <c r="N232" s="61">
        <v>1</v>
      </c>
      <c r="O232" s="1">
        <v>1</v>
      </c>
      <c r="P232" s="1" t="s">
        <v>925</v>
      </c>
      <c r="Q232" s="30">
        <v>45385</v>
      </c>
      <c r="R232" s="1">
        <v>2</v>
      </c>
      <c r="S232" s="1">
        <v>1000</v>
      </c>
      <c r="T232" s="9">
        <v>45414</v>
      </c>
      <c r="U232" s="1">
        <v>4</v>
      </c>
      <c r="V232" s="62">
        <f>aktuelleAnleihen[[#This Row],[Stückelung]]*aktuelleAnleihen[[#This Row],[Anteile]]*aktuelleAnleihen[[#This Row],[Coupon]]/aktuelleAnleihen[[#This Row],[Aktueller Wechselkurs]]*($AC$1-aktuelleAnleihen[[#This Row],[Letzte Zinszahlung]])/365</f>
        <v>15.607232876712327</v>
      </c>
      <c r="W232" s="4">
        <v>26.445599999999999</v>
      </c>
      <c r="X232" s="120" t="s">
        <v>102</v>
      </c>
      <c r="Y232" s="120" t="s">
        <v>109</v>
      </c>
      <c r="Z232" s="1" t="s">
        <v>481</v>
      </c>
      <c r="AA232" s="1" t="s">
        <v>482</v>
      </c>
      <c r="AB232" s="3">
        <f>SUMIF('Zinszahlungen Anleihen'!K:K,aktuelleAnleihen[[#This Row],[ISIN]],'Zinszahlungen Anleihen'!D:D)</f>
        <v>39.559999999999995</v>
      </c>
      <c r="AE232" s="10"/>
      <c r="AF232" s="1"/>
      <c r="AH232" s="7"/>
      <c r="AJ232" s="1"/>
      <c r="AN232" s="1"/>
      <c r="AQ232" s="1"/>
    </row>
    <row r="233" spans="1:43" x14ac:dyDescent="0.2">
      <c r="A233" s="1" t="s">
        <v>685</v>
      </c>
      <c r="B233" s="1" t="s">
        <v>10</v>
      </c>
      <c r="C233" s="7">
        <v>6.8750000000000006E-2</v>
      </c>
      <c r="D233" s="7">
        <v>1.0542499999999999</v>
      </c>
      <c r="E233" s="7">
        <f>aktuelleAnleihen[[#This Row],[Aktueller Kurs]]-aktuelleAnleihen[[#This Row],[Kaufkurs]]</f>
        <v>1.4499999999999513E-3</v>
      </c>
      <c r="F233" s="8">
        <f>aktuelleAnleihen[[#This Row],[Stückelung]]*aktuelleAnleihen[[#This Row],[Aktueller Kurs]]*aktuelleAnleihen[[#This Row],[Anteile]]/aktuelleAnleihen[[#This Row],[Aktueller Wechselkurs]]+aktuelleAnleihen[[#This Row],[Stückzinsen]]</f>
        <v>2117.1643835616437</v>
      </c>
      <c r="G233" s="8">
        <f>aktuelleAnleihen[[#This Row],[Kursdifferenz]]*aktuelleAnleihen[[#This Row],[Anteile]]*aktuelleAnleihen[[#This Row],[Stückelung]]/aktuelleAnleihen[[#This Row],[Wechselkurs am Kauftag]]</f>
        <v>2.8999999999999027</v>
      </c>
      <c r="H233" s="8">
        <f>aktuelleAnleihen[[#This Row],[Stückzinsen]]-aktuelleAnleihen[[#This Row],[Stückzinsen am Kauftag]]+aktuelleAnleihen[[#This Row],[Zinszahlungen]]</f>
        <v>24.674683561643839</v>
      </c>
      <c r="I233" s="8">
        <f>aktuelleAnleihen[[#This Row],[Gewinn gesamt]]-aktuelleAnleihen[[#This Row],[Gewinn aus Kursänderung]]-aktuelleAnleihen[[#This Row],[Gewinn aus Zinsen]]</f>
        <v>0</v>
      </c>
      <c r="J233" s="7">
        <f>aktuelleAnleihen[[#This Row],[Gewinn gesamt]]/aktuelleAnleihen[[#This Row],[Kaufpreis]]</f>
        <v>1.2775877477323762E-2</v>
      </c>
      <c r="K233" s="3">
        <f>aktuelleAnleihen[[#This Row],[Verkaufspreis]]-aktuelleAnleihen[[#This Row],[Kaufpreis]]+aktuelleAnleihen[[#This Row],[Zinszahlungen]]</f>
        <v>27.574683561643724</v>
      </c>
      <c r="L233" s="4">
        <v>2158.3397</v>
      </c>
      <c r="M233" s="7">
        <v>1.0528</v>
      </c>
      <c r="N233" s="61">
        <v>1</v>
      </c>
      <c r="O233" s="1">
        <v>1</v>
      </c>
      <c r="P233" s="1" t="s">
        <v>925</v>
      </c>
      <c r="Q233" s="30">
        <v>45385</v>
      </c>
      <c r="R233" s="1">
        <v>2</v>
      </c>
      <c r="S233" s="1">
        <v>1000</v>
      </c>
      <c r="T233" s="9">
        <v>45427</v>
      </c>
      <c r="U233" s="1">
        <v>2</v>
      </c>
      <c r="V233" s="62">
        <f>aktuelleAnleihen[[#This Row],[Stückelung]]*aktuelleAnleihen[[#This Row],[Anteile]]*aktuelleAnleihen[[#This Row],[Coupon]]/aktuelleAnleihen[[#This Row],[Aktueller Wechselkurs]]*($AC$1-aktuelleAnleihen[[#This Row],[Letzte Zinszahlung]])/365</f>
        <v>8.6643835616438363</v>
      </c>
      <c r="W233" s="4">
        <v>52.739699999999999</v>
      </c>
      <c r="X233" s="120" t="s">
        <v>65</v>
      </c>
      <c r="Y233" s="120" t="s">
        <v>39</v>
      </c>
      <c r="Z233" s="1" t="s">
        <v>686</v>
      </c>
      <c r="AA233" s="1" t="s">
        <v>687</v>
      </c>
      <c r="AB233" s="3">
        <f>SUMIF('Zinszahlungen Anleihen'!K:K,aktuelleAnleihen[[#This Row],[ISIN]],'Zinszahlungen Anleihen'!D:D)</f>
        <v>68.75</v>
      </c>
      <c r="AE233" s="10"/>
      <c r="AF233" s="1"/>
      <c r="AH233" s="7"/>
      <c r="AJ233" s="1"/>
      <c r="AN233" s="1"/>
      <c r="AQ233" s="1"/>
    </row>
    <row r="234" spans="1:43" x14ac:dyDescent="0.2">
      <c r="A234" s="1" t="s">
        <v>1281</v>
      </c>
      <c r="B234" s="1" t="s">
        <v>2</v>
      </c>
      <c r="C234" s="7">
        <v>9.1249999999999998E-2</v>
      </c>
      <c r="D234" s="7">
        <v>1.07</v>
      </c>
      <c r="E234" s="7">
        <f>aktuelleAnleihen[[#This Row],[Aktueller Kurs]]-aktuelleAnleihen[[#This Row],[Kaufkurs]]</f>
        <v>1.6000000000000458E-3</v>
      </c>
      <c r="F234" s="8">
        <f>aktuelleAnleihen[[#This Row],[Stückelung]]*aktuelleAnleihen[[#This Row],[Aktueller Kurs]]*aktuelleAnleihen[[#This Row],[Anteile]]/aktuelleAnleihen[[#This Row],[Aktueller Wechselkurs]]+aktuelleAnleihen[[#This Row],[Stückzinsen]]</f>
        <v>2045.7258286658709</v>
      </c>
      <c r="G234" s="8">
        <f>aktuelleAnleihen[[#This Row],[Kursdifferenz]]*aktuelleAnleihen[[#This Row],[Anteile]]*aktuelleAnleihen[[#This Row],[Stückelung]]/aktuelleAnleihen[[#This Row],[Wechselkurs am Kauftag]]</f>
        <v>2.9842394852187741</v>
      </c>
      <c r="H234" s="8">
        <f>aktuelleAnleihen[[#This Row],[Stückzinsen]]-aktuelleAnleihen[[#This Row],[Stückzinsen am Kauftag]]+aktuelleAnleihen[[#This Row],[Zinszahlungen]]</f>
        <v>16.452961096318063</v>
      </c>
      <c r="I234" s="8">
        <f>aktuelleAnleihen[[#This Row],[Gewinn gesamt]]-aktuelleAnleihen[[#This Row],[Gewinn aus Kursänderung]]-aktuelleAnleihen[[#This Row],[Gewinn aus Zinsen]]</f>
        <v>-30.784971915666056</v>
      </c>
      <c r="J234" s="7">
        <f>aktuelleAnleihen[[#This Row],[Gewinn gesamt]]/aktuelleAnleihen[[#This Row],[Kaufpreis]]</f>
        <v>-5.5164634528046151E-3</v>
      </c>
      <c r="K234" s="3">
        <f>aktuelleAnleihen[[#This Row],[Verkaufspreis]]-aktuelleAnleihen[[#This Row],[Kaufpreis]]+aktuelleAnleihen[[#This Row],[Zinszahlungen]]</f>
        <v>-11.34777133412922</v>
      </c>
      <c r="L234" s="4">
        <v>2057.0736000000002</v>
      </c>
      <c r="M234" s="7">
        <v>1.0684</v>
      </c>
      <c r="N234" s="61">
        <v>1.0723</v>
      </c>
      <c r="O234" s="1">
        <v>1.0891</v>
      </c>
      <c r="P234" s="1" t="s">
        <v>887</v>
      </c>
      <c r="Q234" s="30">
        <v>45412</v>
      </c>
      <c r="R234" s="1">
        <v>2</v>
      </c>
      <c r="S234" s="1">
        <v>1000</v>
      </c>
      <c r="T234" s="9">
        <v>45274</v>
      </c>
      <c r="U234" s="1">
        <v>2</v>
      </c>
      <c r="V234" s="62">
        <f>aktuelleAnleihen[[#This Row],[Stückelung]]*aktuelleAnleihen[[#This Row],[Anteile]]*aktuelleAnleihen[[#This Row],[Coupon]]/aktuelleAnleihen[[#This Row],[Aktueller Wechselkurs]]*($AC$1-aktuelleAnleihen[[#This Row],[Letzte Zinszahlung]])/365</f>
        <v>80.800661096318066</v>
      </c>
      <c r="W234" s="4">
        <v>64.347700000000003</v>
      </c>
      <c r="X234" s="120" t="s">
        <v>1020</v>
      </c>
      <c r="Y234" s="120" t="s">
        <v>52</v>
      </c>
      <c r="Z234" s="1" t="s">
        <v>1291</v>
      </c>
      <c r="AA234" s="1" t="s">
        <v>1292</v>
      </c>
      <c r="AB234" s="3">
        <f>SUMIF('Zinszahlungen Anleihen'!K:K,aktuelleAnleihen[[#This Row],[ISIN]],'Zinszahlungen Anleihen'!D:D)</f>
        <v>0</v>
      </c>
      <c r="AE234" s="10"/>
      <c r="AF234" s="1"/>
      <c r="AH234" s="7"/>
      <c r="AJ234" s="1"/>
      <c r="AN234" s="1"/>
      <c r="AQ234" s="1"/>
    </row>
    <row r="235" spans="1:43" x14ac:dyDescent="0.2">
      <c r="A235" s="1" t="s">
        <v>1468</v>
      </c>
      <c r="B235" s="1" t="s">
        <v>1</v>
      </c>
      <c r="C235" s="7">
        <v>8.5000000000000006E-2</v>
      </c>
      <c r="D235" s="7">
        <v>1.0145</v>
      </c>
      <c r="E235" s="7">
        <f>aktuelleAnleihen[[#This Row],[Aktueller Kurs]]-aktuelleAnleihen[[#This Row],[Kaufkurs]]</f>
        <v>1.7000000000000348E-3</v>
      </c>
      <c r="F235" s="8">
        <f>aktuelleAnleihen[[#This Row],[Stückelung]]*aktuelleAnleihen[[#This Row],[Aktueller Kurs]]*aktuelleAnleihen[[#This Row],[Anteile]]/aktuelleAnleihen[[#This Row],[Aktueller Wechselkurs]]+aktuelleAnleihen[[#This Row],[Stückzinsen]]</f>
        <v>1904.9158347410141</v>
      </c>
      <c r="G235" s="8">
        <f>aktuelleAnleihen[[#This Row],[Kursdifferenz]]*aktuelleAnleihen[[#This Row],[Anteile]]*aktuelleAnleihen[[#This Row],[Stückelung]]/aktuelleAnleihen[[#This Row],[Wechselkurs am Kauftag]]</f>
        <v>3.1707544530449217</v>
      </c>
      <c r="H235" s="8">
        <f>aktuelleAnleihen[[#This Row],[Stückzinsen]]-aktuelleAnleihen[[#This Row],[Stückzinsen am Kauftag]]+aktuelleAnleihen[[#This Row],[Zinszahlungen]]</f>
        <v>15.848682872498721</v>
      </c>
      <c r="I235" s="8">
        <f>aktuelleAnleihen[[#This Row],[Gewinn gesamt]]-aktuelleAnleihen[[#This Row],[Gewinn aus Kursänderung]]-aktuelleAnleihen[[#This Row],[Gewinn aus Zinsen]]</f>
        <v>-29.188202584529428</v>
      </c>
      <c r="J235" s="7">
        <f>aktuelleAnleihen[[#This Row],[Gewinn gesamt]]/aktuelleAnleihen[[#This Row],[Kaufpreis]]</f>
        <v>-5.3098256123963331E-3</v>
      </c>
      <c r="K235" s="3">
        <f>aktuelleAnleihen[[#This Row],[Verkaufspreis]]-aktuelleAnleihen[[#This Row],[Kaufpreis]]+aktuelleAnleihen[[#This Row],[Zinszahlungen]]</f>
        <v>-10.168765258985786</v>
      </c>
      <c r="L235" s="4">
        <v>1915.0845999999999</v>
      </c>
      <c r="M235" s="7">
        <v>1.0127999999999999</v>
      </c>
      <c r="N235" s="61">
        <v>1.0723</v>
      </c>
      <c r="O235" s="1">
        <v>1.0891</v>
      </c>
      <c r="P235" s="1" t="s">
        <v>887</v>
      </c>
      <c r="Q235" s="30">
        <v>45412</v>
      </c>
      <c r="R235" s="1">
        <v>2</v>
      </c>
      <c r="S235" s="1">
        <v>1000</v>
      </c>
      <c r="T235" s="9">
        <v>45352</v>
      </c>
      <c r="U235" s="1">
        <v>2</v>
      </c>
      <c r="V235" s="62">
        <f>aktuelleAnleihen[[#This Row],[Stückelung]]*aktuelleAnleihen[[#This Row],[Anteile]]*aktuelleAnleihen[[#This Row],[Coupon]]/aktuelleAnleihen[[#This Row],[Aktueller Wechselkurs]]*($AC$1-aktuelleAnleihen[[#This Row],[Letzte Zinszahlung]])/365</f>
        <v>41.90968287249872</v>
      </c>
      <c r="W235" s="4">
        <v>26.061</v>
      </c>
      <c r="X235" s="120" t="s">
        <v>1051</v>
      </c>
      <c r="Y235" s="120" t="s">
        <v>39</v>
      </c>
      <c r="Z235" s="1" t="s">
        <v>1469</v>
      </c>
      <c r="AA235" s="1" t="s">
        <v>1470</v>
      </c>
      <c r="AB235" s="3">
        <f>SUMIF('Zinszahlungen Anleihen'!K:K,aktuelleAnleihen[[#This Row],[ISIN]],'Zinszahlungen Anleihen'!D:D)</f>
        <v>0</v>
      </c>
      <c r="AE235" s="10"/>
      <c r="AF235" s="1"/>
      <c r="AH235" s="7"/>
      <c r="AJ235" s="1"/>
      <c r="AN235" s="1"/>
      <c r="AQ235" s="1"/>
    </row>
    <row r="236" spans="1:43" x14ac:dyDescent="0.2">
      <c r="A236" s="1" t="s">
        <v>1390</v>
      </c>
      <c r="B236" s="1" t="s">
        <v>2</v>
      </c>
      <c r="C236" s="7">
        <v>8.7499999999999994E-2</v>
      </c>
      <c r="D236" s="7">
        <v>1.0649999999999999</v>
      </c>
      <c r="E236" s="7">
        <f>aktuelleAnleihen[[#This Row],[Aktueller Kurs]]-aktuelleAnleihen[[#This Row],[Kaufkurs]]</f>
        <v>1.7000000000000348E-3</v>
      </c>
      <c r="F236" s="8">
        <f>aktuelleAnleihen[[#This Row],[Stückelung]]*aktuelleAnleihen[[#This Row],[Aktueller Kurs]]*aktuelleAnleihen[[#This Row],[Anteile]]/aktuelleAnleihen[[#This Row],[Aktueller Wechselkurs]]+aktuelleAnleihen[[#This Row],[Stückzinsen]]</f>
        <v>2025.2992605431405</v>
      </c>
      <c r="G236" s="8">
        <f>aktuelleAnleihen[[#This Row],[Kursdifferenz]]*aktuelleAnleihen[[#This Row],[Anteile]]*aktuelleAnleihen[[#This Row],[Stückelung]]/aktuelleAnleihen[[#This Row],[Wechselkurs am Kauftag]]</f>
        <v>3.1707544530449217</v>
      </c>
      <c r="H236" s="8">
        <f>aktuelleAnleihen[[#This Row],[Stückzinsen]]-aktuelleAnleihen[[#This Row],[Stückzinsen am Kauftag]]+aktuelleAnleihen[[#This Row],[Zinszahlungen]]</f>
        <v>15.900986279987364</v>
      </c>
      <c r="I236" s="8">
        <f>aktuelleAnleihen[[#This Row],[Gewinn gesamt]]-aktuelleAnleihen[[#This Row],[Gewinn aus Kursänderung]]-aktuelleAnleihen[[#This Row],[Gewinn aus Zinsen]]</f>
        <v>-30.641080189891838</v>
      </c>
      <c r="J236" s="7">
        <f>aktuelleAnleihen[[#This Row],[Gewinn gesamt]]/aktuelleAnleihen[[#This Row],[Kaufpreis]]</f>
        <v>-5.6799635758828784E-3</v>
      </c>
      <c r="K236" s="3">
        <f>aktuelleAnleihen[[#This Row],[Verkaufspreis]]-aktuelleAnleihen[[#This Row],[Kaufpreis]]+aktuelleAnleihen[[#This Row],[Zinszahlungen]]</f>
        <v>-11.569339456859552</v>
      </c>
      <c r="L236" s="4">
        <v>2036.8686</v>
      </c>
      <c r="M236" s="7">
        <v>1.0632999999999999</v>
      </c>
      <c r="N236" s="61">
        <v>1.0723</v>
      </c>
      <c r="O236" s="1">
        <v>1.0891</v>
      </c>
      <c r="P236" s="1" t="s">
        <v>887</v>
      </c>
      <c r="Q236" s="30">
        <v>45412</v>
      </c>
      <c r="R236" s="1">
        <v>2</v>
      </c>
      <c r="S236" s="1">
        <v>1000</v>
      </c>
      <c r="T236" s="9">
        <v>45292</v>
      </c>
      <c r="U236" s="1">
        <v>2</v>
      </c>
      <c r="V236" s="62">
        <f>aktuelleAnleihen[[#This Row],[Stückelung]]*aktuelleAnleihen[[#This Row],[Anteile]]*aktuelleAnleihen[[#This Row],[Coupon]]/aktuelleAnleihen[[#This Row],[Aktueller Wechselkurs]]*($AC$1-aktuelleAnleihen[[#This Row],[Letzte Zinszahlung]])/365</f>
        <v>69.555986279987366</v>
      </c>
      <c r="W236" s="4">
        <v>53.655000000000001</v>
      </c>
      <c r="X236" s="120" t="s">
        <v>276</v>
      </c>
      <c r="Y236" s="120" t="s">
        <v>39</v>
      </c>
      <c r="Z236" s="1" t="s">
        <v>1391</v>
      </c>
      <c r="AA236" s="1" t="s">
        <v>1392</v>
      </c>
      <c r="AB236" s="3">
        <f>SUMIF('Zinszahlungen Anleihen'!K:K,aktuelleAnleihen[[#This Row],[ISIN]],'Zinszahlungen Anleihen'!D:D)</f>
        <v>0</v>
      </c>
      <c r="AE236" s="10"/>
      <c r="AF236" s="1"/>
      <c r="AH236" s="7"/>
      <c r="AJ236" s="1"/>
      <c r="AN236" s="1"/>
      <c r="AQ236" s="1"/>
    </row>
    <row r="237" spans="1:43" x14ac:dyDescent="0.2">
      <c r="A237" s="1" t="s">
        <v>171</v>
      </c>
      <c r="B237" s="1" t="s">
        <v>0</v>
      </c>
      <c r="C237" s="7">
        <v>9.5000000000000001E-2</v>
      </c>
      <c r="D237" s="7">
        <v>1.0959000000000001</v>
      </c>
      <c r="E237" s="7">
        <f>aktuelleAnleihen[[#This Row],[Aktueller Kurs]]-aktuelleAnleihen[[#This Row],[Kaufkurs]]</f>
        <v>1.6000000000000458E-3</v>
      </c>
      <c r="F237" s="8">
        <f>aktuelleAnleihen[[#This Row],[Stückelung]]*aktuelleAnleihen[[#This Row],[Aktueller Kurs]]*aktuelleAnleihen[[#This Row],[Anteile]]/aktuelleAnleihen[[#This Row],[Aktueller Wechselkurs]]+aktuelleAnleihen[[#This Row],[Stückzinsen]]</f>
        <v>2199.0876712328768</v>
      </c>
      <c r="G237" s="8">
        <f>aktuelleAnleihen[[#This Row],[Kursdifferenz]]*aktuelleAnleihen[[#This Row],[Anteile]]*aktuelleAnleihen[[#This Row],[Stückelung]]/aktuelleAnleihen[[#This Row],[Wechselkurs am Kauftag]]</f>
        <v>3.2000000000000917</v>
      </c>
      <c r="H237" s="8">
        <f>aktuelleAnleihen[[#This Row],[Stückzinsen]]-aktuelleAnleihen[[#This Row],[Stückzinsen am Kauftag]]+aktuelleAnleihen[[#This Row],[Zinszahlungen]]</f>
        <v>34.095871232876711</v>
      </c>
      <c r="I237" s="8">
        <f>aktuelleAnleihen[[#This Row],[Gewinn gesamt]]-aktuelleAnleihen[[#This Row],[Gewinn aus Kursänderung]]-aktuelleAnleihen[[#This Row],[Gewinn aus Zinsen]]</f>
        <v>0</v>
      </c>
      <c r="J237" s="7">
        <f>aktuelleAnleihen[[#This Row],[Gewinn gesamt]]/aktuelleAnleihen[[#This Row],[Kaufpreis]]</f>
        <v>1.6526057580002213E-2</v>
      </c>
      <c r="K237" s="3">
        <f>aktuelleAnleihen[[#This Row],[Verkaufspreis]]-aktuelleAnleihen[[#This Row],[Kaufpreis]]+aktuelleAnleihen[[#This Row],[Zinszahlungen]]</f>
        <v>37.295871232876834</v>
      </c>
      <c r="L237" s="4">
        <v>2256.7918</v>
      </c>
      <c r="M237" s="7">
        <v>1.0943000000000001</v>
      </c>
      <c r="N237" s="61">
        <v>1</v>
      </c>
      <c r="O237" s="1">
        <v>1</v>
      </c>
      <c r="P237" s="1" t="s">
        <v>925</v>
      </c>
      <c r="Q237" s="30">
        <v>45385</v>
      </c>
      <c r="R237" s="1">
        <v>2</v>
      </c>
      <c r="S237" s="1">
        <v>1000</v>
      </c>
      <c r="T237" s="9">
        <v>45436</v>
      </c>
      <c r="U237" s="1">
        <v>2</v>
      </c>
      <c r="V237" s="62">
        <f>aktuelleAnleihen[[#This Row],[Stückelung]]*aktuelleAnleihen[[#This Row],[Anteile]]*aktuelleAnleihen[[#This Row],[Coupon]]/aktuelleAnleihen[[#This Row],[Aktueller Wechselkurs]]*($AC$1-aktuelleAnleihen[[#This Row],[Letzte Zinszahlung]])/365</f>
        <v>7.2876712328767121</v>
      </c>
      <c r="W237" s="4">
        <v>68.191800000000001</v>
      </c>
      <c r="X237" s="120" t="s">
        <v>170</v>
      </c>
      <c r="Y237" s="120" t="s">
        <v>61</v>
      </c>
      <c r="Z237" s="1" t="s">
        <v>260</v>
      </c>
      <c r="AA237" s="1" t="s">
        <v>261</v>
      </c>
      <c r="AB237" s="3">
        <f>SUMIF('Zinszahlungen Anleihen'!K:K,aktuelleAnleihen[[#This Row],[ISIN]],'Zinszahlungen Anleihen'!D:D)</f>
        <v>95</v>
      </c>
      <c r="AE237" s="10"/>
      <c r="AF237" s="1"/>
      <c r="AH237" s="7"/>
      <c r="AJ237" s="1"/>
      <c r="AN237" s="1"/>
      <c r="AQ237" s="1"/>
    </row>
    <row r="238" spans="1:43" x14ac:dyDescent="0.2">
      <c r="A238" s="1" t="s">
        <v>969</v>
      </c>
      <c r="B238" s="1" t="s">
        <v>0</v>
      </c>
      <c r="C238" s="7">
        <v>7.2499999999999995E-2</v>
      </c>
      <c r="D238" s="7">
        <v>1.0649</v>
      </c>
      <c r="E238" s="7">
        <f>aktuelleAnleihen[[#This Row],[Aktueller Kurs]]-aktuelleAnleihen[[#This Row],[Kaufkurs]]</f>
        <v>1.7000000000000348E-3</v>
      </c>
      <c r="F238" s="8">
        <f>aktuelleAnleihen[[#This Row],[Stückelung]]*aktuelleAnleihen[[#This Row],[Aktueller Kurs]]*aktuelleAnleihen[[#This Row],[Anteile]]/aktuelleAnleihen[[#This Row],[Aktueller Wechselkurs]]+aktuelleAnleihen[[#This Row],[Stückzinsen]]</f>
        <v>2260.8958904109586</v>
      </c>
      <c r="G238" s="8">
        <f>aktuelleAnleihen[[#This Row],[Kursdifferenz]]*aktuelleAnleihen[[#This Row],[Anteile]]*aktuelleAnleihen[[#This Row],[Stückelung]]/aktuelleAnleihen[[#This Row],[Wechselkurs am Kauftag]]</f>
        <v>3.4000000000000696</v>
      </c>
      <c r="H238" s="8">
        <f>aktuelleAnleihen[[#This Row],[Stückzinsen]]-aktuelleAnleihen[[#This Row],[Stückzinsen am Kauftag]]+aktuelleAnleihen[[#This Row],[Zinszahlungen]]</f>
        <v>17.479490410958903</v>
      </c>
      <c r="I238" s="8">
        <f>aktuelleAnleihen[[#This Row],[Gewinn gesamt]]-aktuelleAnleihen[[#This Row],[Gewinn aus Kursänderung]]-aktuelleAnleihen[[#This Row],[Gewinn aus Zinsen]]</f>
        <v>-3.4816594052244909E-13</v>
      </c>
      <c r="J238" s="7">
        <f>aktuelleAnleihen[[#This Row],[Gewinn gesamt]]/aktuelleAnleihen[[#This Row],[Kaufpreis]]</f>
        <v>9.3211328323125776E-3</v>
      </c>
      <c r="K238" s="3">
        <f>aktuelleAnleihen[[#This Row],[Verkaufspreis]]-aktuelleAnleihen[[#This Row],[Kaufpreis]]+aktuelleAnleihen[[#This Row],[Zinszahlungen]]</f>
        <v>20.879490410958624</v>
      </c>
      <c r="L238" s="4">
        <v>2240.0164</v>
      </c>
      <c r="M238" s="7">
        <v>1.0631999999999999</v>
      </c>
      <c r="N238" s="61">
        <v>1</v>
      </c>
      <c r="O238" s="1">
        <v>1</v>
      </c>
      <c r="P238" s="1" t="s">
        <v>925</v>
      </c>
      <c r="Q238" s="30">
        <v>45406</v>
      </c>
      <c r="R238" s="1">
        <v>2</v>
      </c>
      <c r="S238" s="1">
        <v>1000</v>
      </c>
      <c r="T238" s="9">
        <v>45120</v>
      </c>
      <c r="U238" s="1">
        <v>1</v>
      </c>
      <c r="V238" s="62">
        <f>aktuelleAnleihen[[#This Row],[Stückelung]]*aktuelleAnleihen[[#This Row],[Anteile]]*aktuelleAnleihen[[#This Row],[Coupon]]/aktuelleAnleihen[[#This Row],[Aktueller Wechselkurs]]*($AC$1-aktuelleAnleihen[[#This Row],[Letzte Zinszahlung]])/365</f>
        <v>131.0958904109589</v>
      </c>
      <c r="W238" s="4">
        <v>113.6164</v>
      </c>
      <c r="X238" s="120" t="s">
        <v>183</v>
      </c>
      <c r="Y238" s="120" t="s">
        <v>109</v>
      </c>
      <c r="Z238" s="1" t="s">
        <v>970</v>
      </c>
      <c r="AA238" s="1" t="s">
        <v>971</v>
      </c>
      <c r="AB238" s="3">
        <f>SUMIF('Zinszahlungen Anleihen'!K:K,aktuelleAnleihen[[#This Row],[ISIN]],'Zinszahlungen Anleihen'!D:D)</f>
        <v>0</v>
      </c>
      <c r="AE238" s="10"/>
      <c r="AF238" s="1"/>
      <c r="AH238" s="7"/>
      <c r="AJ238" s="1"/>
      <c r="AN238" s="1"/>
      <c r="AQ238" s="1"/>
    </row>
    <row r="239" spans="1:43" x14ac:dyDescent="0.2">
      <c r="A239" s="1" t="s">
        <v>1307</v>
      </c>
      <c r="B239" s="1" t="s">
        <v>4</v>
      </c>
      <c r="C239" s="7">
        <v>0.09</v>
      </c>
      <c r="D239" s="7">
        <v>1.0072000000000001</v>
      </c>
      <c r="E239" s="7">
        <f>aktuelleAnleihen[[#This Row],[Aktueller Kurs]]-aktuelleAnleihen[[#This Row],[Kaufkurs]]</f>
        <v>1.9000000000000128E-3</v>
      </c>
      <c r="F239" s="8">
        <f>aktuelleAnleihen[[#This Row],[Stückelung]]*aktuelleAnleihen[[#This Row],[Aktueller Kurs]]*aktuelleAnleihen[[#This Row],[Anteile]]/aktuelleAnleihen[[#This Row],[Aktueller Wechselkurs]]+aktuelleAnleihen[[#This Row],[Stückzinsen]]</f>
        <v>1914.8046080526465</v>
      </c>
      <c r="G239" s="8">
        <f>aktuelleAnleihen[[#This Row],[Kursdifferenz]]*aktuelleAnleihen[[#This Row],[Anteile]]*aktuelleAnleihen[[#This Row],[Stückelung]]/aktuelleAnleihen[[#This Row],[Wechselkurs am Kauftag]]</f>
        <v>3.5437843886972167</v>
      </c>
      <c r="H239" s="8">
        <f>aktuelleAnleihen[[#This Row],[Stückzinsen]]-aktuelleAnleihen[[#This Row],[Stückzinsen am Kauftag]]+aktuelleAnleihen[[#This Row],[Zinszahlungen]]</f>
        <v>16.4546204114746</v>
      </c>
      <c r="I239" s="8">
        <f>aktuelleAnleihen[[#This Row],[Gewinn gesamt]]-aktuelleAnleihen[[#This Row],[Gewinn aus Kursänderung]]-aktuelleAnleihen[[#This Row],[Gewinn aus Zinsen]]</f>
        <v>-28.978196747525352</v>
      </c>
      <c r="J239" s="7">
        <f>aktuelleAnleihen[[#This Row],[Gewinn gesamt]]/aktuelleAnleihen[[#This Row],[Kaufpreis]]</f>
        <v>-4.6677745943638658E-3</v>
      </c>
      <c r="K239" s="3">
        <f>aktuelleAnleihen[[#This Row],[Verkaufspreis]]-aktuelleAnleihen[[#This Row],[Kaufpreis]]+aktuelleAnleihen[[#This Row],[Zinszahlungen]]</f>
        <v>-8.979791947353533</v>
      </c>
      <c r="L239" s="4">
        <v>1923.7844</v>
      </c>
      <c r="M239" s="7">
        <v>1.0053000000000001</v>
      </c>
      <c r="N239" s="61">
        <v>1.0723</v>
      </c>
      <c r="O239" s="1">
        <v>1.0891</v>
      </c>
      <c r="P239" s="1" t="s">
        <v>887</v>
      </c>
      <c r="Q239" s="30">
        <v>45412</v>
      </c>
      <c r="R239" s="1">
        <v>2</v>
      </c>
      <c r="S239" s="1">
        <v>1000</v>
      </c>
      <c r="T239" s="9">
        <v>45306</v>
      </c>
      <c r="U239" s="1">
        <v>2</v>
      </c>
      <c r="V239" s="62">
        <f>aktuelleAnleihen[[#This Row],[Stückelung]]*aktuelleAnleihen[[#This Row],[Anteile]]*aktuelleAnleihen[[#This Row],[Coupon]]/aktuelleAnleihen[[#This Row],[Aktueller Wechselkurs]]*($AC$1-aktuelleAnleihen[[#This Row],[Letzte Zinszahlung]])/365</f>
        <v>65.204020411474602</v>
      </c>
      <c r="W239" s="4">
        <v>48.749400000000001</v>
      </c>
      <c r="X239" s="120" t="s">
        <v>65</v>
      </c>
      <c r="Y239" s="120" t="s">
        <v>39</v>
      </c>
      <c r="Z239" s="1" t="s">
        <v>1308</v>
      </c>
      <c r="AA239" s="1" t="s">
        <v>1309</v>
      </c>
      <c r="AB239" s="3">
        <f>SUMIF('Zinszahlungen Anleihen'!K:K,aktuelleAnleihen[[#This Row],[ISIN]],'Zinszahlungen Anleihen'!D:D)</f>
        <v>0</v>
      </c>
      <c r="AE239" s="10"/>
      <c r="AF239" s="1"/>
      <c r="AH239" s="7"/>
      <c r="AJ239" s="1"/>
      <c r="AN239" s="1"/>
      <c r="AQ239" s="1"/>
    </row>
    <row r="240" spans="1:43" x14ac:dyDescent="0.2">
      <c r="A240" s="1" t="s">
        <v>236</v>
      </c>
      <c r="B240" s="1" t="s">
        <v>0</v>
      </c>
      <c r="C240" s="7">
        <v>0.1</v>
      </c>
      <c r="D240" s="7">
        <v>1.1339999999999999</v>
      </c>
      <c r="E240" s="7">
        <f>aktuelleAnleihen[[#This Row],[Aktueller Kurs]]-aktuelleAnleihen[[#This Row],[Kaufkurs]]</f>
        <v>1.7999999999998018E-3</v>
      </c>
      <c r="F240" s="8">
        <f>aktuelleAnleihen[[#This Row],[Stückelung]]*aktuelleAnleihen[[#This Row],[Aktueller Kurs]]*aktuelleAnleihen[[#This Row],[Anteile]]/aktuelleAnleihen[[#This Row],[Aktueller Wechselkurs]]+aktuelleAnleihen[[#This Row],[Stückzinsen]]</f>
        <v>2368.821917808219</v>
      </c>
      <c r="G240" s="8">
        <f>aktuelleAnleihen[[#This Row],[Kursdifferenz]]*aktuelleAnleihen[[#This Row],[Anteile]]*aktuelleAnleihen[[#This Row],[Stückelung]]/aktuelleAnleihen[[#This Row],[Wechselkurs am Kauftag]]</f>
        <v>3.5999999999996035</v>
      </c>
      <c r="H240" s="8">
        <f>aktuelleAnleihen[[#This Row],[Stückzinsen]]-aktuelleAnleihen[[#This Row],[Stückzinsen am Kauftag]]+aktuelleAnleihen[[#This Row],[Zinszahlungen]]</f>
        <v>35.616417808219182</v>
      </c>
      <c r="I240" s="8">
        <f>aktuelleAnleihen[[#This Row],[Gewinn gesamt]]-aktuelleAnleihen[[#This Row],[Gewinn aus Kursänderung]]-aktuelleAnleihen[[#This Row],[Gewinn aus Zinsen]]</f>
        <v>1.3500311979441904E-13</v>
      </c>
      <c r="J240" s="7">
        <f>aktuelleAnleihen[[#This Row],[Gewinn gesamt]]/aktuelleAnleihen[[#This Row],[Kaufpreis]]</f>
        <v>1.6833930812843168E-2</v>
      </c>
      <c r="K240" s="3">
        <f>aktuelleAnleihen[[#This Row],[Verkaufspreis]]-aktuelleAnleihen[[#This Row],[Kaufpreis]]+aktuelleAnleihen[[#This Row],[Zinszahlungen]]</f>
        <v>39.216417808218921</v>
      </c>
      <c r="L240" s="4">
        <v>2329.6055000000001</v>
      </c>
      <c r="M240" s="7">
        <v>1.1322000000000001</v>
      </c>
      <c r="N240" s="61">
        <v>1</v>
      </c>
      <c r="O240" s="1">
        <v>1</v>
      </c>
      <c r="P240" s="1" t="s">
        <v>925</v>
      </c>
      <c r="Q240" s="30">
        <v>45385</v>
      </c>
      <c r="R240" s="1">
        <v>2</v>
      </c>
      <c r="S240" s="1">
        <v>1000</v>
      </c>
      <c r="T240" s="9">
        <v>45266</v>
      </c>
      <c r="U240" s="1">
        <v>1</v>
      </c>
      <c r="V240" s="62">
        <f>aktuelleAnleihen[[#This Row],[Stückelung]]*aktuelleAnleihen[[#This Row],[Anteile]]*aktuelleAnleihen[[#This Row],[Coupon]]/aktuelleAnleihen[[#This Row],[Aktueller Wechselkurs]]*($AC$1-aktuelleAnleihen[[#This Row],[Letzte Zinszahlung]])/365</f>
        <v>100.82191780821918</v>
      </c>
      <c r="W240" s="4">
        <v>65.205500000000001</v>
      </c>
      <c r="X240" s="120" t="s">
        <v>183</v>
      </c>
      <c r="Y240" s="120" t="s">
        <v>91</v>
      </c>
      <c r="Z240" s="1" t="s">
        <v>237</v>
      </c>
      <c r="AA240" s="1" t="s">
        <v>238</v>
      </c>
      <c r="AB240" s="3">
        <f>SUMIF('Zinszahlungen Anleihen'!K:K,aktuelleAnleihen[[#This Row],[ISIN]],'Zinszahlungen Anleihen'!D:D)</f>
        <v>0</v>
      </c>
      <c r="AE240" s="10"/>
      <c r="AF240" s="1"/>
      <c r="AH240" s="7"/>
      <c r="AJ240" s="1"/>
      <c r="AN240" s="1"/>
      <c r="AQ240" s="1"/>
    </row>
    <row r="241" spans="1:43" x14ac:dyDescent="0.2">
      <c r="A241" s="1" t="s">
        <v>244</v>
      </c>
      <c r="B241" s="1" t="s">
        <v>0</v>
      </c>
      <c r="C241" s="7">
        <v>9.8750000000000004E-2</v>
      </c>
      <c r="D241" s="7">
        <v>1.0663</v>
      </c>
      <c r="E241" s="7">
        <f>aktuelleAnleihen[[#This Row],[Aktueller Kurs]]-aktuelleAnleihen[[#This Row],[Kaufkurs]]</f>
        <v>1.8000000000000238E-3</v>
      </c>
      <c r="F241" s="8">
        <f>aktuelleAnleihen[[#This Row],[Stückelung]]*aktuelleAnleihen[[#This Row],[Aktueller Kurs]]*aktuelleAnleihen[[#This Row],[Anteile]]/aktuelleAnleihen[[#This Row],[Aktueller Wechselkurs]]+aktuelleAnleihen[[#This Row],[Stückzinsen]]</f>
        <v>2274.9082191780822</v>
      </c>
      <c r="G241" s="8">
        <f>aktuelleAnleihen[[#This Row],[Kursdifferenz]]*aktuelleAnleihen[[#This Row],[Anteile]]*aktuelleAnleihen[[#This Row],[Stückelung]]/aktuelleAnleihen[[#This Row],[Wechselkurs am Kauftag]]</f>
        <v>3.6000000000000476</v>
      </c>
      <c r="H241" s="8">
        <f>aktuelleAnleihen[[#This Row],[Stückzinsen]]-aktuelleAnleihen[[#This Row],[Stückzinsen am Kauftag]]+aktuelleAnleihen[[#This Row],[Zinszahlungen]]</f>
        <v>35.171219178082197</v>
      </c>
      <c r="I241" s="8">
        <f>aktuelleAnleihen[[#This Row],[Gewinn gesamt]]-aktuelleAnleihen[[#This Row],[Gewinn aus Kursänderung]]-aktuelleAnleihen[[#This Row],[Gewinn aus Zinsen]]</f>
        <v>-2.5579538487363607E-13</v>
      </c>
      <c r="J241" s="7">
        <f>aktuelleAnleihen[[#This Row],[Gewinn gesamt]]/aktuelleAnleihen[[#This Row],[Kaufpreis]]</f>
        <v>1.7338481129770666E-2</v>
      </c>
      <c r="K241" s="3">
        <f>aktuelleAnleihen[[#This Row],[Verkaufspreis]]-aktuelleAnleihen[[#This Row],[Kaufpreis]]+aktuelleAnleihen[[#This Row],[Zinszahlungen]]</f>
        <v>38.771219178081992</v>
      </c>
      <c r="L241" s="4">
        <v>2236.1370000000002</v>
      </c>
      <c r="M241" s="7">
        <v>1.0645</v>
      </c>
      <c r="N241" s="61">
        <v>1</v>
      </c>
      <c r="O241" s="1">
        <v>1</v>
      </c>
      <c r="P241" s="1" t="s">
        <v>925</v>
      </c>
      <c r="Q241" s="30">
        <v>45385</v>
      </c>
      <c r="R241" s="1">
        <v>2</v>
      </c>
      <c r="S241" s="1">
        <v>1000</v>
      </c>
      <c r="T241" s="9">
        <v>45187</v>
      </c>
      <c r="U241" s="1">
        <v>1</v>
      </c>
      <c r="V241" s="62">
        <f>aktuelleAnleihen[[#This Row],[Stückelung]]*aktuelleAnleihen[[#This Row],[Anteile]]*aktuelleAnleihen[[#This Row],[Coupon]]/aktuelleAnleihen[[#This Row],[Aktueller Wechselkurs]]*($AC$1-aktuelleAnleihen[[#This Row],[Letzte Zinszahlung]])/365</f>
        <v>142.3082191780822</v>
      </c>
      <c r="W241" s="4">
        <v>107.137</v>
      </c>
      <c r="X241" s="120" t="s">
        <v>245</v>
      </c>
      <c r="Y241" s="120" t="s">
        <v>57</v>
      </c>
      <c r="Z241" s="1" t="s">
        <v>246</v>
      </c>
      <c r="AA241" s="1" t="s">
        <v>247</v>
      </c>
      <c r="AB241" s="3">
        <f>SUMIF('Zinszahlungen Anleihen'!K:K,aktuelleAnleihen[[#This Row],[ISIN]],'Zinszahlungen Anleihen'!D:D)</f>
        <v>0</v>
      </c>
      <c r="AE241" s="10"/>
      <c r="AF241" s="1"/>
      <c r="AH241" s="7"/>
      <c r="AJ241" s="1"/>
      <c r="AN241" s="1"/>
      <c r="AQ241" s="1"/>
    </row>
    <row r="242" spans="1:43" x14ac:dyDescent="0.2">
      <c r="A242" s="1" t="s">
        <v>1784</v>
      </c>
      <c r="B242" s="1" t="s">
        <v>1</v>
      </c>
      <c r="C242" s="7">
        <v>0.14499999999999999</v>
      </c>
      <c r="D242" s="7">
        <v>1.0555000000000001</v>
      </c>
      <c r="E242" s="7">
        <f>aktuelleAnleihen[[#This Row],[Aktueller Kurs]]-aktuelleAnleihen[[#This Row],[Kaufkurs]]</f>
        <v>2.0000000000000018E-3</v>
      </c>
      <c r="F242" s="8">
        <f>aktuelleAnleihen[[#This Row],[Stückelung]]*aktuelleAnleihen[[#This Row],[Aktueller Kurs]]*aktuelleAnleihen[[#This Row],[Anteile]]/aktuelleAnleihen[[#This Row],[Aktueller Wechselkurs]]+aktuelleAnleihen[[#This Row],[Stückzinsen]]</f>
        <v>2130.0684931506848</v>
      </c>
      <c r="G242" s="8">
        <f>aktuelleAnleihen[[#This Row],[Kursdifferenz]]*aktuelleAnleihen[[#This Row],[Anteile]]*aktuelleAnleihen[[#This Row],[Stückelung]]/aktuelleAnleihen[[#This Row],[Wechselkurs am Kauftag]]</f>
        <v>4.0000000000000036</v>
      </c>
      <c r="H242" s="8">
        <f>aktuelleAnleihen[[#This Row],[Stückzinsen]]-aktuelleAnleihen[[#This Row],[Stückzinsen am Kauftag]]+aktuelleAnleihen[[#This Row],[Zinszahlungen]]</f>
        <v>18.273993150684934</v>
      </c>
      <c r="I242" s="8">
        <f>aktuelleAnleihen[[#This Row],[Gewinn gesamt]]-aktuelleAnleihen[[#This Row],[Gewinn aus Kursänderung]]-aktuelleAnleihen[[#This Row],[Gewinn aus Zinsen]]</f>
        <v>-6.3948846218409017E-14</v>
      </c>
      <c r="J242" s="7">
        <f>aktuelleAnleihen[[#This Row],[Gewinn gesamt]]/aktuelleAnleihen[[#This Row],[Kaufpreis]]</f>
        <v>1.0567440588105185E-2</v>
      </c>
      <c r="K242" s="3">
        <f>aktuelleAnleihen[[#This Row],[Verkaufspreis]]-aktuelleAnleihen[[#This Row],[Kaufpreis]]+aktuelleAnleihen[[#This Row],[Zinszahlungen]]</f>
        <v>22.273993150684873</v>
      </c>
      <c r="L242" s="4">
        <v>2107.7945</v>
      </c>
      <c r="M242" s="7">
        <v>1.0535000000000001</v>
      </c>
      <c r="N242" s="61">
        <v>1</v>
      </c>
      <c r="O242" s="1">
        <v>1</v>
      </c>
      <c r="P242" s="1" t="s">
        <v>925</v>
      </c>
      <c r="Q242" s="30">
        <v>45427</v>
      </c>
      <c r="R242" s="1">
        <v>2</v>
      </c>
      <c r="S242" s="1">
        <v>1000</v>
      </c>
      <c r="T242" s="9">
        <v>45426</v>
      </c>
      <c r="U242" s="1">
        <v>4</v>
      </c>
      <c r="V242" s="62">
        <f>aktuelleAnleihen[[#This Row],[Stückelung]]*aktuelleAnleihen[[#This Row],[Anteile]]*aktuelleAnleihen[[#This Row],[Coupon]]/aktuelleAnleihen[[#This Row],[Aktueller Wechselkurs]]*($AC$1-aktuelleAnleihen[[#This Row],[Letzte Zinszahlung]])/365</f>
        <v>19.068493150684933</v>
      </c>
      <c r="W242" s="4">
        <v>0.79449999999999998</v>
      </c>
      <c r="X242" s="120" t="s">
        <v>1785</v>
      </c>
      <c r="Y242" s="120" t="s">
        <v>61</v>
      </c>
      <c r="Z242" s="1" t="s">
        <v>1786</v>
      </c>
      <c r="AA242" s="1" t="s">
        <v>1787</v>
      </c>
      <c r="AB242" s="3">
        <f>SUMIF('Zinszahlungen Anleihen'!K:K,aktuelleAnleihen[[#This Row],[ISIN]],'Zinszahlungen Anleihen'!D:D)</f>
        <v>0</v>
      </c>
      <c r="AE242" s="10"/>
      <c r="AF242" s="1"/>
      <c r="AH242" s="7"/>
      <c r="AJ242" s="1"/>
      <c r="AN242" s="1"/>
      <c r="AQ242" s="1"/>
    </row>
    <row r="243" spans="1:43" x14ac:dyDescent="0.2">
      <c r="A243" s="1" t="s">
        <v>1454</v>
      </c>
      <c r="B243" s="1" t="s">
        <v>8</v>
      </c>
      <c r="C243" s="7">
        <v>8.5000000000000006E-2</v>
      </c>
      <c r="D243" s="7">
        <v>0.98009999999999997</v>
      </c>
      <c r="E243" s="7">
        <f>aktuelleAnleihen[[#This Row],[Aktueller Kurs]]-aktuelleAnleihen[[#This Row],[Kaufkurs]]</f>
        <v>2.3999999999999577E-3</v>
      </c>
      <c r="F243" s="8">
        <f>aktuelleAnleihen[[#This Row],[Stückelung]]*aktuelleAnleihen[[#This Row],[Aktueller Kurs]]*aktuelleAnleihen[[#This Row],[Anteile]]/aktuelleAnleihen[[#This Row],[Aktueller Wechselkurs]]+aktuelleAnleihen[[#This Row],[Stückzinsen]]</f>
        <v>1852.0080045984935</v>
      </c>
      <c r="G243" s="8">
        <f>aktuelleAnleihen[[#This Row],[Kursdifferenz]]*aktuelleAnleihen[[#This Row],[Anteile]]*aktuelleAnleihen[[#This Row],[Stückelung]]/aktuelleAnleihen[[#This Row],[Wechselkurs am Kauftag]]</f>
        <v>4.4763592278279543</v>
      </c>
      <c r="H243" s="8">
        <f>aktuelleAnleihen[[#This Row],[Stückzinsen]]-aktuelleAnleihen[[#This Row],[Stückzinsen am Kauftag]]+aktuelleAnleihen[[#This Row],[Zinszahlungen]]</f>
        <v>15.687878678008609</v>
      </c>
      <c r="I243" s="8">
        <f>aktuelleAnleihen[[#This Row],[Gewinn gesamt]]-aktuelleAnleihen[[#This Row],[Gewinn aus Kursänderung]]-aktuelleAnleihen[[#This Row],[Gewinn aus Zinsen]]</f>
        <v>-28.198433307343187</v>
      </c>
      <c r="J243" s="7">
        <f>aktuelleAnleihen[[#This Row],[Gewinn gesamt]]/aktuelleAnleihen[[#This Row],[Kaufpreis]]</f>
        <v>-4.3193618948573435E-3</v>
      </c>
      <c r="K243" s="3">
        <f>aktuelleAnleihen[[#This Row],[Verkaufspreis]]-aktuelleAnleihen[[#This Row],[Kaufpreis]]+aktuelleAnleihen[[#This Row],[Zinszahlungen]]</f>
        <v>-8.0341954015066221</v>
      </c>
      <c r="L243" s="4">
        <v>1860.0422000000001</v>
      </c>
      <c r="M243" s="7">
        <v>0.97770000000000001</v>
      </c>
      <c r="N243" s="61">
        <v>1.0723</v>
      </c>
      <c r="O243" s="1">
        <v>1.0891</v>
      </c>
      <c r="P243" s="1" t="s">
        <v>887</v>
      </c>
      <c r="Q243" s="30">
        <v>45412</v>
      </c>
      <c r="R243" s="1">
        <v>2</v>
      </c>
      <c r="S243" s="1">
        <v>1000</v>
      </c>
      <c r="T243" s="9">
        <v>45328</v>
      </c>
      <c r="U243" s="1">
        <v>2</v>
      </c>
      <c r="V243" s="62">
        <f>aktuelleAnleihen[[#This Row],[Stückelung]]*aktuelleAnleihen[[#This Row],[Anteile]]*aktuelleAnleihen[[#This Row],[Coupon]]/aktuelleAnleihen[[#This Row],[Aktueller Wechselkurs]]*($AC$1-aktuelleAnleihen[[#This Row],[Letzte Zinszahlung]])/365</f>
        <v>52.173278678008607</v>
      </c>
      <c r="W243" s="4">
        <v>36.485399999999998</v>
      </c>
      <c r="X243" s="120" t="s">
        <v>1105</v>
      </c>
      <c r="Y243" s="120" t="s">
        <v>39</v>
      </c>
      <c r="Z243" s="1" t="s">
        <v>1455</v>
      </c>
      <c r="AA243" s="1" t="s">
        <v>1456</v>
      </c>
      <c r="AB243" s="3">
        <f>SUMIF('Zinszahlungen Anleihen'!K:K,aktuelleAnleihen[[#This Row],[ISIN]],'Zinszahlungen Anleihen'!D:D)</f>
        <v>0</v>
      </c>
      <c r="AE243" s="10"/>
      <c r="AF243" s="1"/>
      <c r="AH243" s="7"/>
      <c r="AJ243" s="1"/>
      <c r="AN243" s="1"/>
      <c r="AQ243" s="1"/>
    </row>
    <row r="244" spans="1:43" x14ac:dyDescent="0.2">
      <c r="A244" s="1" t="s">
        <v>1647</v>
      </c>
      <c r="B244" s="1" t="s">
        <v>1</v>
      </c>
      <c r="C244" s="7">
        <v>8.2500000000000004E-2</v>
      </c>
      <c r="D244" s="7">
        <v>1.0268000000000002</v>
      </c>
      <c r="E244" s="7">
        <f>aktuelleAnleihen[[#This Row],[Aktueller Kurs]]-aktuelleAnleihen[[#This Row],[Kaufkurs]]</f>
        <v>2.4000000000001798E-3</v>
      </c>
      <c r="F244" s="8">
        <f>aktuelleAnleihen[[#This Row],[Stückelung]]*aktuelleAnleihen[[#This Row],[Aktueller Kurs]]*aktuelleAnleihen[[#This Row],[Anteile]]/aktuelleAnleihen[[#This Row],[Aktueller Wechselkurs]]+aktuelleAnleihen[[#This Row],[Stückzinsen]]</f>
        <v>1895.1402628537076</v>
      </c>
      <c r="G244" s="8">
        <f>aktuelleAnleihen[[#This Row],[Kursdifferenz]]*aktuelleAnleihen[[#This Row],[Anteile]]*aktuelleAnleihen[[#This Row],[Stückelung]]/aktuelleAnleihen[[#This Row],[Wechselkurs am Kauftag]]</f>
        <v>4.4763592278283681</v>
      </c>
      <c r="H244" s="8">
        <f>aktuelleAnleihen[[#This Row],[Stückzinsen]]-aktuelleAnleihen[[#This Row],[Stückzinsen am Kauftag]]+aktuelleAnleihen[[#This Row],[Zinszahlungen]]</f>
        <v>15.412489542786233</v>
      </c>
      <c r="I244" s="8">
        <f>aktuelleAnleihen[[#This Row],[Gewinn gesamt]]-aktuelleAnleihen[[#This Row],[Gewinn aus Kursänderung]]-aktuelleAnleihen[[#This Row],[Gewinn aus Zinsen]]</f>
        <v>-29.542049825569393</v>
      </c>
      <c r="J244" s="7">
        <f>aktuelleAnleihen[[#This Row],[Gewinn gesamt]]/aktuelleAnleihen[[#This Row],[Kaufpreis]]</f>
        <v>-4.8727397694432887E-3</v>
      </c>
      <c r="K244" s="3">
        <f>aktuelleAnleihen[[#This Row],[Verkaufspreis]]-aktuelleAnleihen[[#This Row],[Kaufpreis]]+aktuelleAnleihen[[#This Row],[Zinszahlungen]]</f>
        <v>-9.653201054954792</v>
      </c>
      <c r="L244" s="4">
        <v>1981.0623000000001</v>
      </c>
      <c r="M244" s="7">
        <v>1.0244</v>
      </c>
      <c r="N244" s="61">
        <v>1.0723</v>
      </c>
      <c r="O244" s="1">
        <v>1.0891</v>
      </c>
      <c r="P244" s="1" t="s">
        <v>887</v>
      </c>
      <c r="Q244" s="30">
        <v>45412</v>
      </c>
      <c r="R244" s="1">
        <v>2</v>
      </c>
      <c r="S244" s="1">
        <v>1000</v>
      </c>
      <c r="T244" s="9">
        <v>45427</v>
      </c>
      <c r="U244" s="1">
        <v>2</v>
      </c>
      <c r="V244" s="62">
        <f>aktuelleAnleihen[[#This Row],[Stückelung]]*aktuelleAnleihen[[#This Row],[Anteile]]*aktuelleAnleihen[[#This Row],[Coupon]]/aktuelleAnleihen[[#This Row],[Aktueller Wechselkurs]]*($AC$1-aktuelleAnleihen[[#This Row],[Letzte Zinszahlung]])/365</f>
        <v>9.5466534514485382</v>
      </c>
      <c r="W244" s="4">
        <v>70.403000000000006</v>
      </c>
      <c r="X244" s="120" t="s">
        <v>1004</v>
      </c>
      <c r="Y244" s="120" t="s">
        <v>52</v>
      </c>
      <c r="Z244" s="1" t="s">
        <v>1648</v>
      </c>
      <c r="AA244" s="1" t="s">
        <v>1649</v>
      </c>
      <c r="AB244" s="3">
        <f>SUMIF('Zinszahlungen Anleihen'!K:K,aktuelleAnleihen[[#This Row],[ISIN]],'Zinszahlungen Anleihen'!D:D)</f>
        <v>76.268836091337704</v>
      </c>
      <c r="AE244" s="10"/>
      <c r="AF244" s="1"/>
      <c r="AH244" s="7"/>
      <c r="AJ244" s="1"/>
      <c r="AN244" s="1"/>
      <c r="AQ244" s="1"/>
    </row>
    <row r="245" spans="1:43" x14ac:dyDescent="0.2">
      <c r="A245" s="1" t="s">
        <v>1516</v>
      </c>
      <c r="B245" s="1" t="s">
        <v>4</v>
      </c>
      <c r="C245" s="7">
        <v>9.7500000000000003E-2</v>
      </c>
      <c r="D245" s="7">
        <v>1.0968800000000001</v>
      </c>
      <c r="E245" s="7">
        <f>aktuelleAnleihen[[#This Row],[Aktueller Kurs]]-aktuelleAnleihen[[#This Row],[Kaufkurs]]</f>
        <v>2.4800000000000377E-3</v>
      </c>
      <c r="F245" s="8">
        <f>aktuelleAnleihen[[#This Row],[Stückelung]]*aktuelleAnleihen[[#This Row],[Aktueller Kurs]]*aktuelleAnleihen[[#This Row],[Anteile]]/aktuelleAnleihen[[#This Row],[Aktueller Wechselkurs]]+aktuelleAnleihen[[#This Row],[Stückzinsen]]</f>
        <v>2040.2856197715096</v>
      </c>
      <c r="G245" s="8">
        <f>aktuelleAnleihen[[#This Row],[Kursdifferenz]]*aktuelleAnleihen[[#This Row],[Anteile]]*aktuelleAnleihen[[#This Row],[Stückelung]]/aktuelleAnleihen[[#This Row],[Wechselkurs am Kauftag]]</f>
        <v>4.6255712020890378</v>
      </c>
      <c r="H245" s="8">
        <f>aktuelleAnleihen[[#This Row],[Stückzinsen]]-aktuelleAnleihen[[#This Row],[Stückzinsen am Kauftag]]+aktuelleAnleihen[[#This Row],[Zinszahlungen]]</f>
        <v>18.52519378675116</v>
      </c>
      <c r="I245" s="8">
        <f>aktuelleAnleihen[[#This Row],[Gewinn gesamt]]-aktuelleAnleihen[[#This Row],[Gewinn aus Kursänderung]]-aktuelleAnleihen[[#This Row],[Gewinn aus Zinsen]]</f>
        <v>-31.558345217330785</v>
      </c>
      <c r="J245" s="7">
        <f>aktuelleAnleihen[[#This Row],[Gewinn gesamt]]/aktuelleAnleihen[[#This Row],[Kaufpreis]]</f>
        <v>-4.1038747180351786E-3</v>
      </c>
      <c r="K245" s="3">
        <f>aktuelleAnleihen[[#This Row],[Verkaufspreis]]-aktuelleAnleihen[[#This Row],[Kaufpreis]]+aktuelleAnleihen[[#This Row],[Zinszahlungen]]</f>
        <v>-8.4075802284905876</v>
      </c>
      <c r="L245" s="4">
        <v>2048.6932000000002</v>
      </c>
      <c r="M245" s="7">
        <v>1.0944</v>
      </c>
      <c r="N245" s="61">
        <v>1.0723</v>
      </c>
      <c r="O245" s="1">
        <v>1.0891</v>
      </c>
      <c r="P245" s="1" t="s">
        <v>887</v>
      </c>
      <c r="Q245" s="30">
        <v>45412</v>
      </c>
      <c r="R245" s="1">
        <v>2</v>
      </c>
      <c r="S245" s="1">
        <v>1000</v>
      </c>
      <c r="T245" s="9">
        <v>45397</v>
      </c>
      <c r="U245" s="1">
        <v>2</v>
      </c>
      <c r="V245" s="62">
        <f>aktuelleAnleihen[[#This Row],[Stückelung]]*aktuelleAnleihen[[#This Row],[Anteile]]*aktuelleAnleihen[[#This Row],[Coupon]]/aktuelleAnleihen[[#This Row],[Aktueller Wechselkurs]]*($AC$1-aktuelleAnleihen[[#This Row],[Letzte Zinszahlung]])/365</f>
        <v>25.998593786751158</v>
      </c>
      <c r="W245" s="4">
        <v>7.4733999999999998</v>
      </c>
      <c r="X245" s="120" t="s">
        <v>276</v>
      </c>
      <c r="Y245" s="120" t="s">
        <v>1011</v>
      </c>
      <c r="Z245" s="1" t="s">
        <v>1517</v>
      </c>
      <c r="AA245" s="1" t="s">
        <v>1518</v>
      </c>
      <c r="AB245" s="3">
        <f>SUMIF('Zinszahlungen Anleihen'!K:K,aktuelleAnleihen[[#This Row],[ISIN]],'Zinszahlungen Anleihen'!D:D)</f>
        <v>0</v>
      </c>
      <c r="AE245" s="10"/>
      <c r="AF245" s="1"/>
      <c r="AH245" s="7"/>
      <c r="AJ245" s="1"/>
      <c r="AN245" s="1"/>
      <c r="AQ245" s="1"/>
    </row>
    <row r="246" spans="1:43" x14ac:dyDescent="0.2">
      <c r="A246" s="1" t="s">
        <v>1085</v>
      </c>
      <c r="B246" s="1" t="s">
        <v>0</v>
      </c>
      <c r="C246" s="7">
        <v>0.10176</v>
      </c>
      <c r="D246" s="7">
        <v>1.1851</v>
      </c>
      <c r="E246" s="7">
        <f>aktuelleAnleihen[[#This Row],[Aktueller Kurs]]-aktuelleAnleihen[[#This Row],[Kaufkurs]]</f>
        <v>2.4999999999999467E-3</v>
      </c>
      <c r="F246" s="8">
        <f>aktuelleAnleihen[[#This Row],[Stückelung]]*aktuelleAnleihen[[#This Row],[Aktueller Kurs]]*aktuelleAnleihen[[#This Row],[Anteile]]/aktuelleAnleihen[[#This Row],[Aktueller Wechselkurs]]+aktuelleAnleihen[[#This Row],[Stückzinsen]]</f>
        <v>2258.2079208294399</v>
      </c>
      <c r="G246" s="8">
        <f>aktuelleAnleihen[[#This Row],[Kursdifferenz]]*aktuelleAnleihen[[#This Row],[Anteile]]*aktuelleAnleihen[[#This Row],[Stückelung]]/aktuelleAnleihen[[#This Row],[Wechselkurs am Kauftag]]</f>
        <v>4.6628741956541013</v>
      </c>
      <c r="H246" s="8">
        <f>aktuelleAnleihen[[#This Row],[Stückzinsen]]-aktuelleAnleihen[[#This Row],[Stückzinsen am Kauftag]]+aktuelleAnleihen[[#This Row],[Zinszahlungen]]</f>
        <v>18.476369346563658</v>
      </c>
      <c r="I246" s="8">
        <f>aktuelleAnleihen[[#This Row],[Gewinn gesamt]]-aktuelleAnleihen[[#This Row],[Gewinn aus Kursänderung]]-aktuelleAnleihen[[#This Row],[Gewinn aus Zinsen]]</f>
        <v>-34.096522712777769</v>
      </c>
      <c r="J246" s="7">
        <f>aktuelleAnleihen[[#This Row],[Gewinn gesamt]]/aktuelleAnleihen[[#This Row],[Kaufpreis]]</f>
        <v>-4.8287710258204273E-3</v>
      </c>
      <c r="K246" s="3">
        <f>aktuelleAnleihen[[#This Row],[Verkaufspreis]]-aktuelleAnleihen[[#This Row],[Kaufpreis]]+aktuelleAnleihen[[#This Row],[Zinszahlungen]]</f>
        <v>-10.957279170560014</v>
      </c>
      <c r="L246" s="4">
        <v>2269.1651999999999</v>
      </c>
      <c r="M246" s="7">
        <v>1.1826000000000001</v>
      </c>
      <c r="N246" s="61">
        <v>1.0723</v>
      </c>
      <c r="O246" s="1">
        <v>1.0891</v>
      </c>
      <c r="P246" s="1" t="s">
        <v>887</v>
      </c>
      <c r="Q246" s="30">
        <v>45412</v>
      </c>
      <c r="R246" s="1">
        <v>2</v>
      </c>
      <c r="S246" s="1">
        <v>1000</v>
      </c>
      <c r="T246" s="9">
        <v>45290</v>
      </c>
      <c r="U246" s="1">
        <v>2</v>
      </c>
      <c r="V246" s="62">
        <f>aktuelleAnleihen[[#This Row],[Stückelung]]*aktuelleAnleihen[[#This Row],[Anteile]]*aktuelleAnleihen[[#This Row],[Coupon]]/aktuelleAnleihen[[#This Row],[Aktueller Wechselkurs]]*($AC$1-aktuelleAnleihen[[#This Row],[Letzte Zinszahlung]])/365</f>
        <v>81.915569346563657</v>
      </c>
      <c r="W246" s="4">
        <v>63.4392</v>
      </c>
      <c r="X246" s="120" t="s">
        <v>284</v>
      </c>
      <c r="Y246" s="120" t="s">
        <v>39</v>
      </c>
      <c r="Z246" s="1" t="s">
        <v>1086</v>
      </c>
      <c r="AA246" s="1" t="s">
        <v>1087</v>
      </c>
      <c r="AB246" s="3">
        <f>SUMIF('Zinszahlungen Anleihen'!K:K,aktuelleAnleihen[[#This Row],[ISIN]],'Zinszahlungen Anleihen'!D:D)</f>
        <v>0</v>
      </c>
      <c r="AE246" s="10"/>
      <c r="AF246" s="1"/>
      <c r="AH246" s="7"/>
      <c r="AJ246" s="1"/>
      <c r="AN246" s="1"/>
      <c r="AQ246" s="1"/>
    </row>
    <row r="247" spans="1:43" x14ac:dyDescent="0.2">
      <c r="A247" s="1" t="s">
        <v>1019</v>
      </c>
      <c r="B247" s="1" t="s">
        <v>11</v>
      </c>
      <c r="C247" s="7">
        <v>0.115</v>
      </c>
      <c r="D247" s="7">
        <v>1.1679999999999999</v>
      </c>
      <c r="E247" s="7">
        <f>aktuelleAnleihen[[#This Row],[Aktueller Kurs]]-aktuelleAnleihen[[#This Row],[Kaufkurs]]</f>
        <v>2.4999999999999467E-3</v>
      </c>
      <c r="F247" s="8">
        <f>aktuelleAnleihen[[#This Row],[Stückelung]]*aktuelleAnleihen[[#This Row],[Aktueller Kurs]]*aktuelleAnleihen[[#This Row],[Anteile]]/aktuelleAnleihen[[#This Row],[Aktueller Wechselkurs]]+aktuelleAnleihen[[#This Row],[Stückzinsen]]</f>
        <v>2158.1977327012501</v>
      </c>
      <c r="G247" s="8">
        <f>aktuelleAnleihen[[#This Row],[Kursdifferenz]]*aktuelleAnleihen[[#This Row],[Anteile]]*aktuelleAnleihen[[#This Row],[Stückelung]]/aktuelleAnleihen[[#This Row],[Wechselkurs am Kauftag]]</f>
        <v>4.6628741956541013</v>
      </c>
      <c r="H247" s="8">
        <f>aktuelleAnleihen[[#This Row],[Stückzinsen]]-aktuelleAnleihen[[#This Row],[Stückzinsen am Kauftag]]+aktuelleAnleihen[[#This Row],[Zinszahlungen]]</f>
        <v>21.484091483883844</v>
      </c>
      <c r="I247" s="8">
        <f>aktuelleAnleihen[[#This Row],[Gewinn gesamt]]-aktuelleAnleihen[[#This Row],[Gewinn aus Kursänderung]]-aktuelleAnleihen[[#This Row],[Gewinn aus Zinsen]]</f>
        <v>-33.604597820665788</v>
      </c>
      <c r="J247" s="7">
        <f>aktuelleAnleihen[[#This Row],[Gewinn gesamt]]/aktuelleAnleihen[[#This Row],[Kaufpreis]]</f>
        <v>-3.28245257743462E-3</v>
      </c>
      <c r="K247" s="3">
        <f>aktuelleAnleihen[[#This Row],[Verkaufspreis]]-aktuelleAnleihen[[#This Row],[Kaufpreis]]+aktuelleAnleihen[[#This Row],[Zinszahlungen]]</f>
        <v>-7.4576321411278457</v>
      </c>
      <c r="L247" s="4">
        <v>2271.9695000000002</v>
      </c>
      <c r="M247" s="7">
        <v>1.1655</v>
      </c>
      <c r="N247" s="61">
        <v>1.0723</v>
      </c>
      <c r="O247" s="1">
        <v>1.0891</v>
      </c>
      <c r="P247" s="1" t="s">
        <v>887</v>
      </c>
      <c r="Q247" s="30">
        <v>45412</v>
      </c>
      <c r="R247" s="1">
        <v>2</v>
      </c>
      <c r="S247" s="1">
        <v>1000</v>
      </c>
      <c r="T247" s="9">
        <v>45427</v>
      </c>
      <c r="U247" s="1">
        <v>2</v>
      </c>
      <c r="V247" s="62">
        <f>aktuelleAnleihen[[#This Row],[Stückelung]]*aktuelleAnleihen[[#This Row],[Anteile]]*aktuelleAnleihen[[#This Row],[Coupon]]/aktuelleAnleihen[[#This Row],[Aktueller Wechselkurs]]*($AC$1-aktuelleAnleihen[[#This Row],[Letzte Zinszahlung]])/365</f>
        <v>13.307456326261599</v>
      </c>
      <c r="W247" s="4">
        <v>98.137500000000003</v>
      </c>
      <c r="X247" s="120" t="s">
        <v>1020</v>
      </c>
      <c r="Y247" s="120" t="s">
        <v>52</v>
      </c>
      <c r="Z247" s="1" t="s">
        <v>1021</v>
      </c>
      <c r="AA247" s="1" t="s">
        <v>1022</v>
      </c>
      <c r="AB247" s="3">
        <f>SUMIF('Zinszahlungen Anleihen'!K:K,aktuelleAnleihen[[#This Row],[ISIN]],'Zinszahlungen Anleihen'!D:D)</f>
        <v>106.31413515762225</v>
      </c>
      <c r="AE247" s="10"/>
      <c r="AF247" s="1"/>
      <c r="AH247" s="7"/>
      <c r="AJ247" s="1"/>
      <c r="AN247" s="1"/>
      <c r="AQ247" s="1"/>
    </row>
    <row r="248" spans="1:43" x14ac:dyDescent="0.2">
      <c r="A248" s="1" t="s">
        <v>435</v>
      </c>
      <c r="B248" s="1" t="s">
        <v>10</v>
      </c>
      <c r="C248" s="7">
        <v>8.0259999999999998E-2</v>
      </c>
      <c r="D248" s="7">
        <v>1.0023</v>
      </c>
      <c r="E248" s="7">
        <f>aktuelleAnleihen[[#This Row],[Aktueller Kurs]]-aktuelleAnleihen[[#This Row],[Kaufkurs]]</f>
        <v>2.3999999999999577E-3</v>
      </c>
      <c r="F248" s="8">
        <f>aktuelleAnleihen[[#This Row],[Stückelung]]*aktuelleAnleihen[[#This Row],[Aktueller Kurs]]*aktuelleAnleihen[[#This Row],[Anteile]]/aktuelleAnleihen[[#This Row],[Aktueller Wechselkurs]]+aktuelleAnleihen[[#This Row],[Stückzinsen]]</f>
        <v>2014.2751780821916</v>
      </c>
      <c r="G248" s="8">
        <f>aktuelleAnleihen[[#This Row],[Kursdifferenz]]*aktuelleAnleihen[[#This Row],[Anteile]]*aktuelleAnleihen[[#This Row],[Stückelung]]/aktuelleAnleihen[[#This Row],[Wechselkurs am Kauftag]]</f>
        <v>4.7999999999999154</v>
      </c>
      <c r="H248" s="8">
        <f>aktuelleAnleihen[[#This Row],[Stückzinsen]]-aktuelleAnleihen[[#This Row],[Stückzinsen am Kauftag]]+aktuelleAnleihen[[#This Row],[Zinszahlungen]]</f>
        <v>29.135478082191774</v>
      </c>
      <c r="I248" s="8">
        <f>aktuelleAnleihen[[#This Row],[Gewinn gesamt]]-aktuelleAnleihen[[#This Row],[Gewinn aus Kursänderung]]-aktuelleAnleihen[[#This Row],[Gewinn aus Zinsen]]</f>
        <v>-2.0961010704922955E-13</v>
      </c>
      <c r="J248" s="7">
        <f>aktuelleAnleihen[[#This Row],[Gewinn gesamt]]/aktuelleAnleihen[[#This Row],[Kaufpreis]]</f>
        <v>1.679583617719755E-2</v>
      </c>
      <c r="K248" s="3">
        <f>aktuelleAnleihen[[#This Row],[Verkaufspreis]]-aktuelleAnleihen[[#This Row],[Kaufpreis]]+aktuelleAnleihen[[#This Row],[Zinszahlungen]]</f>
        <v>33.93547808219148</v>
      </c>
      <c r="L248" s="4">
        <v>2020.4697000000001</v>
      </c>
      <c r="M248" s="7">
        <v>0.99990000000000001</v>
      </c>
      <c r="N248" s="61">
        <v>1</v>
      </c>
      <c r="O248" s="1">
        <v>1</v>
      </c>
      <c r="P248" s="1" t="s">
        <v>925</v>
      </c>
      <c r="Q248" s="30">
        <v>45385</v>
      </c>
      <c r="R248" s="1">
        <v>2</v>
      </c>
      <c r="S248" s="1">
        <v>1000</v>
      </c>
      <c r="T248" s="9">
        <v>45428</v>
      </c>
      <c r="U248" s="1">
        <v>4</v>
      </c>
      <c r="V248" s="62">
        <f>aktuelleAnleihen[[#This Row],[Stückelung]]*aktuelleAnleihen[[#This Row],[Anteile]]*aktuelleAnleihen[[#This Row],[Coupon]]/aktuelleAnleihen[[#This Row],[Aktueller Wechselkurs]]*($AC$1-aktuelleAnleihen[[#This Row],[Letzte Zinszahlung]])/365</f>
        <v>9.6751780821917794</v>
      </c>
      <c r="W248" s="4">
        <v>20.669699999999999</v>
      </c>
      <c r="X248" s="120" t="s">
        <v>65</v>
      </c>
      <c r="Y248" s="120" t="s">
        <v>39</v>
      </c>
      <c r="Z248" s="1" t="s">
        <v>436</v>
      </c>
      <c r="AA248" s="1" t="s">
        <v>437</v>
      </c>
      <c r="AB248" s="3">
        <f>SUMIF('Zinszahlungen Anleihen'!K:K,aktuelleAnleihen[[#This Row],[ISIN]],'Zinszahlungen Anleihen'!D:D)</f>
        <v>40.129999999999995</v>
      </c>
      <c r="AE248" s="10"/>
      <c r="AF248" s="1"/>
      <c r="AH248" s="7"/>
      <c r="AJ248" s="1"/>
      <c r="AN248" s="1"/>
      <c r="AQ248" s="1"/>
    </row>
    <row r="249" spans="1:43" x14ac:dyDescent="0.2">
      <c r="A249" s="1" t="s">
        <v>87</v>
      </c>
      <c r="B249" s="1" t="s">
        <v>8</v>
      </c>
      <c r="C249" s="7">
        <v>0.105</v>
      </c>
      <c r="D249" s="7">
        <v>0.92500000000000004</v>
      </c>
      <c r="E249" s="7">
        <f>aktuelleAnleihen[[#This Row],[Aktueller Kurs]]-aktuelleAnleihen[[#This Row],[Kaufkurs]]</f>
        <v>2.5000000000000577E-3</v>
      </c>
      <c r="F249" s="8">
        <f>aktuelleAnleihen[[#This Row],[Stückelung]]*aktuelleAnleihen[[#This Row],[Aktueller Kurs]]*aktuelleAnleihen[[#This Row],[Anteile]]/aktuelleAnleihen[[#This Row],[Aktueller Wechselkurs]]+aktuelleAnleihen[[#This Row],[Stückzinsen]]</f>
        <v>1867.2602739726028</v>
      </c>
      <c r="G249" s="8">
        <f>aktuelleAnleihen[[#This Row],[Kursdifferenz]]*aktuelleAnleihen[[#This Row],[Anteile]]*aktuelleAnleihen[[#This Row],[Stückelung]]/aktuelleAnleihen[[#This Row],[Wechselkurs am Kauftag]]</f>
        <v>5.0000000000001155</v>
      </c>
      <c r="H249" s="8">
        <f>aktuelleAnleihen[[#This Row],[Stückzinsen]]-aktuelleAnleihen[[#This Row],[Stückzinsen am Kauftag]]+aktuelleAnleihen[[#This Row],[Zinszahlungen]]</f>
        <v>42.143873972602741</v>
      </c>
      <c r="I249" s="8">
        <f>aktuelleAnleihen[[#This Row],[Gewinn gesamt]]-aktuelleAnleihen[[#This Row],[Gewinn aus Kursänderung]]-aktuelleAnleihen[[#This Row],[Gewinn aus Zinsen]]</f>
        <v>-1.4921397450962104E-13</v>
      </c>
      <c r="J249" s="7">
        <f>aktuelleAnleihen[[#This Row],[Gewinn gesamt]]/aktuelleAnleihen[[#This Row],[Kaufpreis]]</f>
        <v>2.5175403768012874E-2</v>
      </c>
      <c r="K249" s="3">
        <f>aktuelleAnleihen[[#This Row],[Verkaufspreis]]-aktuelleAnleihen[[#This Row],[Kaufpreis]]+aktuelleAnleihen[[#This Row],[Zinszahlungen]]</f>
        <v>47.143873972602705</v>
      </c>
      <c r="L249" s="4">
        <v>1872.6164000000001</v>
      </c>
      <c r="M249" s="7">
        <v>0.92249999999999999</v>
      </c>
      <c r="N249" s="61">
        <v>1</v>
      </c>
      <c r="O249" s="1">
        <v>1</v>
      </c>
      <c r="P249" s="1" t="s">
        <v>925</v>
      </c>
      <c r="Q249" s="30">
        <v>45378</v>
      </c>
      <c r="R249" s="1">
        <v>2</v>
      </c>
      <c r="S249" s="1">
        <v>1000</v>
      </c>
      <c r="T249" s="9">
        <v>45420</v>
      </c>
      <c r="U249" s="1">
        <v>4</v>
      </c>
      <c r="V249" s="62">
        <f>aktuelleAnleihen[[#This Row],[Stückelung]]*aktuelleAnleihen[[#This Row],[Anteile]]*aktuelleAnleihen[[#This Row],[Coupon]]/aktuelleAnleihen[[#This Row],[Aktueller Wechselkurs]]*($AC$1-aktuelleAnleihen[[#This Row],[Letzte Zinszahlung]])/365</f>
        <v>17.260273972602739</v>
      </c>
      <c r="W249" s="4">
        <v>27.616399999999999</v>
      </c>
      <c r="X249" s="120" t="s">
        <v>56</v>
      </c>
      <c r="Y249" s="120" t="s">
        <v>52</v>
      </c>
      <c r="Z249" s="1" t="s">
        <v>88</v>
      </c>
      <c r="AA249" s="1" t="s">
        <v>89</v>
      </c>
      <c r="AB249" s="3">
        <f>SUMIF('Zinszahlungen Anleihen'!K:K,aktuelleAnleihen[[#This Row],[ISIN]],'Zinszahlungen Anleihen'!D:D)</f>
        <v>52.5</v>
      </c>
      <c r="AE249" s="10"/>
      <c r="AF249" s="1"/>
      <c r="AH249" s="7"/>
      <c r="AJ249" s="1"/>
      <c r="AN249" s="1"/>
      <c r="AQ249" s="1"/>
    </row>
    <row r="250" spans="1:43" x14ac:dyDescent="0.2">
      <c r="A250" s="1" t="s">
        <v>296</v>
      </c>
      <c r="B250" s="1" t="s">
        <v>10</v>
      </c>
      <c r="C250" s="7">
        <v>9.2499999999999999E-2</v>
      </c>
      <c r="D250" s="7">
        <v>0.58250000000000002</v>
      </c>
      <c r="E250" s="7">
        <f>aktuelleAnleihen[[#This Row],[Aktueller Kurs]]-aktuelleAnleihen[[#This Row],[Kaufkurs]]</f>
        <v>2.5000000000000577E-3</v>
      </c>
      <c r="F250" s="8">
        <f>aktuelleAnleihen[[#This Row],[Stückelung]]*aktuelleAnleihen[[#This Row],[Aktueller Kurs]]*aktuelleAnleihen[[#This Row],[Anteile]]/aktuelleAnleihen[[#This Row],[Aktueller Wechselkurs]]+aktuelleAnleihen[[#This Row],[Stückzinsen]]</f>
        <v>1243.0547945205481</v>
      </c>
      <c r="G250" s="8">
        <f>aktuelleAnleihen[[#This Row],[Kursdifferenz]]*aktuelleAnleihen[[#This Row],[Anteile]]*aktuelleAnleihen[[#This Row],[Stückelung]]/aktuelleAnleihen[[#This Row],[Wechselkurs am Kauftag]]</f>
        <v>5.0000000000001155</v>
      </c>
      <c r="H250" s="8">
        <f>aktuelleAnleihen[[#This Row],[Stückzinsen]]-aktuelleAnleihen[[#This Row],[Stückzinsen am Kauftag]]+aktuelleAnleihen[[#This Row],[Zinszahlungen]]</f>
        <v>32.945194520547943</v>
      </c>
      <c r="I250" s="8">
        <f>aktuelleAnleihen[[#This Row],[Gewinn gesamt]]-aktuelleAnleihen[[#This Row],[Gewinn aus Kursänderung]]-aktuelleAnleihen[[#This Row],[Gewinn aus Zinsen]]</f>
        <v>0</v>
      </c>
      <c r="J250" s="7">
        <f>aktuelleAnleihen[[#This Row],[Gewinn gesamt]]/aktuelleAnleihen[[#This Row],[Kaufpreis]]</f>
        <v>3.1486924110925726E-2</v>
      </c>
      <c r="K250" s="3">
        <f>aktuelleAnleihen[[#This Row],[Verkaufspreis]]-aktuelleAnleihen[[#This Row],[Kaufpreis]]+aktuelleAnleihen[[#This Row],[Zinszahlungen]]</f>
        <v>37.945194520548057</v>
      </c>
      <c r="L250" s="4">
        <v>1205.1096</v>
      </c>
      <c r="M250" s="7">
        <v>0.57999999999999996</v>
      </c>
      <c r="N250" s="61">
        <v>1</v>
      </c>
      <c r="O250" s="1">
        <v>1</v>
      </c>
      <c r="P250" s="1" t="s">
        <v>925</v>
      </c>
      <c r="Q250" s="30">
        <v>45385</v>
      </c>
      <c r="R250" s="1">
        <v>2</v>
      </c>
      <c r="S250" s="1">
        <v>1000</v>
      </c>
      <c r="T250" s="9">
        <v>45296</v>
      </c>
      <c r="U250" s="1">
        <v>2</v>
      </c>
      <c r="V250" s="62">
        <f>aktuelleAnleihen[[#This Row],[Stückelung]]*aktuelleAnleihen[[#This Row],[Anteile]]*aktuelleAnleihen[[#This Row],[Coupon]]/aktuelleAnleihen[[#This Row],[Aktueller Wechselkurs]]*($AC$1-aktuelleAnleihen[[#This Row],[Letzte Zinszahlung]])/365</f>
        <v>78.054794520547944</v>
      </c>
      <c r="W250" s="4">
        <v>45.1096</v>
      </c>
      <c r="X250" s="120" t="s">
        <v>56</v>
      </c>
      <c r="Y250" s="120" t="s">
        <v>39</v>
      </c>
      <c r="Z250" s="1" t="s">
        <v>297</v>
      </c>
      <c r="AA250" s="1" t="s">
        <v>298</v>
      </c>
      <c r="AB250" s="3">
        <f>SUMIF('Zinszahlungen Anleihen'!K:K,aktuelleAnleihen[[#This Row],[ISIN]],'Zinszahlungen Anleihen'!D:D)</f>
        <v>0</v>
      </c>
      <c r="AD250" s="9"/>
      <c r="AF250" s="1"/>
      <c r="AH250" s="10"/>
      <c r="AJ250" s="1"/>
      <c r="AK250" s="7"/>
      <c r="AN250" s="1"/>
      <c r="AQ250" s="1"/>
    </row>
    <row r="251" spans="1:43" x14ac:dyDescent="0.2">
      <c r="A251" s="1" t="s">
        <v>1203</v>
      </c>
      <c r="B251" s="1" t="s">
        <v>0</v>
      </c>
      <c r="C251" s="7">
        <v>9.5000000000000001E-2</v>
      </c>
      <c r="D251" s="7">
        <v>1.0496000000000001</v>
      </c>
      <c r="E251" s="7">
        <f>aktuelleAnleihen[[#This Row],[Aktueller Kurs]]-aktuelleAnleihen[[#This Row],[Kaufkurs]]</f>
        <v>2.7000000000001467E-3</v>
      </c>
      <c r="F251" s="8">
        <f>aktuelleAnleihen[[#This Row],[Stückelung]]*aktuelleAnleihen[[#This Row],[Aktueller Kurs]]*aktuelleAnleihen[[#This Row],[Anteile]]/aktuelleAnleihen[[#This Row],[Aktueller Wechselkurs]]+aktuelleAnleihen[[#This Row],[Stückzinsen]]</f>
        <v>1988.1641621899701</v>
      </c>
      <c r="G251" s="8">
        <f>aktuelleAnleihen[[#This Row],[Kursdifferenz]]*aktuelleAnleihen[[#This Row],[Anteile]]*aktuelleAnleihen[[#This Row],[Stückelung]]/aktuelleAnleihen[[#This Row],[Wechselkurs am Kauftag]]</f>
        <v>5.0359041313068111</v>
      </c>
      <c r="H251" s="8">
        <f>aktuelleAnleihen[[#This Row],[Stückzinsen]]-aktuelleAnleihen[[#This Row],[Stückzinsen am Kauftag]]+aktuelleAnleihen[[#This Row],[Zinszahlungen]]</f>
        <v>17.49611931052786</v>
      </c>
      <c r="I251" s="8">
        <f>aktuelleAnleihen[[#This Row],[Gewinn gesamt]]-aktuelleAnleihen[[#This Row],[Gewinn aus Kursänderung]]-aktuelleAnleihen[[#This Row],[Gewinn aus Zinsen]]</f>
        <v>-30.198061251864718</v>
      </c>
      <c r="J251" s="7">
        <f>aktuelleAnleihen[[#This Row],[Gewinn gesamt]]/aktuelleAnleihen[[#This Row],[Kaufpreis]]</f>
        <v>-3.8410270623372906E-3</v>
      </c>
      <c r="K251" s="3">
        <f>aktuelleAnleihen[[#This Row],[Verkaufspreis]]-aktuelleAnleihen[[#This Row],[Kaufpreis]]+aktuelleAnleihen[[#This Row],[Zinszahlungen]]</f>
        <v>-7.6660378100300477</v>
      </c>
      <c r="L251" s="4">
        <v>1995.8302000000001</v>
      </c>
      <c r="M251" s="7">
        <v>1.0468999999999999</v>
      </c>
      <c r="N251" s="61">
        <v>1.0723</v>
      </c>
      <c r="O251" s="1">
        <v>1.0891</v>
      </c>
      <c r="P251" s="1" t="s">
        <v>887</v>
      </c>
      <c r="Q251" s="30">
        <v>45412</v>
      </c>
      <c r="R251" s="1">
        <v>2</v>
      </c>
      <c r="S251" s="1">
        <v>1000</v>
      </c>
      <c r="T251" s="9">
        <v>45323</v>
      </c>
      <c r="U251" s="1">
        <v>2</v>
      </c>
      <c r="V251" s="62">
        <f>aktuelleAnleihen[[#This Row],[Stückelung]]*aktuelleAnleihen[[#This Row],[Anteile]]*aktuelleAnleihen[[#This Row],[Coupon]]/aktuelleAnleihen[[#This Row],[Aktueller Wechselkurs]]*($AC$1-aktuelleAnleihen[[#This Row],[Letzte Zinszahlung]])/365</f>
        <v>60.701119310527858</v>
      </c>
      <c r="W251" s="4">
        <v>43.204999999999998</v>
      </c>
      <c r="X251" s="120" t="s">
        <v>1004</v>
      </c>
      <c r="Y251" s="120" t="s">
        <v>39</v>
      </c>
      <c r="Z251" s="1" t="s">
        <v>1204</v>
      </c>
      <c r="AA251" s="1" t="s">
        <v>1205</v>
      </c>
      <c r="AB251" s="3">
        <f>SUMIF('Zinszahlungen Anleihen'!K:K,aktuelleAnleihen[[#This Row],[ISIN]],'Zinszahlungen Anleihen'!D:D)</f>
        <v>0</v>
      </c>
      <c r="AD251" s="9"/>
      <c r="AF251" s="1"/>
      <c r="AH251" s="10"/>
      <c r="AJ251" s="1"/>
      <c r="AK251" s="7"/>
      <c r="AN251" s="1"/>
      <c r="AQ251" s="1"/>
    </row>
    <row r="252" spans="1:43" x14ac:dyDescent="0.2">
      <c r="A252" s="1" t="s">
        <v>1059</v>
      </c>
      <c r="B252" s="1" t="s">
        <v>0</v>
      </c>
      <c r="C252" s="7">
        <v>0.1075</v>
      </c>
      <c r="D252" s="7">
        <v>1.0862000000000001</v>
      </c>
      <c r="E252" s="7">
        <f>aktuelleAnleihen[[#This Row],[Aktueller Kurs]]-aktuelleAnleihen[[#This Row],[Kaufkurs]]</f>
        <v>2.7000000000001467E-3</v>
      </c>
      <c r="F252" s="8">
        <f>aktuelleAnleihen[[#This Row],[Stückelung]]*aktuelleAnleihen[[#This Row],[Aktueller Kurs]]*aktuelleAnleihen[[#This Row],[Anteile]]/aktuelleAnleihen[[#This Row],[Aktueller Wechselkurs]]+aktuelleAnleihen[[#This Row],[Stückzinsen]]</f>
        <v>2007.1140806220546</v>
      </c>
      <c r="G252" s="8">
        <f>aktuelleAnleihen[[#This Row],[Kursdifferenz]]*aktuelleAnleihen[[#This Row],[Anteile]]*aktuelleAnleihen[[#This Row],[Stückelung]]/aktuelleAnleihen[[#This Row],[Wechselkurs am Kauftag]]</f>
        <v>5.0359041313068111</v>
      </c>
      <c r="H252" s="8">
        <f>aktuelleAnleihen[[#This Row],[Stückzinsen]]-aktuelleAnleihen[[#This Row],[Stückzinsen am Kauftag]]+aktuelleAnleihen[[#This Row],[Zinszahlungen]]</f>
        <v>20.082883343630556</v>
      </c>
      <c r="I252" s="8">
        <f>aktuelleAnleihen[[#This Row],[Gewinn gesamt]]-aktuelleAnleihen[[#This Row],[Gewinn aus Kursänderung]]-aktuelleAnleihen[[#This Row],[Gewinn aus Zinsen]]</f>
        <v>-31.251002249018644</v>
      </c>
      <c r="J252" s="7">
        <f>aktuelleAnleihen[[#This Row],[Gewinn gesamt]]/aktuelleAnleihen[[#This Row],[Kaufpreis]]</f>
        <v>-2.902649196638212E-3</v>
      </c>
      <c r="K252" s="3">
        <f>aktuelleAnleihen[[#This Row],[Verkaufspreis]]-aktuelleAnleihen[[#This Row],[Kaufpreis]]+aktuelleAnleihen[[#This Row],[Zinszahlungen]]</f>
        <v>-6.1322147740812767</v>
      </c>
      <c r="L252" s="4">
        <v>2112.6269000000002</v>
      </c>
      <c r="M252" s="7">
        <v>1.0834999999999999</v>
      </c>
      <c r="N252" s="61">
        <v>1.0723</v>
      </c>
      <c r="O252" s="1">
        <v>1.0891</v>
      </c>
      <c r="P252" s="1" t="s">
        <v>887</v>
      </c>
      <c r="Q252" s="30">
        <v>45412</v>
      </c>
      <c r="R252" s="1">
        <v>2</v>
      </c>
      <c r="S252" s="1">
        <v>1000</v>
      </c>
      <c r="T252" s="9">
        <v>45427</v>
      </c>
      <c r="U252" s="1">
        <v>2</v>
      </c>
      <c r="V252" s="62">
        <f>aktuelleAnleihen[[#This Row],[Stückelung]]*aktuelleAnleihen[[#This Row],[Anteile]]*aktuelleAnleihen[[#This Row],[Coupon]]/aktuelleAnleihen[[#This Row],[Aktueller Wechselkurs]]*($AC$1-aktuelleAnleihen[[#This Row],[Letzte Zinszahlung]])/365</f>
        <v>12.439578739766278</v>
      </c>
      <c r="W252" s="4">
        <v>91.737300000000005</v>
      </c>
      <c r="X252" s="120" t="s">
        <v>1004</v>
      </c>
      <c r="Y252" s="120" t="s">
        <v>52</v>
      </c>
      <c r="Z252" s="1" t="s">
        <v>1060</v>
      </c>
      <c r="AA252" s="1" t="s">
        <v>1061</v>
      </c>
      <c r="AB252" s="3">
        <f>SUMIF('Zinszahlungen Anleihen'!K:K,aktuelleAnleihen[[#This Row],[ISIN]],'Zinszahlungen Anleihen'!D:D)</f>
        <v>99.380604603864285</v>
      </c>
      <c r="AD252" s="9"/>
      <c r="AF252" s="1"/>
      <c r="AH252" s="3"/>
      <c r="AJ252" s="1"/>
      <c r="AL252" s="10"/>
      <c r="AN252" s="1"/>
      <c r="AO252" s="7"/>
      <c r="AQ252" s="1"/>
    </row>
    <row r="253" spans="1:43" x14ac:dyDescent="0.2">
      <c r="A253" s="1" t="s">
        <v>1066</v>
      </c>
      <c r="B253" s="1" t="s">
        <v>1</v>
      </c>
      <c r="C253" s="7">
        <v>0.105</v>
      </c>
      <c r="D253" s="7">
        <v>1.0087999999999999</v>
      </c>
      <c r="E253" s="7">
        <f>aktuelleAnleihen[[#This Row],[Aktueller Kurs]]-aktuelleAnleihen[[#This Row],[Kaufkurs]]</f>
        <v>2.9999999999998916E-3</v>
      </c>
      <c r="F253" s="8">
        <f>aktuelleAnleihen[[#This Row],[Stückelung]]*aktuelleAnleihen[[#This Row],[Aktueller Kurs]]*aktuelleAnleihen[[#This Row],[Anteile]]/aktuelleAnleihen[[#This Row],[Aktueller Wechselkurs]]+aktuelleAnleihen[[#This Row],[Stückzinsen]]</f>
        <v>1872.0849060994185</v>
      </c>
      <c r="G253" s="8">
        <f>aktuelleAnleihen[[#This Row],[Kursdifferenz]]*aktuelleAnleihen[[#This Row],[Anteile]]*aktuelleAnleihen[[#This Row],[Stückelung]]/aktuelleAnleihen[[#This Row],[Wechselkurs am Kauftag]]</f>
        <v>5.5954490347848393</v>
      </c>
      <c r="H253" s="8">
        <f>aktuelleAnleihen[[#This Row],[Stückzinsen]]-aktuelleAnleihen[[#This Row],[Stückzinsen am Kauftag]]+aktuelleAnleihen[[#This Row],[Zinszahlungen]]</f>
        <v>20.442374011568361</v>
      </c>
      <c r="I253" s="8">
        <f>aktuelleAnleihen[[#This Row],[Gewinn gesamt]]-aktuelleAnleihen[[#This Row],[Gewinn aus Kursänderung]]-aktuelleAnleihen[[#This Row],[Gewinn aus Zinsen]]</f>
        <v>-29.024255535565377</v>
      </c>
      <c r="J253" s="7">
        <f>aktuelleAnleihen[[#This Row],[Gewinn gesamt]]/aktuelleAnleihen[[#This Row],[Kaufpreis]]</f>
        <v>-1.51358677655907E-3</v>
      </c>
      <c r="K253" s="3">
        <f>aktuelleAnleihen[[#This Row],[Verkaufspreis]]-aktuelleAnleihen[[#This Row],[Kaufpreis]]+aktuelleAnleihen[[#This Row],[Zinszahlungen]]</f>
        <v>-2.9864324892121772</v>
      </c>
      <c r="L253" s="4">
        <v>1973.0831000000001</v>
      </c>
      <c r="M253" s="7">
        <v>1.0058</v>
      </c>
      <c r="N253" s="61">
        <v>1.0723</v>
      </c>
      <c r="O253" s="1">
        <v>1.0891</v>
      </c>
      <c r="P253" s="1" t="s">
        <v>887</v>
      </c>
      <c r="Q253" s="30">
        <v>45412</v>
      </c>
      <c r="R253" s="1">
        <v>2</v>
      </c>
      <c r="S253" s="1">
        <v>1000</v>
      </c>
      <c r="T253" s="9">
        <v>45413</v>
      </c>
      <c r="U253" s="1">
        <v>2</v>
      </c>
      <c r="V253" s="62">
        <f>aktuelleAnleihen[[#This Row],[Stückelung]]*aktuelleAnleihen[[#This Row],[Anteile]]*aktuelleAnleihen[[#This Row],[Coupon]]/aktuelleAnleihen[[#This Row],[Aktueller Wechselkurs]]*($AC$1-aktuelleAnleihen[[#This Row],[Letzte Zinszahlung]])/365</f>
        <v>19.546112600198985</v>
      </c>
      <c r="W253" s="4">
        <v>97.115499999999997</v>
      </c>
      <c r="X253" s="120" t="s">
        <v>276</v>
      </c>
      <c r="Y253" s="120" t="s">
        <v>57</v>
      </c>
      <c r="Z253" s="1" t="s">
        <v>1067</v>
      </c>
      <c r="AA253" s="1" t="s">
        <v>1068</v>
      </c>
      <c r="AB253" s="3">
        <f>SUMIF('Zinszahlungen Anleihen'!K:K,aktuelleAnleihen[[#This Row],[ISIN]],'Zinszahlungen Anleihen'!D:D)</f>
        <v>98.011761411369378</v>
      </c>
      <c r="AD253" s="9"/>
      <c r="AF253" s="1"/>
      <c r="AH253" s="3"/>
      <c r="AJ253" s="1"/>
      <c r="AL253" s="10"/>
      <c r="AN253" s="1"/>
      <c r="AO253" s="7"/>
      <c r="AQ253" s="1"/>
    </row>
    <row r="254" spans="1:43" x14ac:dyDescent="0.2">
      <c r="A254" s="1" t="s">
        <v>975</v>
      </c>
      <c r="B254" s="1" t="s">
        <v>0</v>
      </c>
      <c r="C254" s="7">
        <v>6.7500000000000004E-2</v>
      </c>
      <c r="D254" s="7">
        <v>0.94499999999999995</v>
      </c>
      <c r="E254" s="7">
        <f>aktuelleAnleihen[[#This Row],[Aktueller Kurs]]-aktuelleAnleihen[[#This Row],[Kaufkurs]]</f>
        <v>2.7999999999999137E-3</v>
      </c>
      <c r="F254" s="8">
        <f>aktuelleAnleihen[[#This Row],[Stückelung]]*aktuelleAnleihen[[#This Row],[Aktueller Kurs]]*aktuelleAnleihen[[#This Row],[Anteile]]/aktuelleAnleihen[[#This Row],[Aktueller Wechselkurs]]+aktuelleAnleihen[[#This Row],[Stückzinsen]]</f>
        <v>1910.3424657534247</v>
      </c>
      <c r="G254" s="8">
        <f>aktuelleAnleihen[[#This Row],[Kursdifferenz]]*aktuelleAnleihen[[#This Row],[Anteile]]*aktuelleAnleihen[[#This Row],[Stückelung]]/aktuelleAnleihen[[#This Row],[Wechselkurs am Kauftag]]</f>
        <v>5.5999999999998273</v>
      </c>
      <c r="H254" s="8">
        <f>aktuelleAnleihen[[#This Row],[Stückzinsen]]-aktuelleAnleihen[[#This Row],[Stückzinsen am Kauftag]]+aktuelleAnleihen[[#This Row],[Zinszahlungen]]</f>
        <v>16.273965753424658</v>
      </c>
      <c r="I254" s="8">
        <f>aktuelleAnleihen[[#This Row],[Gewinn gesamt]]-aktuelleAnleihen[[#This Row],[Gewinn aus Kursänderung]]-aktuelleAnleihen[[#This Row],[Gewinn aus Zinsen]]</f>
        <v>2.4158453015843406E-13</v>
      </c>
      <c r="J254" s="7">
        <f>aktuelleAnleihen[[#This Row],[Gewinn gesamt]]/aktuelleAnleihen[[#This Row],[Kaufpreis]]</f>
        <v>1.1582912690057963E-2</v>
      </c>
      <c r="K254" s="3">
        <f>aktuelleAnleihen[[#This Row],[Verkaufspreis]]-aktuelleAnleihen[[#This Row],[Kaufpreis]]+aktuelleAnleihen[[#This Row],[Zinszahlungen]]</f>
        <v>21.873965753424727</v>
      </c>
      <c r="L254" s="4">
        <v>1888.4684999999999</v>
      </c>
      <c r="M254" s="7">
        <v>0.94220000000000004</v>
      </c>
      <c r="N254" s="61">
        <v>1</v>
      </c>
      <c r="O254" s="1">
        <v>1</v>
      </c>
      <c r="P254" s="1" t="s">
        <v>925</v>
      </c>
      <c r="Q254" s="30">
        <v>45406</v>
      </c>
      <c r="R254" s="1">
        <v>20</v>
      </c>
      <c r="S254" s="1">
        <v>100</v>
      </c>
      <c r="T254" s="9">
        <v>45395</v>
      </c>
      <c r="U254" s="1">
        <v>1</v>
      </c>
      <c r="V254" s="62">
        <f>aktuelleAnleihen[[#This Row],[Stückelung]]*aktuelleAnleihen[[#This Row],[Anteile]]*aktuelleAnleihen[[#This Row],[Coupon]]/aktuelleAnleihen[[#This Row],[Aktueller Wechselkurs]]*($AC$1-aktuelleAnleihen[[#This Row],[Letzte Zinszahlung]])/365</f>
        <v>20.342465753424658</v>
      </c>
      <c r="W254" s="4">
        <v>4.0685000000000002</v>
      </c>
      <c r="X254" s="120" t="s">
        <v>56</v>
      </c>
      <c r="Y254" s="120" t="s">
        <v>52</v>
      </c>
      <c r="Z254" s="1" t="s">
        <v>976</v>
      </c>
      <c r="AA254" s="1" t="s">
        <v>977</v>
      </c>
      <c r="AB254" s="3">
        <f>SUMIF('Zinszahlungen Anleihen'!K:K,aktuelleAnleihen[[#This Row],[ISIN]],'Zinszahlungen Anleihen'!D:D)</f>
        <v>0</v>
      </c>
      <c r="AD254" s="9"/>
      <c r="AF254" s="1"/>
      <c r="AH254" s="3"/>
      <c r="AJ254" s="1"/>
      <c r="AL254" s="10"/>
      <c r="AN254" s="1"/>
      <c r="AO254" s="7"/>
      <c r="AQ254" s="1"/>
    </row>
    <row r="255" spans="1:43" x14ac:dyDescent="0.2">
      <c r="A255" s="1" t="s">
        <v>1324</v>
      </c>
      <c r="B255" s="1" t="s">
        <v>11</v>
      </c>
      <c r="C255" s="7">
        <v>8.9499999999999996E-2</v>
      </c>
      <c r="D255" s="7">
        <v>0.96150000000000002</v>
      </c>
      <c r="E255" s="7">
        <f>aktuelleAnleihen[[#This Row],[Aktueller Kurs]]-aktuelleAnleihen[[#This Row],[Kaufkurs]]</f>
        <v>3.2999999999999696E-3</v>
      </c>
      <c r="F255" s="8">
        <f>aktuelleAnleihen[[#This Row],[Stückelung]]*aktuelleAnleihen[[#This Row],[Aktueller Kurs]]*aktuelleAnleihen[[#This Row],[Anteile]]/aktuelleAnleihen[[#This Row],[Aktueller Wechselkurs]]+aktuelleAnleihen[[#This Row],[Stückzinsen]]</f>
        <v>1789.5434586556953</v>
      </c>
      <c r="G255" s="8">
        <f>aktuelleAnleihen[[#This Row],[Kursdifferenz]]*aktuelleAnleihen[[#This Row],[Anteile]]*aktuelleAnleihen[[#This Row],[Stückelung]]/aktuelleAnleihen[[#This Row],[Wechselkurs am Kauftag]]</f>
        <v>6.1549939382634884</v>
      </c>
      <c r="H255" s="8">
        <f>aktuelleAnleihen[[#This Row],[Stückzinsen]]-aktuelleAnleihen[[#This Row],[Stückzinsen am Kauftag]]+aktuelleAnleihen[[#This Row],[Zinszahlungen]]</f>
        <v>17.005175835017734</v>
      </c>
      <c r="I255" s="8">
        <f>aktuelleAnleihen[[#This Row],[Gewinn gesamt]]-aktuelleAnleihen[[#This Row],[Gewinn aus Kursänderung]]-aktuelleAnleihen[[#This Row],[Gewinn aus Zinsen]]</f>
        <v>-27.663311117585817</v>
      </c>
      <c r="J255" s="7">
        <f>aktuelleAnleihen[[#This Row],[Gewinn gesamt]]/aktuelleAnleihen[[#This Row],[Kaufpreis]]</f>
        <v>-2.5100470323929126E-3</v>
      </c>
      <c r="K255" s="3">
        <f>aktuelleAnleihen[[#This Row],[Verkaufspreis]]-aktuelleAnleihen[[#This Row],[Kaufpreis]]+aktuelleAnleihen[[#This Row],[Zinszahlungen]]</f>
        <v>-4.5031413443045949</v>
      </c>
      <c r="L255" s="4">
        <v>1794.0465999999999</v>
      </c>
      <c r="M255" s="7">
        <v>0.95820000000000005</v>
      </c>
      <c r="N255" s="61">
        <v>1.0723</v>
      </c>
      <c r="O255" s="1">
        <v>1.0891</v>
      </c>
      <c r="P255" s="1" t="s">
        <v>887</v>
      </c>
      <c r="Q255" s="30">
        <v>45412</v>
      </c>
      <c r="R255" s="1">
        <v>2</v>
      </c>
      <c r="S255" s="1">
        <v>1000</v>
      </c>
      <c r="T255" s="9">
        <v>45397</v>
      </c>
      <c r="U255" s="1">
        <v>2</v>
      </c>
      <c r="V255" s="62">
        <f>aktuelleAnleihen[[#This Row],[Stückelung]]*aktuelleAnleihen[[#This Row],[Anteile]]*aktuelleAnleihen[[#This Row],[Coupon]]/aktuelleAnleihen[[#This Row],[Aktueller Wechselkurs]]*($AC$1-aktuelleAnleihen[[#This Row],[Letzte Zinszahlung]])/365</f>
        <v>23.865375835017733</v>
      </c>
      <c r="W255" s="4">
        <v>6.8601999999999999</v>
      </c>
      <c r="X255" s="120" t="s">
        <v>1325</v>
      </c>
      <c r="Y255" s="120" t="s">
        <v>39</v>
      </c>
      <c r="Z255" s="1" t="s">
        <v>1326</v>
      </c>
      <c r="AA255" s="1" t="s">
        <v>1327</v>
      </c>
      <c r="AB255" s="3">
        <f>SUMIF('Zinszahlungen Anleihen'!K:K,aktuelleAnleihen[[#This Row],[ISIN]],'Zinszahlungen Anleihen'!D:D)</f>
        <v>0</v>
      </c>
      <c r="AD255" s="9"/>
      <c r="AF255" s="1"/>
      <c r="AH255" s="3"/>
      <c r="AJ255" s="1"/>
      <c r="AL255" s="10"/>
      <c r="AN255" s="1"/>
      <c r="AO255" s="7"/>
      <c r="AQ255" s="1"/>
    </row>
    <row r="256" spans="1:43" x14ac:dyDescent="0.2">
      <c r="A256" s="1" t="s">
        <v>1301</v>
      </c>
      <c r="B256" s="1" t="s">
        <v>0</v>
      </c>
      <c r="C256" s="7">
        <v>0.09</v>
      </c>
      <c r="D256" s="7">
        <v>1.0515000000000001</v>
      </c>
      <c r="E256" s="7">
        <f>aktuelleAnleihen[[#This Row],[Aktueller Kurs]]-aktuelleAnleihen[[#This Row],[Kaufkurs]]</f>
        <v>3.4000000000000696E-3</v>
      </c>
      <c r="F256" s="8">
        <f>aktuelleAnleihen[[#This Row],[Stückelung]]*aktuelleAnleihen[[#This Row],[Aktueller Kurs]]*aktuelleAnleihen[[#This Row],[Anteile]]/aktuelleAnleihen[[#This Row],[Aktueller Wechselkurs]]+aktuelleAnleihen[[#This Row],[Stückzinsen]]</f>
        <v>1996.1561827473483</v>
      </c>
      <c r="G256" s="8">
        <f>aktuelleAnleihen[[#This Row],[Kursdifferenz]]*aktuelleAnleihen[[#This Row],[Anteile]]*aktuelleAnleihen[[#This Row],[Stückelung]]/aktuelleAnleihen[[#This Row],[Wechselkurs am Kauftag]]</f>
        <v>6.3415089060898433</v>
      </c>
      <c r="H256" s="8">
        <f>aktuelleAnleihen[[#This Row],[Stückzinsen]]-aktuelleAnleihen[[#This Row],[Stückzinsen am Kauftag]]+aktuelleAnleihen[[#This Row],[Zinszahlungen]]</f>
        <v>16.4546204114746</v>
      </c>
      <c r="I256" s="8">
        <f>aktuelleAnleihen[[#This Row],[Gewinn gesamt]]-aktuelleAnleihen[[#This Row],[Gewinn aus Kursänderung]]-aktuelleAnleihen[[#This Row],[Gewinn aus Zinsen]]</f>
        <v>-30.25274657021621</v>
      </c>
      <c r="J256" s="7">
        <f>aktuelleAnleihen[[#This Row],[Gewinn gesamt]]/aktuelleAnleihen[[#This Row],[Kaufpreis]]</f>
        <v>-3.7215859534595543E-3</v>
      </c>
      <c r="K256" s="3">
        <f>aktuelleAnleihen[[#This Row],[Verkaufspreis]]-aktuelleAnleihen[[#This Row],[Kaufpreis]]+aktuelleAnleihen[[#This Row],[Zinszahlungen]]</f>
        <v>-7.4566172526517676</v>
      </c>
      <c r="L256" s="4">
        <v>2003.6128000000001</v>
      </c>
      <c r="M256" s="7">
        <v>1.0481</v>
      </c>
      <c r="N256" s="61">
        <v>1.0723</v>
      </c>
      <c r="O256" s="1">
        <v>1.0891</v>
      </c>
      <c r="P256" s="1" t="s">
        <v>887</v>
      </c>
      <c r="Q256" s="30">
        <v>45412</v>
      </c>
      <c r="R256" s="1">
        <v>2</v>
      </c>
      <c r="S256" s="1">
        <v>1000</v>
      </c>
      <c r="T256" s="9">
        <v>45306</v>
      </c>
      <c r="U256" s="1">
        <v>2</v>
      </c>
      <c r="V256" s="62">
        <f>aktuelleAnleihen[[#This Row],[Stückelung]]*aktuelleAnleihen[[#This Row],[Anteile]]*aktuelleAnleihen[[#This Row],[Coupon]]/aktuelleAnleihen[[#This Row],[Aktueller Wechselkurs]]*($AC$1-aktuelleAnleihen[[#This Row],[Letzte Zinszahlung]])/365</f>
        <v>65.204020411474602</v>
      </c>
      <c r="W256" s="4">
        <v>48.749400000000001</v>
      </c>
      <c r="X256" s="120" t="s">
        <v>276</v>
      </c>
      <c r="Y256" s="120" t="s">
        <v>39</v>
      </c>
      <c r="Z256" s="1" t="s">
        <v>1302</v>
      </c>
      <c r="AA256" s="1" t="s">
        <v>1303</v>
      </c>
      <c r="AB256" s="3">
        <f>SUMIF('Zinszahlungen Anleihen'!K:K,aktuelleAnleihen[[#This Row],[ISIN]],'Zinszahlungen Anleihen'!D:D)</f>
        <v>0</v>
      </c>
      <c r="AD256" s="9"/>
      <c r="AF256" s="1"/>
      <c r="AH256" s="3"/>
      <c r="AJ256" s="1"/>
      <c r="AL256" s="10"/>
      <c r="AN256" s="1"/>
      <c r="AO256" s="7"/>
      <c r="AQ256" s="1"/>
    </row>
    <row r="257" spans="1:43" x14ac:dyDescent="0.2">
      <c r="A257" s="1" t="s">
        <v>1632</v>
      </c>
      <c r="B257" s="1" t="s">
        <v>9</v>
      </c>
      <c r="C257" s="7">
        <v>8.2500000000000004E-2</v>
      </c>
      <c r="D257" s="7">
        <v>1.0287999999999999</v>
      </c>
      <c r="E257" s="7">
        <f>aktuelleAnleihen[[#This Row],[Aktueller Kurs]]-aktuelleAnleihen[[#This Row],[Kaufkurs]]</f>
        <v>3.4999999999998366E-3</v>
      </c>
      <c r="F257" s="8">
        <f>aktuelleAnleihen[[#This Row],[Stückelung]]*aktuelleAnleihen[[#This Row],[Aktueller Kurs]]*aktuelleAnleihen[[#This Row],[Anteile]]/aktuelleAnleihen[[#This Row],[Aktueller Wechselkurs]]+aktuelleAnleihen[[#This Row],[Stückzinsen]]</f>
        <v>1949.0367187686704</v>
      </c>
      <c r="G257" s="8">
        <f>aktuelleAnleihen[[#This Row],[Kursdifferenz]]*aktuelleAnleihen[[#This Row],[Anteile]]*aktuelleAnleihen[[#This Row],[Stückelung]]/aktuelleAnleihen[[#This Row],[Wechselkurs am Kauftag]]</f>
        <v>6.5280238739155765</v>
      </c>
      <c r="H257" s="8">
        <f>aktuelleAnleihen[[#This Row],[Stückzinsen]]-aktuelleAnleihen[[#This Row],[Stückzinsen am Kauftag]]+aktuelleAnleihen[[#This Row],[Zinszahlungen]]</f>
        <v>15.083452043851715</v>
      </c>
      <c r="I257" s="8">
        <f>aktuelleAnleihen[[#This Row],[Gewinn gesamt]]-aktuelleAnleihen[[#This Row],[Gewinn aus Kursänderung]]-aktuelleAnleihen[[#This Row],[Gewinn aus Zinsen]]</f>
        <v>-29.599657149096753</v>
      </c>
      <c r="J257" s="7">
        <f>aktuelleAnleihen[[#This Row],[Gewinn gesamt]]/aktuelleAnleihen[[#This Row],[Kaufpreis]]</f>
        <v>-4.0817984642553418E-3</v>
      </c>
      <c r="K257" s="3">
        <f>aktuelleAnleihen[[#This Row],[Verkaufspreis]]-aktuelleAnleihen[[#This Row],[Kaufpreis]]+aktuelleAnleihen[[#This Row],[Zinszahlungen]]</f>
        <v>-7.9881812313294631</v>
      </c>
      <c r="L257" s="4">
        <v>1957.0248999999999</v>
      </c>
      <c r="M257" s="7">
        <v>1.0253000000000001</v>
      </c>
      <c r="N257" s="61">
        <v>1.0723</v>
      </c>
      <c r="O257" s="1">
        <v>1.0891</v>
      </c>
      <c r="P257" s="1" t="s">
        <v>887</v>
      </c>
      <c r="Q257" s="30">
        <v>45412</v>
      </c>
      <c r="R257" s="1">
        <v>2</v>
      </c>
      <c r="S257" s="1">
        <v>1000</v>
      </c>
      <c r="T257" s="9">
        <v>45306</v>
      </c>
      <c r="U257" s="1">
        <v>2</v>
      </c>
      <c r="V257" s="62">
        <f>aktuelleAnleihen[[#This Row],[Stückelung]]*aktuelleAnleihen[[#This Row],[Anteile]]*aktuelleAnleihen[[#This Row],[Coupon]]/aktuelleAnleihen[[#This Row],[Aktueller Wechselkurs]]*($AC$1-aktuelleAnleihen[[#This Row],[Letzte Zinszahlung]])/365</f>
        <v>59.770352043851716</v>
      </c>
      <c r="W257" s="4">
        <v>44.686900000000001</v>
      </c>
      <c r="X257" s="120" t="s">
        <v>276</v>
      </c>
      <c r="Y257" s="120" t="s">
        <v>39</v>
      </c>
      <c r="Z257" s="1" t="s">
        <v>1633</v>
      </c>
      <c r="AA257" s="1" t="s">
        <v>1634</v>
      </c>
      <c r="AB257" s="3">
        <f>SUMIF('Zinszahlungen Anleihen'!K:K,aktuelleAnleihen[[#This Row],[ISIN]],'Zinszahlungen Anleihen'!D:D)</f>
        <v>0</v>
      </c>
      <c r="AD257" s="9"/>
      <c r="AF257" s="1"/>
      <c r="AH257" s="3"/>
      <c r="AJ257" s="1"/>
      <c r="AL257" s="10"/>
      <c r="AN257" s="1"/>
      <c r="AO257" s="7"/>
      <c r="AQ257" s="1"/>
    </row>
    <row r="258" spans="1:43" x14ac:dyDescent="0.2">
      <c r="A258" s="1" t="s">
        <v>474</v>
      </c>
      <c r="B258" s="1" t="s">
        <v>9</v>
      </c>
      <c r="C258" s="7">
        <v>7.9399999999999998E-2</v>
      </c>
      <c r="D258" s="7">
        <v>1.0038</v>
      </c>
      <c r="E258" s="7">
        <f>aktuelleAnleihen[[#This Row],[Aktueller Kurs]]-aktuelleAnleihen[[#This Row],[Kaufkurs]]</f>
        <v>3.4000000000000696E-3</v>
      </c>
      <c r="F258" s="8">
        <f>aktuelleAnleihen[[#This Row],[Stückelung]]*aktuelleAnleihen[[#This Row],[Aktueller Kurs]]*aktuelleAnleihen[[#This Row],[Anteile]]/aktuelleAnleihen[[#This Row],[Aktueller Wechselkurs]]+aktuelleAnleihen[[#This Row],[Stückzinsen]]</f>
        <v>2044.1457534246576</v>
      </c>
      <c r="G258" s="8">
        <f>aktuelleAnleihen[[#This Row],[Kursdifferenz]]*aktuelleAnleihen[[#This Row],[Anteile]]*aktuelleAnleihen[[#This Row],[Stückelung]]/aktuelleAnleihen[[#This Row],[Wechselkurs am Kauftag]]</f>
        <v>6.8000000000001393</v>
      </c>
      <c r="H258" s="8">
        <f>aktuelleAnleihen[[#This Row],[Stückzinsen]]-aktuelleAnleihen[[#This Row],[Stückzinsen am Kauftag]]+aktuelleAnleihen[[#This Row],[Zinszahlungen]]</f>
        <v>28.279453424657532</v>
      </c>
      <c r="I258" s="8">
        <f>aktuelleAnleihen[[#This Row],[Gewinn gesamt]]-aktuelleAnleihen[[#This Row],[Gewinn aus Kursänderung]]-aktuelleAnleihen[[#This Row],[Gewinn aus Zinsen]]</f>
        <v>0</v>
      </c>
      <c r="J258" s="7">
        <f>aktuelleAnleihen[[#This Row],[Gewinn gesamt]]/aktuelleAnleihen[[#This Row],[Kaufpreis]]</f>
        <v>1.7460575305383245E-2</v>
      </c>
      <c r="K258" s="3">
        <f>aktuelleAnleihen[[#This Row],[Verkaufspreis]]-aktuelleAnleihen[[#This Row],[Kaufpreis]]+aktuelleAnleihen[[#This Row],[Zinszahlungen]]</f>
        <v>35.079453424657686</v>
      </c>
      <c r="L258" s="4">
        <v>2009.0663</v>
      </c>
      <c r="M258" s="7">
        <v>1.0004</v>
      </c>
      <c r="N258" s="61">
        <v>1</v>
      </c>
      <c r="O258" s="1">
        <v>1</v>
      </c>
      <c r="P258" s="1" t="s">
        <v>925</v>
      </c>
      <c r="Q258" s="30">
        <v>45385</v>
      </c>
      <c r="R258" s="1">
        <v>2</v>
      </c>
      <c r="S258" s="1">
        <v>1000</v>
      </c>
      <c r="T258" s="9">
        <v>45366</v>
      </c>
      <c r="U258" s="1">
        <v>4</v>
      </c>
      <c r="V258" s="62">
        <f>aktuelleAnleihen[[#This Row],[Stückelung]]*aktuelleAnleihen[[#This Row],[Anteile]]*aktuelleAnleihen[[#This Row],[Coupon]]/aktuelleAnleihen[[#This Row],[Aktueller Wechselkurs]]*($AC$1-aktuelleAnleihen[[#This Row],[Letzte Zinszahlung]])/365</f>
        <v>36.545753424657534</v>
      </c>
      <c r="W258" s="4">
        <v>8.2662999999999993</v>
      </c>
      <c r="X258" s="120" t="s">
        <v>35</v>
      </c>
      <c r="Y258" s="120" t="s">
        <v>57</v>
      </c>
      <c r="Z258" s="1" t="s">
        <v>475</v>
      </c>
      <c r="AA258" s="1" t="s">
        <v>476</v>
      </c>
      <c r="AB258" s="3">
        <f>SUMIF('Zinszahlungen Anleihen'!K:K,aktuelleAnleihen[[#This Row],[ISIN]],'Zinszahlungen Anleihen'!D:D)</f>
        <v>0</v>
      </c>
      <c r="AD258" s="9"/>
      <c r="AF258" s="1"/>
      <c r="AH258" s="3"/>
      <c r="AJ258" s="1"/>
      <c r="AL258" s="10"/>
      <c r="AN258" s="1"/>
      <c r="AO258" s="7"/>
      <c r="AQ258" s="1"/>
    </row>
    <row r="259" spans="1:43" x14ac:dyDescent="0.2">
      <c r="A259" s="1" t="s">
        <v>1328</v>
      </c>
      <c r="B259" s="1" t="s">
        <v>11</v>
      </c>
      <c r="C259" s="7">
        <v>8.9499999999999996E-2</v>
      </c>
      <c r="D259" s="7">
        <v>0.88870000000000005</v>
      </c>
      <c r="E259" s="7">
        <f>aktuelleAnleihen[[#This Row],[Aktueller Kurs]]-aktuelleAnleihen[[#This Row],[Kaufkurs]]</f>
        <v>3.7000000000000366E-3</v>
      </c>
      <c r="F259" s="8">
        <f>aktuelleAnleihen[[#This Row],[Stückelung]]*aktuelleAnleihen[[#This Row],[Aktueller Kurs]]*aktuelleAnleihen[[#This Row],[Anteile]]/aktuelleAnleihen[[#This Row],[Aktueller Wechselkurs]]+aktuelleAnleihen[[#This Row],[Stückzinsen]]</f>
        <v>1654.9545118943254</v>
      </c>
      <c r="G259" s="8">
        <f>aktuelleAnleihen[[#This Row],[Kursdifferenz]]*aktuelleAnleihen[[#This Row],[Anteile]]*aktuelleAnleihen[[#This Row],[Stückelung]]/aktuelleAnleihen[[#This Row],[Wechselkurs am Kauftag]]</f>
        <v>6.9010538095682863</v>
      </c>
      <c r="H259" s="8">
        <f>aktuelleAnleihen[[#This Row],[Stückzinsen]]-aktuelleAnleihen[[#This Row],[Stückzinsen am Kauftag]]+aktuelleAnleihen[[#This Row],[Zinszahlungen]]</f>
        <v>17.019295614828383</v>
      </c>
      <c r="I259" s="8">
        <f>aktuelleAnleihen[[#This Row],[Gewinn gesamt]]-aktuelleAnleihen[[#This Row],[Gewinn aus Kursänderung]]-aktuelleAnleihen[[#This Row],[Gewinn aus Zinsen]]</f>
        <v>-25.568737530071381</v>
      </c>
      <c r="J259" s="7">
        <f>aktuelleAnleihen[[#This Row],[Gewinn gesamt]]/aktuelleAnleihen[[#This Row],[Kaufpreis]]</f>
        <v>-9.9504118076499336E-4</v>
      </c>
      <c r="K259" s="3">
        <f>aktuelleAnleihen[[#This Row],[Verkaufspreis]]-aktuelleAnleihen[[#This Row],[Kaufpreis]]+aktuelleAnleihen[[#This Row],[Zinszahlungen]]</f>
        <v>-1.6483881056747123</v>
      </c>
      <c r="L259" s="4">
        <v>1656.6029000000001</v>
      </c>
      <c r="M259" s="7">
        <v>0.88500000000000001</v>
      </c>
      <c r="N259" s="61">
        <v>1.0723</v>
      </c>
      <c r="O259" s="1">
        <v>1.0891</v>
      </c>
      <c r="P259" s="1" t="s">
        <v>887</v>
      </c>
      <c r="Q259" s="30">
        <v>45412</v>
      </c>
      <c r="R259" s="1">
        <v>2</v>
      </c>
      <c r="S259" s="1">
        <v>1000</v>
      </c>
      <c r="T259" s="9">
        <v>45399</v>
      </c>
      <c r="U259" s="1">
        <v>4</v>
      </c>
      <c r="V259" s="62">
        <f>aktuelleAnleihen[[#This Row],[Stückelung]]*aktuelleAnleihen[[#This Row],[Anteile]]*aktuelleAnleihen[[#This Row],[Coupon]]/aktuelleAnleihen[[#This Row],[Aktueller Wechselkurs]]*($AC$1-aktuelleAnleihen[[#This Row],[Letzte Zinszahlung]])/365</f>
        <v>22.964795614828382</v>
      </c>
      <c r="W259" s="4">
        <v>5.9455</v>
      </c>
      <c r="X259" s="120" t="s">
        <v>1105</v>
      </c>
      <c r="Y259" s="120" t="s">
        <v>52</v>
      </c>
      <c r="Z259" s="1" t="s">
        <v>1329</v>
      </c>
      <c r="AA259" s="1" t="s">
        <v>1330</v>
      </c>
      <c r="AB259" s="3">
        <f>SUMIF('Zinszahlungen Anleihen'!K:K,aktuelleAnleihen[[#This Row],[ISIN]],'Zinszahlungen Anleihen'!D:D)</f>
        <v>0</v>
      </c>
      <c r="AE259" s="9"/>
      <c r="AF259" s="1"/>
      <c r="AI259" s="3"/>
      <c r="AJ259" s="1"/>
      <c r="AM259" s="10"/>
      <c r="AN259" s="1"/>
      <c r="AP259" s="7"/>
      <c r="AQ259" s="1"/>
    </row>
    <row r="260" spans="1:43" x14ac:dyDescent="0.2">
      <c r="A260" s="1" t="s">
        <v>1510</v>
      </c>
      <c r="B260" s="1" t="s">
        <v>2</v>
      </c>
      <c r="C260" s="7">
        <v>9.7500000000000003E-2</v>
      </c>
      <c r="D260" s="7">
        <v>1.06612</v>
      </c>
      <c r="E260" s="7">
        <f>aktuelleAnleihen[[#This Row],[Aktueller Kurs]]-aktuelleAnleihen[[#This Row],[Kaufkurs]]</f>
        <v>3.7199999999999456E-3</v>
      </c>
      <c r="F260" s="8">
        <f>aktuelleAnleihen[[#This Row],[Stückelung]]*aktuelleAnleihen[[#This Row],[Aktueller Kurs]]*aktuelleAnleihen[[#This Row],[Anteile]]/aktuelleAnleihen[[#This Row],[Aktueller Wechselkurs]]+aktuelleAnleihen[[#This Row],[Stückzinsen]]</f>
        <v>1990.6661652262833</v>
      </c>
      <c r="G260" s="8">
        <f>aktuelleAnleihen[[#This Row],[Kursdifferenz]]*aktuelleAnleihen[[#This Row],[Anteile]]*aktuelleAnleihen[[#This Row],[Stückelung]]/aktuelleAnleihen[[#This Row],[Wechselkurs am Kauftag]]</f>
        <v>6.9383568031333498</v>
      </c>
      <c r="H260" s="8">
        <f>aktuelleAnleihen[[#This Row],[Stückzinsen]]-aktuelleAnleihen[[#This Row],[Stückzinsen am Kauftag]]+aktuelleAnleihen[[#This Row],[Zinszahlungen]]</f>
        <v>18.417646862496749</v>
      </c>
      <c r="I260" s="8">
        <f>aktuelleAnleihen[[#This Row],[Gewinn gesamt]]-aktuelleAnleihen[[#This Row],[Gewinn aus Kursänderung]]-aktuelleAnleihen[[#This Row],[Gewinn aus Zinsen]]</f>
        <v>-30.673338439346864</v>
      </c>
      <c r="J260" s="7">
        <f>aktuelleAnleihen[[#This Row],[Gewinn gesamt]]/aktuelleAnleihen[[#This Row],[Kaufpreis]]</f>
        <v>-2.6640173998015342E-3</v>
      </c>
      <c r="K260" s="3">
        <f>aktuelleAnleihen[[#This Row],[Verkaufspreis]]-aktuelleAnleihen[[#This Row],[Kaufpreis]]+aktuelleAnleihen[[#This Row],[Zinszahlungen]]</f>
        <v>-5.317334773716766</v>
      </c>
      <c r="L260" s="4">
        <v>1995.9835</v>
      </c>
      <c r="M260" s="7">
        <v>1.0624</v>
      </c>
      <c r="N260" s="61">
        <v>1.0723</v>
      </c>
      <c r="O260" s="1">
        <v>1.0891</v>
      </c>
      <c r="P260" s="1" t="s">
        <v>887</v>
      </c>
      <c r="Q260" s="30">
        <v>45412</v>
      </c>
      <c r="R260" s="1">
        <v>2</v>
      </c>
      <c r="S260" s="1">
        <v>1000</v>
      </c>
      <c r="T260" s="9">
        <v>45383</v>
      </c>
      <c r="U260" s="1">
        <v>2</v>
      </c>
      <c r="V260" s="62">
        <f>aktuelleAnleihen[[#This Row],[Stückelung]]*aktuelleAnleihen[[#This Row],[Anteile]]*aktuelleAnleihen[[#This Row],[Coupon]]/aktuelleAnleihen[[#This Row],[Aktueller Wechselkurs]]*($AC$1-aktuelleAnleihen[[#This Row],[Letzte Zinszahlung]])/365</f>
        <v>32.866146862496748</v>
      </c>
      <c r="W260" s="4">
        <v>14.448499999999999</v>
      </c>
      <c r="X260" s="120" t="s">
        <v>276</v>
      </c>
      <c r="Y260" s="120" t="s">
        <v>1011</v>
      </c>
      <c r="Z260" s="1" t="s">
        <v>1511</v>
      </c>
      <c r="AA260" s="1" t="s">
        <v>1512</v>
      </c>
      <c r="AB260" s="3">
        <f>SUMIF('Zinszahlungen Anleihen'!K:K,aktuelleAnleihen[[#This Row],[ISIN]],'Zinszahlungen Anleihen'!D:D)</f>
        <v>0</v>
      </c>
      <c r="AE260" s="9"/>
      <c r="AF260" s="1"/>
      <c r="AI260" s="3"/>
      <c r="AJ260" s="1"/>
      <c r="AM260" s="10"/>
      <c r="AN260" s="1"/>
      <c r="AP260" s="7"/>
      <c r="AQ260" s="1"/>
    </row>
    <row r="261" spans="1:43" x14ac:dyDescent="0.2">
      <c r="A261" s="1" t="s">
        <v>257</v>
      </c>
      <c r="B261" s="1" t="s">
        <v>1</v>
      </c>
      <c r="C261" s="7">
        <v>9.5000000000000001E-2</v>
      </c>
      <c r="D261" s="7">
        <v>1.0024999999999999</v>
      </c>
      <c r="E261" s="7">
        <f>aktuelleAnleihen[[#This Row],[Aktueller Kurs]]-aktuelleAnleihen[[#This Row],[Kaufkurs]]</f>
        <v>3.7999999999999146E-3</v>
      </c>
      <c r="F261" s="8">
        <f>aktuelleAnleihen[[#This Row],[Stückelung]]*aktuelleAnleihen[[#This Row],[Aktueller Kurs]]*aktuelleAnleihen[[#This Row],[Anteile]]/aktuelleAnleihen[[#This Row],[Aktueller Wechselkurs]]+aktuelleAnleihen[[#This Row],[Stückzinsen]]</f>
        <v>2111.7123287671234</v>
      </c>
      <c r="G261" s="8">
        <f>aktuelleAnleihen[[#This Row],[Kursdifferenz]]*aktuelleAnleihen[[#This Row],[Anteile]]*aktuelleAnleihen[[#This Row],[Stückelung]]/aktuelleAnleihen[[#This Row],[Wechselkurs am Kauftag]]</f>
        <v>7.5999999999998291</v>
      </c>
      <c r="H261" s="8">
        <f>aktuelleAnleihen[[#This Row],[Stückzinsen]]-aktuelleAnleihen[[#This Row],[Stückzinsen am Kauftag]]+aktuelleAnleihen[[#This Row],[Zinszahlungen]]</f>
        <v>33.835628767123282</v>
      </c>
      <c r="I261" s="8">
        <f>aktuelleAnleihen[[#This Row],[Gewinn gesamt]]-aktuelleAnleihen[[#This Row],[Gewinn aus Kursänderung]]-aktuelleAnleihen[[#This Row],[Gewinn aus Zinsen]]</f>
        <v>3.765876499528531E-13</v>
      </c>
      <c r="J261" s="7">
        <f>aktuelleAnleihen[[#This Row],[Gewinn gesamt]]/aktuelleAnleihen[[#This Row],[Kaufpreis]]</f>
        <v>2.0014536591714281E-2</v>
      </c>
      <c r="K261" s="3">
        <f>aktuelleAnleihen[[#This Row],[Verkaufspreis]]-aktuelleAnleihen[[#This Row],[Kaufpreis]]+aktuelleAnleihen[[#This Row],[Zinszahlungen]]</f>
        <v>41.43562876712349</v>
      </c>
      <c r="L261" s="4">
        <v>2070.2766999999999</v>
      </c>
      <c r="M261" s="7">
        <v>0.99870000000000003</v>
      </c>
      <c r="N261" s="61">
        <v>1</v>
      </c>
      <c r="O261" s="1">
        <v>1</v>
      </c>
      <c r="P261" s="1" t="s">
        <v>925</v>
      </c>
      <c r="Q261" s="30">
        <v>45385</v>
      </c>
      <c r="R261" s="1">
        <v>2</v>
      </c>
      <c r="S261" s="1">
        <v>1000</v>
      </c>
      <c r="T261" s="9">
        <v>45245</v>
      </c>
      <c r="U261" s="1">
        <v>1</v>
      </c>
      <c r="V261" s="62">
        <f>aktuelleAnleihen[[#This Row],[Stückelung]]*aktuelleAnleihen[[#This Row],[Anteile]]*aktuelleAnleihen[[#This Row],[Coupon]]/aktuelleAnleihen[[#This Row],[Aktueller Wechselkurs]]*($AC$1-aktuelleAnleihen[[#This Row],[Letzte Zinszahlung]])/365</f>
        <v>106.71232876712328</v>
      </c>
      <c r="W261" s="4">
        <v>72.8767</v>
      </c>
      <c r="X261" s="120" t="s">
        <v>56</v>
      </c>
      <c r="Y261" s="120" t="s">
        <v>52</v>
      </c>
      <c r="Z261" s="1" t="s">
        <v>258</v>
      </c>
      <c r="AA261" s="1" t="s">
        <v>259</v>
      </c>
      <c r="AB261" s="3">
        <f>SUMIF('Zinszahlungen Anleihen'!K:K,aktuelleAnleihen[[#This Row],[ISIN]],'Zinszahlungen Anleihen'!D:D)</f>
        <v>0</v>
      </c>
      <c r="AE261" s="9"/>
      <c r="AF261" s="1"/>
      <c r="AI261" s="3"/>
      <c r="AJ261" s="1"/>
      <c r="AM261" s="10"/>
      <c r="AN261" s="1"/>
      <c r="AP261" s="7"/>
      <c r="AQ261" s="1"/>
    </row>
    <row r="262" spans="1:43" x14ac:dyDescent="0.2">
      <c r="A262" s="1" t="s">
        <v>1427</v>
      </c>
      <c r="B262" s="1" t="s">
        <v>0</v>
      </c>
      <c r="C262" s="7">
        <v>8.5069999999999993E-2</v>
      </c>
      <c r="D262" s="7">
        <v>0.99850000000000005</v>
      </c>
      <c r="E262" s="7">
        <f>aktuelleAnleihen[[#This Row],[Aktueller Kurs]]-aktuelleAnleihen[[#This Row],[Kaufkurs]]</f>
        <v>4.1000000000001036E-3</v>
      </c>
      <c r="F262" s="8">
        <f>aktuelleAnleihen[[#This Row],[Stückelung]]*aktuelleAnleihen[[#This Row],[Aktueller Kurs]]*aktuelleAnleihen[[#This Row],[Anteile]]/aktuelleAnleihen[[#This Row],[Aktueller Wechselkurs]]+aktuelleAnleihen[[#This Row],[Stückzinsen]]</f>
        <v>1881.9883201285968</v>
      </c>
      <c r="G262" s="8">
        <f>aktuelleAnleihen[[#This Row],[Kursdifferenz]]*aktuelleAnleihen[[#This Row],[Anteile]]*aktuelleAnleihen[[#This Row],[Stückelung]]/aktuelleAnleihen[[#This Row],[Wechselkurs am Kauftag]]</f>
        <v>7.6471136808730833</v>
      </c>
      <c r="H262" s="8">
        <f>aktuelleAnleihen[[#This Row],[Stückzinsen]]-aktuelleAnleihen[[#This Row],[Stückzinsen am Kauftag]]+aktuelleAnleihen[[#This Row],[Zinszahlungen]]</f>
        <v>15.76112684056082</v>
      </c>
      <c r="I262" s="8">
        <f>aktuelleAnleihen[[#This Row],[Gewinn gesamt]]-aktuelleAnleihen[[#This Row],[Gewinn aus Kursänderung]]-aktuelleAnleihen[[#This Row],[Gewinn aus Zinsen]]</f>
        <v>-28.727820392837124</v>
      </c>
      <c r="J262" s="7">
        <f>aktuelleAnleihen[[#This Row],[Gewinn gesamt]]/aktuelleAnleihen[[#This Row],[Kaufpreis]]</f>
        <v>-2.818607324964422E-3</v>
      </c>
      <c r="K262" s="3">
        <f>aktuelleAnleihen[[#This Row],[Verkaufspreis]]-aktuelleAnleihen[[#This Row],[Kaufpreis]]+aktuelleAnleihen[[#This Row],[Zinszahlungen]]</f>
        <v>-5.3195798714032207</v>
      </c>
      <c r="L262" s="4">
        <v>1887.3079</v>
      </c>
      <c r="M262" s="7">
        <v>0.99439999999999995</v>
      </c>
      <c r="N262" s="61">
        <v>1.0723</v>
      </c>
      <c r="O262" s="1">
        <v>1.0891</v>
      </c>
      <c r="P262" s="1" t="s">
        <v>887</v>
      </c>
      <c r="Q262" s="30">
        <v>45412</v>
      </c>
      <c r="R262" s="1">
        <v>2</v>
      </c>
      <c r="S262" s="1">
        <v>1000</v>
      </c>
      <c r="T262" s="9">
        <v>45337</v>
      </c>
      <c r="U262" s="1">
        <v>2</v>
      </c>
      <c r="V262" s="62">
        <f>aktuelleAnleihen[[#This Row],[Stückelung]]*aktuelleAnleihen[[#This Row],[Anteile]]*aktuelleAnleihen[[#This Row],[Coupon]]/aktuelleAnleihen[[#This Row],[Aktueller Wechselkurs]]*($AC$1-aktuelleAnleihen[[#This Row],[Letzte Zinszahlung]])/365</f>
        <v>48.364226840560818</v>
      </c>
      <c r="W262" s="4">
        <v>32.603099999999998</v>
      </c>
      <c r="X262" s="120" t="s">
        <v>276</v>
      </c>
      <c r="Y262" s="120" t="s">
        <v>61</v>
      </c>
      <c r="Z262" s="1" t="s">
        <v>1428</v>
      </c>
      <c r="AA262" s="1" t="s">
        <v>1429</v>
      </c>
      <c r="AB262" s="3">
        <f>SUMIF('Zinszahlungen Anleihen'!K:K,aktuelleAnleihen[[#This Row],[ISIN]],'Zinszahlungen Anleihen'!D:D)</f>
        <v>0</v>
      </c>
      <c r="AE262" s="9"/>
      <c r="AF262" s="1"/>
      <c r="AI262" s="3"/>
      <c r="AJ262" s="1"/>
      <c r="AM262" s="10"/>
      <c r="AN262" s="1"/>
      <c r="AP262" s="7"/>
      <c r="AQ262" s="1"/>
    </row>
    <row r="263" spans="1:43" x14ac:dyDescent="0.2">
      <c r="A263" s="1" t="s">
        <v>1871</v>
      </c>
      <c r="B263" s="1" t="s">
        <v>4</v>
      </c>
      <c r="C263" s="7">
        <v>9.2499999999999999E-2</v>
      </c>
      <c r="D263" s="7">
        <v>1.002</v>
      </c>
      <c r="E263" s="7">
        <f>aktuelleAnleihen[[#This Row],[Aktueller Kurs]]-aktuelleAnleihen[[#This Row],[Kaufkurs]]</f>
        <v>4.2999999999999705E-3</v>
      </c>
      <c r="F263" s="8">
        <f>aktuelleAnleihen[[#This Row],[Stückelung]]*aktuelleAnleihen[[#This Row],[Aktueller Kurs]]*aktuelleAnleihen[[#This Row],[Anteile]]/aktuelleAnleihen[[#This Row],[Aktueller Wechselkurs]]+aktuelleAnleihen[[#This Row],[Stückzinsen]]</f>
        <v>1841.4475695025301</v>
      </c>
      <c r="G263" s="8">
        <f>aktuelleAnleihen[[#This Row],[Kursdifferenz]]*aktuelleAnleihen[[#This Row],[Anteile]]*aktuelleAnleihen[[#This Row],[Stückelung]]/aktuelleAnleihen[[#This Row],[Wechselkurs am Kauftag]]</f>
        <v>7.9044117647058272</v>
      </c>
      <c r="H263" s="8">
        <f>aktuelleAnleihen[[#This Row],[Stückzinsen]]-aktuelleAnleihen[[#This Row],[Stückzinsen am Kauftag]]+aktuelleAnleihen[[#This Row],[Zinszahlungen]]</f>
        <v>0.93025090001421296</v>
      </c>
      <c r="I263" s="8">
        <f>aktuelleAnleihen[[#This Row],[Gewinn gesamt]]-aktuelleAnleihen[[#This Row],[Gewinn aus Kursänderung]]-aktuelleAnleihen[[#This Row],[Gewinn aus Zinsen]]</f>
        <v>-1.8602931621898597</v>
      </c>
      <c r="J263" s="7">
        <f>aktuelleAnleihen[[#This Row],[Gewinn gesamt]]/aktuelleAnleihen[[#This Row],[Kaufpreis]]</f>
        <v>3.8018377714813065E-3</v>
      </c>
      <c r="K263" s="3">
        <f>aktuelleAnleihen[[#This Row],[Verkaufspreis]]-aktuelleAnleihen[[#This Row],[Kaufpreis]]+aktuelleAnleihen[[#This Row],[Zinszahlungen]]</f>
        <v>6.9743695025301804</v>
      </c>
      <c r="L263" s="4">
        <v>1834.4731999999999</v>
      </c>
      <c r="M263" s="7">
        <v>0.99770000000000003</v>
      </c>
      <c r="N263" s="61">
        <v>1.0880000000000001</v>
      </c>
      <c r="O263" s="1">
        <v>1.0891</v>
      </c>
      <c r="P263" s="1" t="s">
        <v>887</v>
      </c>
      <c r="Q263" s="30">
        <v>45448</v>
      </c>
      <c r="R263" s="1">
        <v>2</v>
      </c>
      <c r="S263" s="1">
        <v>1000</v>
      </c>
      <c r="T263" s="9">
        <v>45447</v>
      </c>
      <c r="U263" s="1">
        <v>4</v>
      </c>
      <c r="V263" s="62">
        <f>aktuelleAnleihen[[#This Row],[Stückelung]]*aktuelleAnleihen[[#This Row],[Anteile]]*aktuelleAnleihen[[#This Row],[Coupon]]/aktuelleAnleihen[[#This Row],[Aktueller Wechselkurs]]*($AC$1-aktuelleAnleihen[[#This Row],[Letzte Zinszahlung]])/365</f>
        <v>1.3961509000142129</v>
      </c>
      <c r="W263" s="4">
        <v>0.46589999999999998</v>
      </c>
      <c r="X263" s="120" t="s">
        <v>78</v>
      </c>
      <c r="Y263" s="120" t="s">
        <v>39</v>
      </c>
      <c r="Z263" s="1" t="s">
        <v>1872</v>
      </c>
      <c r="AA263" s="1" t="s">
        <v>1873</v>
      </c>
      <c r="AB263" s="3">
        <f>SUMIF('Zinszahlungen Anleihen'!K:K,aktuelleAnleihen[[#This Row],[ISIN]],'Zinszahlungen Anleihen'!D:D)</f>
        <v>0</v>
      </c>
      <c r="AE263" s="9"/>
      <c r="AF263" s="1"/>
      <c r="AI263" s="3"/>
      <c r="AJ263" s="1"/>
      <c r="AM263" s="10"/>
      <c r="AN263" s="1"/>
      <c r="AP263" s="7"/>
      <c r="AQ263" s="1"/>
    </row>
    <row r="264" spans="1:43" x14ac:dyDescent="0.2">
      <c r="A264" s="1" t="s">
        <v>1347</v>
      </c>
      <c r="B264" s="1" t="s">
        <v>2</v>
      </c>
      <c r="C264" s="7">
        <v>8.5000000000000006E-2</v>
      </c>
      <c r="D264" s="7">
        <v>1.06515</v>
      </c>
      <c r="E264" s="7">
        <f>aktuelleAnleihen[[#This Row],[Aktueller Kurs]]-aktuelleAnleihen[[#This Row],[Kaufkurs]]</f>
        <v>4.250000000000087E-3</v>
      </c>
      <c r="F264" s="8">
        <f>aktuelleAnleihen[[#This Row],[Stückelung]]*aktuelleAnleihen[[#This Row],[Aktueller Kurs]]*aktuelleAnleihen[[#This Row],[Anteile]]/aktuelleAnleihen[[#This Row],[Aktueller Wechselkurs]]+aktuelleAnleihen[[#This Row],[Stückzinsen]]</f>
        <v>2017.6003058954047</v>
      </c>
      <c r="G264" s="8">
        <f>aktuelleAnleihen[[#This Row],[Kursdifferenz]]*aktuelleAnleihen[[#This Row],[Anteile]]*aktuelleAnleihen[[#This Row],[Stückelung]]/aktuelleAnleihen[[#This Row],[Wechselkurs am Kauftag]]</f>
        <v>7.9268861326123039</v>
      </c>
      <c r="H264" s="8">
        <f>aktuelleAnleihen[[#This Row],[Stückzinsen]]-aktuelleAnleihen[[#This Row],[Stückzinsen am Kauftag]]+aktuelleAnleihen[[#This Row],[Zinszahlungen]]</f>
        <v>15.540474833059342</v>
      </c>
      <c r="I264" s="8">
        <f>aktuelleAnleihen[[#This Row],[Gewinn gesamt]]-aktuelleAnleihen[[#This Row],[Gewinn aus Kursänderung]]-aktuelleAnleihen[[#This Row],[Gewinn aus Zinsen]]</f>
        <v>-30.64545507026682</v>
      </c>
      <c r="J264" s="7">
        <f>aktuelleAnleihen[[#This Row],[Gewinn gesamt]]/aktuelleAnleihen[[#This Row],[Kaufpreis]]</f>
        <v>-3.5451257799842071E-3</v>
      </c>
      <c r="K264" s="3">
        <f>aktuelleAnleihen[[#This Row],[Verkaufspreis]]-aktuelleAnleihen[[#This Row],[Kaufpreis]]+aktuelleAnleihen[[#This Row],[Zinszahlungen]]</f>
        <v>-7.1780941045951749</v>
      </c>
      <c r="L264" s="4">
        <v>2024.7783999999999</v>
      </c>
      <c r="M264" s="7">
        <v>1.0609</v>
      </c>
      <c r="N264" s="61">
        <v>1.0723</v>
      </c>
      <c r="O264" s="1">
        <v>1.0891</v>
      </c>
      <c r="P264" s="1" t="s">
        <v>887</v>
      </c>
      <c r="Q264" s="30">
        <v>45412</v>
      </c>
      <c r="R264" s="1">
        <v>2</v>
      </c>
      <c r="S264" s="1">
        <v>1000</v>
      </c>
      <c r="T264" s="9">
        <v>45306</v>
      </c>
      <c r="U264" s="1">
        <v>2</v>
      </c>
      <c r="V264" s="62">
        <f>aktuelleAnleihen[[#This Row],[Stückelung]]*aktuelleAnleihen[[#This Row],[Anteile]]*aktuelleAnleihen[[#This Row],[Coupon]]/aktuelleAnleihen[[#This Row],[Aktueller Wechselkurs]]*($AC$1-aktuelleAnleihen[[#This Row],[Letzte Zinszahlung]])/365</f>
        <v>61.581574833059342</v>
      </c>
      <c r="W264" s="4">
        <v>46.0411</v>
      </c>
      <c r="X264" s="120" t="s">
        <v>276</v>
      </c>
      <c r="Y264" s="120" t="s">
        <v>109</v>
      </c>
      <c r="Z264" s="1" t="s">
        <v>1441</v>
      </c>
      <c r="AA264" s="1" t="s">
        <v>1442</v>
      </c>
      <c r="AB264" s="3">
        <f>SUMIF('Zinszahlungen Anleihen'!K:K,aktuelleAnleihen[[#This Row],[ISIN]],'Zinszahlungen Anleihen'!D:D)</f>
        <v>0</v>
      </c>
      <c r="AE264" s="9"/>
      <c r="AF264" s="1"/>
      <c r="AI264" s="3"/>
      <c r="AJ264" s="1"/>
      <c r="AM264" s="10"/>
      <c r="AN264" s="1"/>
      <c r="AP264" s="7"/>
      <c r="AQ264" s="1"/>
    </row>
    <row r="265" spans="1:43" x14ac:dyDescent="0.2">
      <c r="A265" s="1" t="s">
        <v>1283</v>
      </c>
      <c r="B265" s="1" t="s">
        <v>4</v>
      </c>
      <c r="C265" s="7">
        <v>9.1249999999999998E-2</v>
      </c>
      <c r="D265" s="7">
        <v>1.0287999999999999</v>
      </c>
      <c r="E265" s="7">
        <f>aktuelleAnleihen[[#This Row],[Aktueller Kurs]]-aktuelleAnleihen[[#This Row],[Kaufkurs]]</f>
        <v>4.2999999999999705E-3</v>
      </c>
      <c r="F265" s="8">
        <f>aktuelleAnleihen[[#This Row],[Stückelung]]*aktuelleAnleihen[[#This Row],[Aktueller Kurs]]*aktuelleAnleihen[[#This Row],[Anteile]]/aktuelleAnleihen[[#This Row],[Aktueller Wechselkurs]]+aktuelleAnleihen[[#This Row],[Stückzinsen]]</f>
        <v>1906.7119640069782</v>
      </c>
      <c r="G265" s="8">
        <f>aktuelleAnleihen[[#This Row],[Kursdifferenz]]*aktuelleAnleihen[[#This Row],[Anteile]]*aktuelleAnleihen[[#This Row],[Stückelung]]/aktuelleAnleihen[[#This Row],[Wechselkurs am Kauftag]]</f>
        <v>8.0201436165251714</v>
      </c>
      <c r="H265" s="8">
        <f>aktuelleAnleihen[[#This Row],[Stückzinsen]]-aktuelleAnleihen[[#This Row],[Stückzinsen am Kauftag]]+aktuelleAnleihen[[#This Row],[Zinszahlungen]]</f>
        <v>17.445597282159582</v>
      </c>
      <c r="I265" s="8">
        <f>aktuelleAnleihen[[#This Row],[Gewinn gesamt]]-aktuelleAnleihen[[#This Row],[Gewinn aus Kursänderung]]-aktuelleAnleihen[[#This Row],[Gewinn aus Zinsen]]</f>
        <v>-29.599576891706629</v>
      </c>
      <c r="J265" s="7">
        <f>aktuelleAnleihen[[#This Row],[Gewinn gesamt]]/aktuelleAnleihen[[#This Row],[Kaufpreis]]</f>
        <v>-2.1633540461621107E-3</v>
      </c>
      <c r="K265" s="3">
        <f>aktuelleAnleihen[[#This Row],[Verkaufspreis]]-aktuelleAnleihen[[#This Row],[Kaufpreis]]+aktuelleAnleihen[[#This Row],[Zinszahlungen]]</f>
        <v>-4.1338359930218758</v>
      </c>
      <c r="L265" s="4">
        <v>1910.8458000000001</v>
      </c>
      <c r="M265" s="7">
        <v>1.0245</v>
      </c>
      <c r="N265" s="61">
        <v>1.0723</v>
      </c>
      <c r="O265" s="1">
        <v>1.0891</v>
      </c>
      <c r="P265" s="1" t="s">
        <v>887</v>
      </c>
      <c r="Q265" s="30">
        <v>45412</v>
      </c>
      <c r="R265" s="1">
        <v>2</v>
      </c>
      <c r="S265" s="1">
        <v>1000</v>
      </c>
      <c r="T265" s="9">
        <v>45412</v>
      </c>
      <c r="U265" s="1">
        <v>2</v>
      </c>
      <c r="V265" s="62">
        <f>aktuelleAnleihen[[#This Row],[Stückelung]]*aktuelleAnleihen[[#This Row],[Anteile]]*aktuelleAnleihen[[#This Row],[Coupon]]/aktuelleAnleihen[[#This Row],[Aktueller Wechselkurs]]*($AC$1-aktuelleAnleihen[[#This Row],[Letzte Zinszahlung]])/365</f>
        <v>17.445597282159582</v>
      </c>
      <c r="W265" s="4">
        <v>0</v>
      </c>
      <c r="X265" s="120" t="s">
        <v>122</v>
      </c>
      <c r="Y265" s="120" t="s">
        <v>52</v>
      </c>
      <c r="Z265" s="1" t="s">
        <v>1284</v>
      </c>
      <c r="AA265" s="1" t="s">
        <v>1285</v>
      </c>
      <c r="AB265" s="3">
        <f>SUMIF('Zinszahlungen Anleihen'!K:K,aktuelleAnleihen[[#This Row],[ISIN]],'Zinszahlungen Anleihen'!D:D)</f>
        <v>0</v>
      </c>
      <c r="AE265" s="9"/>
      <c r="AF265" s="1"/>
      <c r="AI265" s="3"/>
      <c r="AJ265" s="1"/>
      <c r="AM265" s="10"/>
      <c r="AN265" s="1"/>
      <c r="AP265" s="7"/>
      <c r="AQ265" s="1"/>
    </row>
    <row r="266" spans="1:43" x14ac:dyDescent="0.2">
      <c r="A266" s="1" t="s">
        <v>1732</v>
      </c>
      <c r="B266" s="1" t="s">
        <v>10</v>
      </c>
      <c r="C266" s="7">
        <v>0.08</v>
      </c>
      <c r="D266" s="7">
        <v>1.0098499999999999</v>
      </c>
      <c r="E266" s="7">
        <f>aktuelleAnleihen[[#This Row],[Aktueller Kurs]]-aktuelleAnleihen[[#This Row],[Kaufkurs]]</f>
        <v>4.449999999999843E-3</v>
      </c>
      <c r="F266" s="8">
        <f>aktuelleAnleihen[[#This Row],[Stückelung]]*aktuelleAnleihen[[#This Row],[Aktueller Kurs]]*aktuelleAnleihen[[#This Row],[Anteile]]/aktuelleAnleihen[[#This Row],[Aktueller Wechselkurs]]+aktuelleAnleihen[[#This Row],[Stückzinsen]]</f>
        <v>1869.3592673603816</v>
      </c>
      <c r="G266" s="8">
        <f>aktuelleAnleihen[[#This Row],[Kursdifferenz]]*aktuelleAnleihen[[#This Row],[Anteile]]*aktuelleAnleihen[[#This Row],[Stückelung]]/aktuelleAnleihen[[#This Row],[Wechselkurs am Kauftag]]</f>
        <v>8.299916068264185</v>
      </c>
      <c r="H266" s="8">
        <f>aktuelleAnleihen[[#This Row],[Stückzinsen]]-aktuelleAnleihen[[#This Row],[Stückzinsen am Kauftag]]+aktuelleAnleihen[[#This Row],[Zinszahlungen]]</f>
        <v>15.57510400881398</v>
      </c>
      <c r="I266" s="8">
        <f>aktuelleAnleihen[[#This Row],[Gewinn gesamt]]-aktuelleAnleihen[[#This Row],[Gewinn aus Kursänderung]]-aktuelleAnleihen[[#This Row],[Gewinn aus Zinsen]]</f>
        <v>-29.054424974700911</v>
      </c>
      <c r="J266" s="7">
        <f>aktuelleAnleihen[[#This Row],[Gewinn gesamt]]/aktuelleAnleihen[[#This Row],[Kaufpreis]]</f>
        <v>-2.6571757131182271E-3</v>
      </c>
      <c r="K266" s="3">
        <f>aktuelleAnleihen[[#This Row],[Verkaufspreis]]-aktuelleAnleihen[[#This Row],[Kaufpreis]]+aktuelleAnleihen[[#This Row],[Zinszahlungen]]</f>
        <v>-5.1794048976227458</v>
      </c>
      <c r="L266" s="4">
        <v>1949.2143000000001</v>
      </c>
      <c r="M266" s="7">
        <v>1.0054000000000001</v>
      </c>
      <c r="N266" s="61">
        <v>1.0723</v>
      </c>
      <c r="O266" s="1">
        <v>1.0891</v>
      </c>
      <c r="P266" s="1" t="s">
        <v>887</v>
      </c>
      <c r="Q266" s="30">
        <v>45412</v>
      </c>
      <c r="R266" s="1">
        <v>2</v>
      </c>
      <c r="S266" s="1">
        <v>1000</v>
      </c>
      <c r="T266" s="9">
        <v>45413</v>
      </c>
      <c r="U266" s="1">
        <v>2</v>
      </c>
      <c r="V266" s="62">
        <f>aktuelleAnleihen[[#This Row],[Stückelung]]*aktuelleAnleihen[[#This Row],[Anteile]]*aktuelleAnleihen[[#This Row],[Coupon]]/aktuelleAnleihen[[#This Row],[Aktueller Wechselkurs]]*($AC$1-aktuelleAnleihen[[#This Row],[Letzte Zinszahlung]])/365</f>
        <v>14.892276266818275</v>
      </c>
      <c r="W266" s="4">
        <v>73.992800000000003</v>
      </c>
      <c r="X266" s="120" t="s">
        <v>276</v>
      </c>
      <c r="Y266" s="120" t="s">
        <v>61</v>
      </c>
      <c r="Z266" s="1" t="s">
        <v>1733</v>
      </c>
      <c r="AA266" s="1" t="s">
        <v>1734</v>
      </c>
      <c r="AB266" s="3">
        <f>SUMIF('Zinszahlungen Anleihen'!K:K,aktuelleAnleihen[[#This Row],[ISIN]],'Zinszahlungen Anleihen'!D:D)</f>
        <v>74.675627741995712</v>
      </c>
      <c r="AE266" s="9"/>
      <c r="AF266" s="1"/>
      <c r="AI266" s="3"/>
      <c r="AJ266" s="1"/>
      <c r="AM266" s="10"/>
      <c r="AN266" s="1"/>
      <c r="AP266" s="7"/>
      <c r="AQ266" s="1"/>
    </row>
    <row r="267" spans="1:43" x14ac:dyDescent="0.2">
      <c r="A267" s="1" t="s">
        <v>604</v>
      </c>
      <c r="B267" s="1" t="s">
        <v>0</v>
      </c>
      <c r="C267" s="7">
        <v>7.2499999999999995E-2</v>
      </c>
      <c r="D267" s="7">
        <v>0.99251</v>
      </c>
      <c r="E267" s="7">
        <f>aktuelleAnleihen[[#This Row],[Aktueller Kurs]]-aktuelleAnleihen[[#This Row],[Kaufkurs]]</f>
        <v>4.210000000000047E-3</v>
      </c>
      <c r="F267" s="8">
        <f>aktuelleAnleihen[[#This Row],[Stückelung]]*aktuelleAnleihen[[#This Row],[Aktueller Kurs]]*aktuelleAnleihen[[#This Row],[Anteile]]/aktuelleAnleihen[[#This Row],[Aktueller Wechselkurs]]+aktuelleAnleihen[[#This Row],[Stückzinsen]]</f>
        <v>2042.2254794520547</v>
      </c>
      <c r="G267" s="8">
        <f>aktuelleAnleihen[[#This Row],[Kursdifferenz]]*aktuelleAnleihen[[#This Row],[Anteile]]*aktuelleAnleihen[[#This Row],[Stückelung]]/aktuelleAnleihen[[#This Row],[Wechselkurs am Kauftag]]</f>
        <v>8.4200000000000941</v>
      </c>
      <c r="H267" s="8">
        <f>aktuelleAnleihen[[#This Row],[Stückzinsen]]-aktuelleAnleihen[[#This Row],[Stückzinsen am Kauftag]]+aktuelleAnleihen[[#This Row],[Zinszahlungen]]</f>
        <v>25.821879452054795</v>
      </c>
      <c r="I267" s="8">
        <f>aktuelleAnleihen[[#This Row],[Gewinn gesamt]]-aktuelleAnleihen[[#This Row],[Gewinn aus Kursänderung]]-aktuelleAnleihen[[#This Row],[Gewinn aus Zinsen]]</f>
        <v>-1.7053025658242404E-13</v>
      </c>
      <c r="J267" s="7">
        <f>aktuelleAnleihen[[#This Row],[Gewinn gesamt]]/aktuelleAnleihen[[#This Row],[Kaufpreis]]</f>
        <v>1.7052868087196887E-2</v>
      </c>
      <c r="K267" s="3">
        <f>aktuelleAnleihen[[#This Row],[Verkaufspreis]]-aktuelleAnleihen[[#This Row],[Kaufpreis]]+aktuelleAnleihen[[#This Row],[Zinszahlungen]]</f>
        <v>34.241879452054718</v>
      </c>
      <c r="L267" s="4">
        <v>2007.9836</v>
      </c>
      <c r="M267" s="7">
        <v>0.98829999999999996</v>
      </c>
      <c r="N267" s="61">
        <v>1</v>
      </c>
      <c r="O267" s="1">
        <v>1</v>
      </c>
      <c r="P267" s="1" t="s">
        <v>925</v>
      </c>
      <c r="Q267" s="30">
        <v>45385</v>
      </c>
      <c r="R267" s="1">
        <v>2000</v>
      </c>
      <c r="S267" s="1">
        <v>1</v>
      </c>
      <c r="T267" s="9">
        <v>45306</v>
      </c>
      <c r="U267" s="1">
        <v>2</v>
      </c>
      <c r="V267" s="62">
        <f>aktuelleAnleihen[[#This Row],[Stückelung]]*aktuelleAnleihen[[#This Row],[Anteile]]*aktuelleAnleihen[[#This Row],[Coupon]]/aktuelleAnleihen[[#This Row],[Aktueller Wechselkurs]]*($AC$1-aktuelleAnleihen[[#This Row],[Letzte Zinszahlung]])/365</f>
        <v>57.205479452054796</v>
      </c>
      <c r="W267" s="4">
        <v>31.383600000000001</v>
      </c>
      <c r="X267" s="120" t="s">
        <v>35</v>
      </c>
      <c r="Y267" s="120" t="s">
        <v>268</v>
      </c>
      <c r="Z267" s="1" t="s">
        <v>605</v>
      </c>
      <c r="AA267" s="1" t="s">
        <v>606</v>
      </c>
      <c r="AB267" s="3">
        <f>SUMIF('Zinszahlungen Anleihen'!K:K,aktuelleAnleihen[[#This Row],[ISIN]],'Zinszahlungen Anleihen'!D:D)</f>
        <v>0</v>
      </c>
      <c r="AE267" s="9"/>
      <c r="AF267" s="1"/>
      <c r="AI267" s="3"/>
      <c r="AJ267" s="1"/>
      <c r="AM267" s="10"/>
      <c r="AN267" s="1"/>
      <c r="AP267" s="7"/>
      <c r="AQ267" s="1"/>
    </row>
    <row r="268" spans="1:43" x14ac:dyDescent="0.2">
      <c r="A268" s="1" t="s">
        <v>1554</v>
      </c>
      <c r="B268" s="1" t="s">
        <v>2</v>
      </c>
      <c r="C268" s="7">
        <v>8.6249999999999993E-2</v>
      </c>
      <c r="D268" s="7">
        <v>1.0192000000000001</v>
      </c>
      <c r="E268" s="7">
        <f>aktuelleAnleihen[[#This Row],[Aktueller Kurs]]-aktuelleAnleihen[[#This Row],[Kaufkurs]]</f>
        <v>4.7000000000001485E-3</v>
      </c>
      <c r="F268" s="8">
        <f>aktuelleAnleihen[[#This Row],[Stückelung]]*aktuelleAnleihen[[#This Row],[Aktueller Kurs]]*aktuelleAnleihen[[#This Row],[Anteile]]/aktuelleAnleihen[[#This Row],[Aktueller Wechselkurs]]+aktuelleAnleihen[[#This Row],[Stückzinsen]]</f>
        <v>1887.2589281334472</v>
      </c>
      <c r="G268" s="8">
        <f>aktuelleAnleihen[[#This Row],[Kursdifferenz]]*aktuelleAnleihen[[#This Row],[Anteile]]*aktuelleAnleihen[[#This Row],[Stückelung]]/aktuelleAnleihen[[#This Row],[Wechselkurs am Kauftag]]</f>
        <v>8.7662034878301753</v>
      </c>
      <c r="H268" s="8">
        <f>aktuelleAnleihen[[#This Row],[Stückzinsen]]-aktuelleAnleihen[[#This Row],[Stückzinsen am Kauftag]]+aktuelleAnleihen[[#This Row],[Zinszahlungen]]</f>
        <v>16.716176004882961</v>
      </c>
      <c r="I268" s="8">
        <f>aktuelleAnleihen[[#This Row],[Gewinn gesamt]]-aktuelleAnleihen[[#This Row],[Gewinn aus Kursänderung]]-aktuelleAnleihen[[#This Row],[Gewinn aus Zinsen]]</f>
        <v>-29.32347191129881</v>
      </c>
      <c r="J268" s="7">
        <f>aktuelleAnleihen[[#This Row],[Gewinn gesamt]]/aktuelleAnleihen[[#This Row],[Kaufpreis]]</f>
        <v>-1.9482828405380146E-3</v>
      </c>
      <c r="K268" s="3">
        <f>aktuelleAnleihen[[#This Row],[Verkaufspreis]]-aktuelleAnleihen[[#This Row],[Kaufpreis]]+aktuelleAnleihen[[#This Row],[Zinszahlungen]]</f>
        <v>-3.8410924185856743</v>
      </c>
      <c r="L268" s="4">
        <v>1971.5271</v>
      </c>
      <c r="M268" s="7">
        <v>1.0145</v>
      </c>
      <c r="N268" s="61">
        <v>1.0723</v>
      </c>
      <c r="O268" s="1">
        <v>1.0891</v>
      </c>
      <c r="P268" s="1" t="s">
        <v>887</v>
      </c>
      <c r="Q268" s="30">
        <v>45412</v>
      </c>
      <c r="R268" s="1">
        <v>2</v>
      </c>
      <c r="S268" s="1">
        <v>1000</v>
      </c>
      <c r="T268" s="9">
        <v>45414</v>
      </c>
      <c r="U268" s="1">
        <v>2</v>
      </c>
      <c r="V268" s="62">
        <f>aktuelleAnleihen[[#This Row],[Stückelung]]*aktuelleAnleihen[[#This Row],[Anteile]]*aktuelleAnleihen[[#This Row],[Coupon]]/aktuelleAnleihen[[#This Row],[Aktueller Wechselkurs]]*($AC$1-aktuelleAnleihen[[#This Row],[Letzte Zinszahlung]])/365</f>
        <v>15.621796556915791</v>
      </c>
      <c r="W268" s="4">
        <v>79.332700000000003</v>
      </c>
      <c r="X268" s="120" t="s">
        <v>65</v>
      </c>
      <c r="Y268" s="120" t="s">
        <v>52</v>
      </c>
      <c r="Z268" s="1" t="s">
        <v>1555</v>
      </c>
      <c r="AA268" s="1" t="s">
        <v>1556</v>
      </c>
      <c r="AB268" s="3">
        <f>SUMIF('Zinszahlungen Anleihen'!K:K,aktuelleAnleihen[[#This Row],[ISIN]],'Zinszahlungen Anleihen'!D:D)</f>
        <v>80.427079447967174</v>
      </c>
      <c r="AE268" s="9"/>
      <c r="AF268" s="1"/>
      <c r="AI268" s="3"/>
      <c r="AJ268" s="1"/>
      <c r="AM268" s="10"/>
      <c r="AN268" s="1"/>
      <c r="AP268" s="7"/>
      <c r="AQ268" s="1"/>
    </row>
    <row r="269" spans="1:43" x14ac:dyDescent="0.2">
      <c r="A269" s="1" t="s">
        <v>745</v>
      </c>
      <c r="B269" s="1" t="s">
        <v>3</v>
      </c>
      <c r="C269" s="7">
        <v>6.5000000000000002E-2</v>
      </c>
      <c r="D269" s="7">
        <v>0.99450000000000005</v>
      </c>
      <c r="E269" s="7">
        <f>aktuelleAnleihen[[#This Row],[Aktueller Kurs]]-aktuelleAnleihen[[#This Row],[Kaufkurs]]</f>
        <v>4.5000000000000595E-3</v>
      </c>
      <c r="F269" s="8">
        <f>aktuelleAnleihen[[#This Row],[Stückelung]]*aktuelleAnleihen[[#This Row],[Aktueller Kurs]]*aktuelleAnleihen[[#This Row],[Anteile]]/aktuelleAnleihen[[#This Row],[Aktueller Wechselkurs]]+aktuelleAnleihen[[#This Row],[Stückzinsen]]</f>
        <v>2088.7260273972602</v>
      </c>
      <c r="G269" s="8">
        <f>aktuelleAnleihen[[#This Row],[Kursdifferenz]]*aktuelleAnleihen[[#This Row],[Anteile]]*aktuelleAnleihen[[#This Row],[Stückelung]]/aktuelleAnleihen[[#This Row],[Wechselkurs am Kauftag]]</f>
        <v>9.000000000000119</v>
      </c>
      <c r="H269" s="8">
        <f>aktuelleAnleihen[[#This Row],[Stückzinsen]]-aktuelleAnleihen[[#This Row],[Stückzinsen am Kauftag]]+aktuelleAnleihen[[#This Row],[Zinszahlungen]]</f>
        <v>23.150727397260269</v>
      </c>
      <c r="I269" s="8">
        <f>aktuelleAnleihen[[#This Row],[Gewinn gesamt]]-aktuelleAnleihen[[#This Row],[Gewinn aus Kursänderung]]-aktuelleAnleihen[[#This Row],[Gewinn aus Zinsen]]</f>
        <v>-1.9184653865522705E-13</v>
      </c>
      <c r="J269" s="7">
        <f>aktuelleAnleihen[[#This Row],[Gewinn gesamt]]/aktuelleAnleihen[[#This Row],[Kaufpreis]]</f>
        <v>1.5633138936006961E-2</v>
      </c>
      <c r="K269" s="3">
        <f>aktuelleAnleihen[[#This Row],[Verkaufspreis]]-aktuelleAnleihen[[#This Row],[Kaufpreis]]+aktuelleAnleihen[[#This Row],[Zinszahlungen]]</f>
        <v>32.150727397260198</v>
      </c>
      <c r="L269" s="4">
        <v>2056.5753</v>
      </c>
      <c r="M269" s="7">
        <v>0.99</v>
      </c>
      <c r="N269" s="61">
        <v>1</v>
      </c>
      <c r="O269" s="1">
        <v>1</v>
      </c>
      <c r="P269" s="1" t="s">
        <v>925</v>
      </c>
      <c r="Q269" s="30">
        <v>45385</v>
      </c>
      <c r="R269" s="1">
        <v>2</v>
      </c>
      <c r="S269" s="1">
        <v>1000</v>
      </c>
      <c r="T269" s="9">
        <v>45170</v>
      </c>
      <c r="U269" s="1">
        <v>1</v>
      </c>
      <c r="V269" s="62">
        <f>aktuelleAnleihen[[#This Row],[Stückelung]]*aktuelleAnleihen[[#This Row],[Anteile]]*aktuelleAnleihen[[#This Row],[Coupon]]/aktuelleAnleihen[[#This Row],[Aktueller Wechselkurs]]*($AC$1-aktuelleAnleihen[[#This Row],[Letzte Zinszahlung]])/365</f>
        <v>99.726027397260268</v>
      </c>
      <c r="W269" s="4">
        <v>76.575299999999999</v>
      </c>
      <c r="X269" s="120" t="s">
        <v>56</v>
      </c>
      <c r="Y269" s="120" t="s">
        <v>81</v>
      </c>
      <c r="Z269" s="1" t="s">
        <v>746</v>
      </c>
      <c r="AA269" s="1" t="s">
        <v>747</v>
      </c>
      <c r="AB269" s="3">
        <f>SUMIF('Zinszahlungen Anleihen'!K:K,aktuelleAnleihen[[#This Row],[ISIN]],'Zinszahlungen Anleihen'!D:D)</f>
        <v>0</v>
      </c>
      <c r="AE269" s="9"/>
      <c r="AF269" s="1"/>
      <c r="AI269" s="3"/>
      <c r="AJ269" s="1"/>
      <c r="AM269" s="10"/>
      <c r="AN269" s="1"/>
      <c r="AP269" s="7"/>
      <c r="AQ269" s="1"/>
    </row>
    <row r="270" spans="1:43" x14ac:dyDescent="0.2">
      <c r="A270" s="1" t="s">
        <v>1659</v>
      </c>
      <c r="B270" s="1" t="s">
        <v>0</v>
      </c>
      <c r="C270" s="7">
        <v>8.1509999999999999E-2</v>
      </c>
      <c r="D270" s="7">
        <v>1.0781999999999998</v>
      </c>
      <c r="E270" s="7">
        <f>aktuelleAnleihen[[#This Row],[Aktueller Kurs]]-aktuelleAnleihen[[#This Row],[Kaufkurs]]</f>
        <v>4.8999999999999044E-3</v>
      </c>
      <c r="F270" s="8">
        <f>aktuelleAnleihen[[#This Row],[Stückelung]]*aktuelleAnleihen[[#This Row],[Aktueller Kurs]]*aktuelleAnleihen[[#This Row],[Anteile]]/aktuelleAnleihen[[#This Row],[Aktueller Wechselkurs]]+aktuelleAnleihen[[#This Row],[Stückzinsen]]</f>
        <v>2045.5980368357432</v>
      </c>
      <c r="G270" s="8">
        <f>aktuelleAnleihen[[#This Row],[Kursdifferenz]]*aktuelleAnleihen[[#This Row],[Anteile]]*aktuelleAnleihen[[#This Row],[Stückelung]]/aktuelleAnleihen[[#This Row],[Wechselkurs am Kauftag]]</f>
        <v>9.1392334234820556</v>
      </c>
      <c r="H270" s="8">
        <f>aktuelleAnleihen[[#This Row],[Stückzinsen]]-aktuelleAnleihen[[#This Row],[Stückzinsen am Kauftag]]+aktuelleAnleihen[[#This Row],[Zinszahlungen]]</f>
        <v>14.799564243695002</v>
      </c>
      <c r="I270" s="8">
        <f>aktuelleAnleihen[[#This Row],[Gewinn gesamt]]-aktuelleAnleihen[[#This Row],[Gewinn aus Kursänderung]]-aktuelleAnleihen[[#This Row],[Gewinn aus Zinsen]]</f>
        <v>-31.020860831433907</v>
      </c>
      <c r="J270" s="7">
        <f>aktuelleAnleihen[[#This Row],[Gewinn gesamt]]/aktuelleAnleihen[[#This Row],[Kaufpreis]]</f>
        <v>-3.450154344194622E-3</v>
      </c>
      <c r="K270" s="3">
        <f>aktuelleAnleihen[[#This Row],[Verkaufspreis]]-aktuelleAnleihen[[#This Row],[Kaufpreis]]+aktuelleAnleihen[[#This Row],[Zinszahlungen]]</f>
        <v>-7.0820631642568515</v>
      </c>
      <c r="L270" s="4">
        <v>2052.6801</v>
      </c>
      <c r="M270" s="7">
        <v>1.0732999999999999</v>
      </c>
      <c r="N270" s="61">
        <v>1.0723</v>
      </c>
      <c r="O270" s="1">
        <v>1.0891</v>
      </c>
      <c r="P270" s="1" t="s">
        <v>887</v>
      </c>
      <c r="Q270" s="30">
        <v>45412</v>
      </c>
      <c r="R270" s="1">
        <v>2</v>
      </c>
      <c r="S270" s="1">
        <v>1000</v>
      </c>
      <c r="T270" s="9">
        <v>45290</v>
      </c>
      <c r="U270" s="1">
        <v>2</v>
      </c>
      <c r="V270" s="62">
        <f>aktuelleAnleihen[[#This Row],[Stückelung]]*aktuelleAnleihen[[#This Row],[Anteile]]*aktuelleAnleihen[[#This Row],[Coupon]]/aktuelleAnleihen[[#This Row],[Aktueller Wechselkurs]]*($AC$1-aktuelleAnleihen[[#This Row],[Letzte Zinszahlung]])/365</f>
        <v>65.614564243695</v>
      </c>
      <c r="W270" s="4">
        <v>50.814999999999998</v>
      </c>
      <c r="X270" s="120" t="s">
        <v>276</v>
      </c>
      <c r="Y270" s="120" t="s">
        <v>39</v>
      </c>
      <c r="Z270" s="1" t="s">
        <v>1660</v>
      </c>
      <c r="AA270" s="1" t="s">
        <v>1661</v>
      </c>
      <c r="AB270" s="3">
        <f>SUMIF('Zinszahlungen Anleihen'!K:K,aktuelleAnleihen[[#This Row],[ISIN]],'Zinszahlungen Anleihen'!D:D)</f>
        <v>0</v>
      </c>
      <c r="AE270" s="9"/>
      <c r="AF270" s="1"/>
      <c r="AI270" s="3"/>
      <c r="AJ270" s="1"/>
      <c r="AM270" s="10"/>
      <c r="AN270" s="1"/>
      <c r="AP270" s="7"/>
      <c r="AQ270" s="1"/>
    </row>
    <row r="271" spans="1:43" x14ac:dyDescent="0.2">
      <c r="A271" s="1" t="s">
        <v>119</v>
      </c>
      <c r="B271" s="1" t="s">
        <v>0</v>
      </c>
      <c r="C271" s="7">
        <v>0.12386</v>
      </c>
      <c r="D271" s="7">
        <v>1.052</v>
      </c>
      <c r="E271" s="7">
        <f>aktuelleAnleihen[[#This Row],[Aktueller Kurs]]-aktuelleAnleihen[[#This Row],[Kaufkurs]]</f>
        <v>4.6000000000101515E-3</v>
      </c>
      <c r="F271" s="8">
        <f>aktuelleAnleihen[[#This Row],[Stückelung]]*aktuelleAnleihen[[#This Row],[Aktueller Kurs]]*aktuelleAnleihen[[#This Row],[Anteile]]/aktuelleAnleihen[[#This Row],[Aktueller Wechselkurs]]+aktuelleAnleihen[[#This Row],[Stückzinsen]]</f>
        <v>2150.8292602739725</v>
      </c>
      <c r="G271" s="8">
        <f>aktuelleAnleihen[[#This Row],[Kursdifferenz]]*aktuelleAnleihen[[#This Row],[Anteile]]*aktuelleAnleihen[[#This Row],[Stückelung]]/aktuelleAnleihen[[#This Row],[Wechselkurs am Kauftag]]</f>
        <v>9.200000000020303</v>
      </c>
      <c r="H271" s="8">
        <f>aktuelleAnleihen[[#This Row],[Stückzinsen]]-aktuelleAnleihen[[#This Row],[Stückzinsen am Kauftag]]+aktuelleAnleihen[[#This Row],[Zinszahlungen]]</f>
        <v>49.034960273972601</v>
      </c>
      <c r="I271" s="8">
        <f>aktuelleAnleihen[[#This Row],[Gewinn gesamt]]-aktuelleAnleihen[[#This Row],[Gewinn aus Kursänderung]]-aktuelleAnleihen[[#This Row],[Gewinn aus Zinsen]]</f>
        <v>-2.0420998225745279E-11</v>
      </c>
      <c r="J271" s="7">
        <f>aktuelleAnleihen[[#This Row],[Gewinn gesamt]]/aktuelleAnleihen[[#This Row],[Kaufpreis]]</f>
        <v>2.7029149902821927E-2</v>
      </c>
      <c r="K271" s="3">
        <f>aktuelleAnleihen[[#This Row],[Verkaufspreis]]-aktuelleAnleihen[[#This Row],[Kaufpreis]]+aktuelleAnleihen[[#This Row],[Zinszahlungen]]</f>
        <v>58.234960273972483</v>
      </c>
      <c r="L271" s="4">
        <v>2154.5243</v>
      </c>
      <c r="M271" s="7">
        <v>1.0473999999999899</v>
      </c>
      <c r="N271" s="61">
        <v>1</v>
      </c>
      <c r="O271" s="1">
        <v>1</v>
      </c>
      <c r="P271" s="1" t="s">
        <v>925</v>
      </c>
      <c r="Q271" s="30">
        <v>45378</v>
      </c>
      <c r="R271" s="1">
        <v>2</v>
      </c>
      <c r="S271" s="1">
        <v>1000</v>
      </c>
      <c r="T271" s="9">
        <v>45381</v>
      </c>
      <c r="U271" s="1">
        <v>4</v>
      </c>
      <c r="V271" s="62">
        <f>aktuelleAnleihen[[#This Row],[Stückelung]]*aktuelleAnleihen[[#This Row],[Anteile]]*aktuelleAnleihen[[#This Row],[Coupon]]/aktuelleAnleihen[[#This Row],[Aktueller Wechselkurs]]*($AC$1-aktuelleAnleihen[[#This Row],[Letzte Zinszahlung]])/365</f>
        <v>46.829260273972601</v>
      </c>
      <c r="W271" s="4">
        <v>59.724299999999999</v>
      </c>
      <c r="X271" s="120" t="s">
        <v>56</v>
      </c>
      <c r="Y271" s="120" t="s">
        <v>44</v>
      </c>
      <c r="Z271" s="1" t="s">
        <v>120</v>
      </c>
      <c r="AA271" s="1" t="s">
        <v>121</v>
      </c>
      <c r="AB271" s="3">
        <f>SUMIF('Zinszahlungen Anleihen'!K:K,aktuelleAnleihen[[#This Row],[ISIN]],'Zinszahlungen Anleihen'!D:D)</f>
        <v>61.93</v>
      </c>
      <c r="AE271" s="9"/>
      <c r="AF271" s="1"/>
      <c r="AI271" s="3"/>
      <c r="AJ271" s="1"/>
      <c r="AM271" s="10"/>
      <c r="AN271" s="1"/>
      <c r="AP271" s="7"/>
      <c r="AQ271" s="1"/>
    </row>
    <row r="272" spans="1:43" x14ac:dyDescent="0.2">
      <c r="A272" s="1" t="s">
        <v>1680</v>
      </c>
      <c r="B272" s="1" t="s">
        <v>8</v>
      </c>
      <c r="C272" s="7">
        <v>8.1250000000000003E-2</v>
      </c>
      <c r="D272" s="7">
        <v>1.02125</v>
      </c>
      <c r="E272" s="7">
        <f>aktuelleAnleihen[[#This Row],[Aktueller Kurs]]-aktuelleAnleihen[[#This Row],[Kaufkurs]]</f>
        <v>4.9500000000000099E-3</v>
      </c>
      <c r="F272" s="8">
        <f>aktuelleAnleihen[[#This Row],[Stückelung]]*aktuelleAnleihen[[#This Row],[Aktueller Kurs]]*aktuelleAnleihen[[#This Row],[Anteile]]/aktuelleAnleihen[[#This Row],[Aktueller Wechselkurs]]+aktuelleAnleihen[[#This Row],[Stückzinsen]]</f>
        <v>1939.9894093778578</v>
      </c>
      <c r="G272" s="8">
        <f>aktuelleAnleihen[[#This Row],[Kursdifferenz]]*aktuelleAnleihen[[#This Row],[Anteile]]*aktuelleAnleihen[[#This Row],[Stückelung]]/aktuelleAnleihen[[#This Row],[Wechselkurs am Kauftag]]</f>
        <v>9.2324909073953361</v>
      </c>
      <c r="H272" s="8">
        <f>aktuelleAnleihen[[#This Row],[Stückzinsen]]-aktuelleAnleihen[[#This Row],[Stückzinsen am Kauftag]]+aktuelleAnleihen[[#This Row],[Zinszahlungen]]</f>
        <v>14.76520154570256</v>
      </c>
      <c r="I272" s="8">
        <f>aktuelleAnleihen[[#This Row],[Gewinn gesamt]]-aktuelleAnleihen[[#This Row],[Gewinn aus Kursänderung]]-aktuelleAnleihen[[#This Row],[Gewinn aus Zinsen]]</f>
        <v>-29.382383075240114</v>
      </c>
      <c r="J272" s="7">
        <f>aktuelleAnleihen[[#This Row],[Gewinn gesamt]]/aktuelleAnleihen[[#This Row],[Kaufpreis]]</f>
        <v>-2.7679460840679517E-3</v>
      </c>
      <c r="K272" s="3">
        <f>aktuelleAnleihen[[#This Row],[Verkaufspreis]]-aktuelleAnleihen[[#This Row],[Kaufpreis]]+aktuelleAnleihen[[#This Row],[Zinszahlungen]]</f>
        <v>-5.3846906221422159</v>
      </c>
      <c r="L272" s="4">
        <v>1945.3741</v>
      </c>
      <c r="M272" s="7">
        <v>1.0163</v>
      </c>
      <c r="N272" s="61">
        <v>1.0723</v>
      </c>
      <c r="O272" s="1">
        <v>1.0891</v>
      </c>
      <c r="P272" s="1" t="s">
        <v>887</v>
      </c>
      <c r="Q272" s="30">
        <v>45412</v>
      </c>
      <c r="R272" s="1">
        <v>2</v>
      </c>
      <c r="S272" s="1">
        <v>1000</v>
      </c>
      <c r="T272" s="9">
        <v>45292</v>
      </c>
      <c r="U272" s="1">
        <v>2</v>
      </c>
      <c r="V272" s="62">
        <f>aktuelleAnleihen[[#This Row],[Stückelung]]*aktuelleAnleihen[[#This Row],[Anteile]]*aktuelleAnleihen[[#This Row],[Coupon]]/aktuelleAnleihen[[#This Row],[Aktueller Wechselkurs]]*($AC$1-aktuelleAnleihen[[#This Row],[Letzte Zinszahlung]])/365</f>
        <v>64.587701545702558</v>
      </c>
      <c r="W272" s="4">
        <v>49.822499999999998</v>
      </c>
      <c r="X272" s="120" t="s">
        <v>276</v>
      </c>
      <c r="Y272" s="120" t="s">
        <v>1011</v>
      </c>
      <c r="Z272" s="1" t="s">
        <v>1681</v>
      </c>
      <c r="AA272" s="1" t="s">
        <v>1682</v>
      </c>
      <c r="AB272" s="3">
        <f>SUMIF('Zinszahlungen Anleihen'!K:K,aktuelleAnleihen[[#This Row],[ISIN]],'Zinszahlungen Anleihen'!D:D)</f>
        <v>0</v>
      </c>
      <c r="AE272" s="9"/>
      <c r="AF272" s="1"/>
      <c r="AI272" s="3"/>
      <c r="AJ272" s="1"/>
      <c r="AM272" s="10"/>
      <c r="AN272" s="1"/>
      <c r="AP272" s="7"/>
      <c r="AQ272" s="1"/>
    </row>
    <row r="273" spans="1:43" x14ac:dyDescent="0.2">
      <c r="A273" s="1" t="s">
        <v>1124</v>
      </c>
      <c r="B273" s="1" t="s">
        <v>0</v>
      </c>
      <c r="C273" s="7">
        <v>9.7500000000000003E-2</v>
      </c>
      <c r="D273" s="7">
        <v>1.0549999999999999</v>
      </c>
      <c r="E273" s="7">
        <f>aktuelleAnleihen[[#This Row],[Aktueller Kurs]]-aktuelleAnleihen[[#This Row],[Kaufkurs]]</f>
        <v>4.9999999999998934E-3</v>
      </c>
      <c r="F273" s="8">
        <f>aktuelleAnleihen[[#This Row],[Stückelung]]*aktuelleAnleihen[[#This Row],[Aktueller Kurs]]*aktuelleAnleihen[[#This Row],[Anteile]]/aktuelleAnleihen[[#This Row],[Aktueller Wechselkurs]]+aktuelleAnleihen[[#This Row],[Stückzinsen]]</f>
        <v>1997.7158468158327</v>
      </c>
      <c r="G273" s="8">
        <f>aktuelleAnleihen[[#This Row],[Kursdifferenz]]*aktuelleAnleihen[[#This Row],[Anteile]]*aktuelleAnleihen[[#This Row],[Stückelung]]/aktuelleAnleihen[[#This Row],[Wechselkurs am Kauftag]]</f>
        <v>9.3257483913082027</v>
      </c>
      <c r="H273" s="8">
        <f>aktuelleAnleihen[[#This Row],[Stückzinsen]]-aktuelleAnleihen[[#This Row],[Stückzinsen am Kauftag]]+aktuelleAnleihen[[#This Row],[Zinszahlungen]]</f>
        <v>17.987259165479102</v>
      </c>
      <c r="I273" s="8">
        <f>aktuelleAnleihen[[#This Row],[Gewinn gesamt]]-aktuelleAnleihen[[#This Row],[Gewinn aus Kursänderung]]-aktuelleAnleihen[[#This Row],[Gewinn aus Zinsen]]</f>
        <v>-30.353460740954596</v>
      </c>
      <c r="J273" s="7">
        <f>aktuelleAnleihen[[#This Row],[Gewinn gesamt]]/aktuelleAnleihen[[#This Row],[Kaufpreis]]</f>
        <v>-1.5196519357041588E-3</v>
      </c>
      <c r="K273" s="3">
        <f>aktuelleAnleihen[[#This Row],[Verkaufspreis]]-aktuelleAnleihen[[#This Row],[Kaufpreis]]+aktuelleAnleihen[[#This Row],[Zinszahlungen]]</f>
        <v>-3.0404531841672906</v>
      </c>
      <c r="L273" s="4">
        <v>2000.7563</v>
      </c>
      <c r="M273" s="7">
        <v>1.05</v>
      </c>
      <c r="N273" s="61">
        <v>1.0723</v>
      </c>
      <c r="O273" s="1">
        <v>1.0891</v>
      </c>
      <c r="P273" s="1" t="s">
        <v>887</v>
      </c>
      <c r="Q273" s="30">
        <v>45412</v>
      </c>
      <c r="R273" s="1">
        <v>2</v>
      </c>
      <c r="S273" s="1">
        <v>1000</v>
      </c>
      <c r="T273" s="9">
        <v>45327</v>
      </c>
      <c r="U273" s="1">
        <v>2</v>
      </c>
      <c r="V273" s="62">
        <f>aktuelleAnleihen[[#This Row],[Stückelung]]*aktuelleAnleihen[[#This Row],[Anteile]]*aktuelleAnleihen[[#This Row],[Coupon]]/aktuelleAnleihen[[#This Row],[Aktueller Wechselkurs]]*($AC$1-aktuelleAnleihen[[#This Row],[Letzte Zinszahlung]])/365</f>
        <v>60.336359165479102</v>
      </c>
      <c r="W273" s="4">
        <v>42.3491</v>
      </c>
      <c r="X273" s="120" t="s">
        <v>35</v>
      </c>
      <c r="Y273" s="120" t="s">
        <v>1011</v>
      </c>
      <c r="Z273" s="1" t="s">
        <v>1125</v>
      </c>
      <c r="AA273" s="1" t="s">
        <v>1126</v>
      </c>
      <c r="AB273" s="3">
        <f>SUMIF('Zinszahlungen Anleihen'!K:K,aktuelleAnleihen[[#This Row],[ISIN]],'Zinszahlungen Anleihen'!D:D)</f>
        <v>0</v>
      </c>
      <c r="AE273" s="9"/>
      <c r="AF273" s="1"/>
      <c r="AI273" s="3"/>
      <c r="AJ273" s="1"/>
      <c r="AM273" s="10"/>
      <c r="AN273" s="1"/>
      <c r="AP273" s="7"/>
      <c r="AQ273" s="1"/>
    </row>
    <row r="274" spans="1:43" x14ac:dyDescent="0.2">
      <c r="A274" s="1" t="s">
        <v>790</v>
      </c>
      <c r="B274" s="1" t="s">
        <v>2</v>
      </c>
      <c r="C274" s="7">
        <v>6.3750000000000001E-2</v>
      </c>
      <c r="D274" s="7">
        <v>1.0410999999999999</v>
      </c>
      <c r="E274" s="7">
        <f>aktuelleAnleihen[[#This Row],[Aktueller Kurs]]-aktuelleAnleihen[[#This Row],[Kaufkurs]]</f>
        <v>4.7999999999999154E-3</v>
      </c>
      <c r="F274" s="8">
        <f>aktuelleAnleihen[[#This Row],[Stückelung]]*aktuelleAnleihen[[#This Row],[Aktueller Kurs]]*aktuelleAnleihen[[#This Row],[Anteile]]/aktuelleAnleihen[[#This Row],[Aktueller Wechselkurs]]+aktuelleAnleihen[[#This Row],[Stückzinsen]]</f>
        <v>2143.3301369863011</v>
      </c>
      <c r="G274" s="8">
        <f>aktuelleAnleihen[[#This Row],[Kursdifferenz]]*aktuelleAnleihen[[#This Row],[Anteile]]*aktuelleAnleihen[[#This Row],[Stückelung]]/aktuelleAnleihen[[#This Row],[Wechselkurs am Kauftag]]</f>
        <v>9.5999999999998309</v>
      </c>
      <c r="H274" s="8">
        <f>aktuelleAnleihen[[#This Row],[Stückzinsen]]-aktuelleAnleihen[[#This Row],[Stückzinsen am Kauftag]]+aktuelleAnleihen[[#This Row],[Zinszahlungen]]</f>
        <v>22.705436986301372</v>
      </c>
      <c r="I274" s="8">
        <f>aktuelleAnleihen[[#This Row],[Gewinn gesamt]]-aktuelleAnleihen[[#This Row],[Gewinn aus Kursänderung]]-aktuelleAnleihen[[#This Row],[Gewinn aus Zinsen]]</f>
        <v>-2.8421709430404007E-14</v>
      </c>
      <c r="J274" s="7">
        <f>aktuelleAnleihen[[#This Row],[Gewinn gesamt]]/aktuelleAnleihen[[#This Row],[Kaufpreis]]</f>
        <v>1.5303201798776289E-2</v>
      </c>
      <c r="K274" s="3">
        <f>aktuelleAnleihen[[#This Row],[Verkaufspreis]]-aktuelleAnleihen[[#This Row],[Kaufpreis]]+aktuelleAnleihen[[#This Row],[Zinszahlungen]]</f>
        <v>32.305436986301174</v>
      </c>
      <c r="L274" s="4">
        <v>2111.0246999999999</v>
      </c>
      <c r="M274" s="7">
        <v>1.0363</v>
      </c>
      <c r="N274" s="61">
        <v>1</v>
      </c>
      <c r="O274" s="1">
        <v>1</v>
      </c>
      <c r="P274" s="1" t="s">
        <v>925</v>
      </c>
      <c r="Q274" s="30">
        <v>45385</v>
      </c>
      <c r="R274" s="1">
        <v>2</v>
      </c>
      <c r="S274" s="1">
        <v>1000</v>
      </c>
      <c r="T274" s="9">
        <v>45275</v>
      </c>
      <c r="U274" s="1">
        <v>2</v>
      </c>
      <c r="V274" s="62">
        <f>aktuelleAnleihen[[#This Row],[Stückelung]]*aktuelleAnleihen[[#This Row],[Anteile]]*aktuelleAnleihen[[#This Row],[Coupon]]/aktuelleAnleihen[[#This Row],[Aktueller Wechselkurs]]*($AC$1-aktuelleAnleihen[[#This Row],[Letzte Zinszahlung]])/365</f>
        <v>61.130136986301373</v>
      </c>
      <c r="W274" s="4">
        <v>38.424700000000001</v>
      </c>
      <c r="X274" s="120" t="s">
        <v>102</v>
      </c>
      <c r="Y274" s="120" t="s">
        <v>57</v>
      </c>
      <c r="Z274" s="1" t="s">
        <v>794</v>
      </c>
      <c r="AA274" s="1" t="s">
        <v>795</v>
      </c>
      <c r="AB274" s="3">
        <f>SUMIF('Zinszahlungen Anleihen'!K:K,aktuelleAnleihen[[#This Row],[ISIN]],'Zinszahlungen Anleihen'!D:D)</f>
        <v>0</v>
      </c>
      <c r="AE274" s="9"/>
      <c r="AF274" s="1"/>
      <c r="AI274" s="3"/>
      <c r="AJ274" s="1"/>
      <c r="AM274" s="10"/>
      <c r="AN274" s="1"/>
      <c r="AP274" s="7"/>
      <c r="AQ274" s="1"/>
    </row>
    <row r="275" spans="1:43" x14ac:dyDescent="0.2">
      <c r="A275" s="1" t="s">
        <v>1644</v>
      </c>
      <c r="B275" s="1" t="s">
        <v>1</v>
      </c>
      <c r="C275" s="7">
        <v>8.2500000000000004E-2</v>
      </c>
      <c r="D275" s="7">
        <v>0.98839999999999995</v>
      </c>
      <c r="E275" s="7">
        <f>aktuelleAnleihen[[#This Row],[Aktueller Kurs]]-aktuelleAnleihen[[#This Row],[Kaufkurs]]</f>
        <v>5.1999999999999824E-3</v>
      </c>
      <c r="F275" s="8">
        <f>aktuelleAnleihen[[#This Row],[Stückelung]]*aktuelleAnleihen[[#This Row],[Aktueller Kurs]]*aktuelleAnleihen[[#This Row],[Anteile]]/aktuelleAnleihen[[#This Row],[Aktueller Wechselkurs]]+aktuelleAnleihen[[#This Row],[Stückzinsen]]</f>
        <v>1865.715439290705</v>
      </c>
      <c r="G275" s="8">
        <f>aktuelleAnleihen[[#This Row],[Kursdifferenz]]*aktuelleAnleihen[[#This Row],[Anteile]]*aktuelleAnleihen[[#This Row],[Stückelung]]/aktuelleAnleihen[[#This Row],[Wechselkurs am Kauftag]]</f>
        <v>9.6987783269607046</v>
      </c>
      <c r="H275" s="8">
        <f>aktuelleAnleihen[[#This Row],[Stückzinsen]]-aktuelleAnleihen[[#This Row],[Stückzinsen am Kauftag]]+aktuelleAnleihen[[#This Row],[Zinszahlungen]]</f>
        <v>15.226470481596593</v>
      </c>
      <c r="I275" s="8">
        <f>aktuelleAnleihen[[#This Row],[Gewinn gesamt]]-aktuelleAnleihen[[#This Row],[Gewinn aus Kursänderung]]-aktuelleAnleihen[[#This Row],[Gewinn aus Zinsen]]</f>
        <v>-28.437309517852228</v>
      </c>
      <c r="J275" s="7">
        <f>aktuelleAnleihen[[#This Row],[Gewinn gesamt]]/aktuelleAnleihen[[#This Row],[Kaufpreis]]</f>
        <v>-1.8788835009622578E-3</v>
      </c>
      <c r="K275" s="3">
        <f>aktuelleAnleihen[[#This Row],[Verkaufspreis]]-aktuelleAnleihen[[#This Row],[Kaufpreis]]+aktuelleAnleihen[[#This Row],[Zinszahlungen]]</f>
        <v>-3.5120607092949285</v>
      </c>
      <c r="L275" s="4">
        <v>1869.2275</v>
      </c>
      <c r="M275" s="7">
        <v>0.98319999999999996</v>
      </c>
      <c r="N275" s="61">
        <v>1.0723</v>
      </c>
      <c r="O275" s="1">
        <v>1.0891</v>
      </c>
      <c r="P275" s="1" t="s">
        <v>887</v>
      </c>
      <c r="Q275" s="30">
        <v>45412</v>
      </c>
      <c r="R275" s="1">
        <v>2</v>
      </c>
      <c r="S275" s="1">
        <v>1000</v>
      </c>
      <c r="T275" s="9">
        <v>45328</v>
      </c>
      <c r="U275" s="1">
        <v>2</v>
      </c>
      <c r="V275" s="62">
        <f>aktuelleAnleihen[[#This Row],[Stückelung]]*aktuelleAnleihen[[#This Row],[Anteile]]*aktuelleAnleihen[[#This Row],[Coupon]]/aktuelleAnleihen[[#This Row],[Aktueller Wechselkurs]]*($AC$1-aktuelleAnleihen[[#This Row],[Letzte Zinszahlung]])/365</f>
        <v>50.638770481596595</v>
      </c>
      <c r="W275" s="4">
        <v>35.412300000000002</v>
      </c>
      <c r="X275" s="120" t="s">
        <v>1564</v>
      </c>
      <c r="Y275" s="120" t="s">
        <v>52</v>
      </c>
      <c r="Z275" s="1" t="s">
        <v>1645</v>
      </c>
      <c r="AA275" s="1" t="s">
        <v>1646</v>
      </c>
      <c r="AB275" s="3">
        <f>SUMIF('Zinszahlungen Anleihen'!K:K,aktuelleAnleihen[[#This Row],[ISIN]],'Zinszahlungen Anleihen'!D:D)</f>
        <v>0</v>
      </c>
      <c r="AE275" s="9"/>
      <c r="AF275" s="1"/>
      <c r="AI275" s="3"/>
      <c r="AJ275" s="1"/>
      <c r="AM275" s="10"/>
      <c r="AN275" s="1"/>
      <c r="AP275" s="7"/>
      <c r="AQ275" s="1"/>
    </row>
    <row r="276" spans="1:43" x14ac:dyDescent="0.2">
      <c r="A276" s="1" t="s">
        <v>1355</v>
      </c>
      <c r="B276" s="1" t="s">
        <v>8</v>
      </c>
      <c r="C276" s="7">
        <v>8.8749999999999996E-2</v>
      </c>
      <c r="D276" s="7">
        <v>0.9698</v>
      </c>
      <c r="E276" s="7">
        <f>aktuelleAnleihen[[#This Row],[Aktueller Kurs]]-aktuelleAnleihen[[#This Row],[Kaufkurs]]</f>
        <v>5.2999999999999714E-3</v>
      </c>
      <c r="F276" s="8">
        <f>aktuelleAnleihen[[#This Row],[Stückelung]]*aktuelleAnleihen[[#This Row],[Aktueller Kurs]]*aktuelleAnleihen[[#This Row],[Anteile]]/aktuelleAnleihen[[#This Row],[Aktueller Wechselkurs]]+aktuelleAnleihen[[#This Row],[Stückzinsen]]</f>
        <v>1803.2458621734925</v>
      </c>
      <c r="G276" s="8">
        <f>aktuelleAnleihen[[#This Row],[Kursdifferenz]]*aktuelleAnleihen[[#This Row],[Anteile]]*aktuelleAnleihen[[#This Row],[Stückelung]]/aktuelleAnleihen[[#This Row],[Wechselkurs am Kauftag]]</f>
        <v>9.8852932947868535</v>
      </c>
      <c r="H276" s="8">
        <f>aktuelleAnleihen[[#This Row],[Stückzinsen]]-aktuelleAnleihen[[#This Row],[Stückzinsen am Kauftag]]+aktuelleAnleihen[[#This Row],[Zinszahlungen]]</f>
        <v>16.883736464191244</v>
      </c>
      <c r="I276" s="8">
        <f>aktuelleAnleihen[[#This Row],[Gewinn gesamt]]-aktuelleAnleihen[[#This Row],[Gewinn aus Kursänderung]]-aktuelleAnleihen[[#This Row],[Gewinn aus Zinsen]]</f>
        <v>-27.902167585485536</v>
      </c>
      <c r="J276" s="7">
        <f>aktuelleAnleihen[[#This Row],[Gewinn gesamt]]/aktuelleAnleihen[[#This Row],[Kaufpreis]]</f>
        <v>-6.2799324671116016E-4</v>
      </c>
      <c r="K276" s="3">
        <f>aktuelleAnleihen[[#This Row],[Verkaufspreis]]-aktuelleAnleihen[[#This Row],[Kaufpreis]]+aktuelleAnleihen[[#This Row],[Zinszahlungen]]</f>
        <v>-1.1331378265074363</v>
      </c>
      <c r="L276" s="4">
        <v>1804.3789999999999</v>
      </c>
      <c r="M276" s="7">
        <v>0.96450000000000002</v>
      </c>
      <c r="N276" s="61">
        <v>1.0723</v>
      </c>
      <c r="O276" s="1">
        <v>1.0891</v>
      </c>
      <c r="P276" s="1" t="s">
        <v>887</v>
      </c>
      <c r="Q276" s="30">
        <v>45412</v>
      </c>
      <c r="R276" s="1">
        <v>2</v>
      </c>
      <c r="S276" s="1">
        <v>1000</v>
      </c>
      <c r="T276" s="9">
        <v>45400</v>
      </c>
      <c r="U276" s="1">
        <v>2</v>
      </c>
      <c r="V276" s="62">
        <f>aktuelleAnleihen[[#This Row],[Stückelung]]*aktuelleAnleihen[[#This Row],[Anteile]]*aktuelleAnleihen[[#This Row],[Coupon]]/aktuelleAnleihen[[#This Row],[Aktueller Wechselkurs]]*($AC$1-aktuelleAnleihen[[#This Row],[Letzte Zinszahlung]])/365</f>
        <v>22.325836464191244</v>
      </c>
      <c r="W276" s="4">
        <v>5.4420999999999999</v>
      </c>
      <c r="X276" s="120" t="s">
        <v>1356</v>
      </c>
      <c r="Y276" s="120" t="s">
        <v>52</v>
      </c>
      <c r="Z276" s="1" t="s">
        <v>1357</v>
      </c>
      <c r="AA276" s="1" t="s">
        <v>1358</v>
      </c>
      <c r="AB276" s="3">
        <f>SUMIF('Zinszahlungen Anleihen'!K:K,aktuelleAnleihen[[#This Row],[ISIN]],'Zinszahlungen Anleihen'!D:D)</f>
        <v>0</v>
      </c>
      <c r="AE276" s="9"/>
      <c r="AF276" s="1"/>
      <c r="AI276" s="3"/>
      <c r="AJ276" s="1"/>
      <c r="AM276" s="10"/>
      <c r="AN276" s="1"/>
      <c r="AP276" s="7"/>
      <c r="AQ276" s="1"/>
    </row>
    <row r="277" spans="1:43" x14ac:dyDescent="0.2">
      <c r="A277" s="1" t="s">
        <v>1261</v>
      </c>
      <c r="B277" s="1" t="s">
        <v>0</v>
      </c>
      <c r="C277" s="7">
        <v>9.2499999999999999E-2</v>
      </c>
      <c r="D277" s="7">
        <v>1.0605</v>
      </c>
      <c r="E277" s="7">
        <f>aktuelleAnleihen[[#This Row],[Aktueller Kurs]]-aktuelleAnleihen[[#This Row],[Kaufkurs]]</f>
        <v>5.3000000000000824E-3</v>
      </c>
      <c r="F277" s="8">
        <f>aktuelleAnleihen[[#This Row],[Stückelung]]*aktuelleAnleihen[[#This Row],[Aktueller Kurs]]*aktuelleAnleihen[[#This Row],[Anteile]]/aktuelleAnleihen[[#This Row],[Aktueller Wechselkurs]]+aktuelleAnleihen[[#This Row],[Stückzinsen]]</f>
        <v>1950.2718720874216</v>
      </c>
      <c r="G277" s="8">
        <f>aktuelleAnleihen[[#This Row],[Kursdifferenz]]*aktuelleAnleihen[[#This Row],[Anteile]]*aktuelleAnleihen[[#This Row],[Stückelung]]/aktuelleAnleihen[[#This Row],[Wechselkurs am Kauftag]]</f>
        <v>9.8852932947870595</v>
      </c>
      <c r="H277" s="8">
        <f>aktuelleAnleihen[[#This Row],[Stückzinsen]]-aktuelleAnleihen[[#This Row],[Stückzinsen am Kauftag]]+aktuelleAnleihen[[#This Row],[Zinszahlungen]]</f>
        <v>16.664001283946959</v>
      </c>
      <c r="I277" s="8">
        <f>aktuelleAnleihen[[#This Row],[Gewinn gesamt]]-aktuelleAnleihen[[#This Row],[Gewinn aus Kursänderung]]-aktuelleAnleihen[[#This Row],[Gewinn aus Zinsen]]</f>
        <v>-30.511723007393954</v>
      </c>
      <c r="J277" s="7">
        <f>aktuelleAnleihen[[#This Row],[Gewinn gesamt]]/aktuelleAnleihen[[#This Row],[Kaufpreis]]</f>
        <v>-1.9428622114196533E-3</v>
      </c>
      <c r="K277" s="3">
        <f>aktuelleAnleihen[[#This Row],[Verkaufspreis]]-aktuelleAnleihen[[#This Row],[Kaufpreis]]+aktuelleAnleihen[[#This Row],[Zinszahlungen]]</f>
        <v>-3.9624284286599334</v>
      </c>
      <c r="L277" s="4">
        <v>2039.4799</v>
      </c>
      <c r="M277" s="7">
        <v>1.0551999999999999</v>
      </c>
      <c r="N277" s="61">
        <v>1.0723</v>
      </c>
      <c r="O277" s="1">
        <v>1.0891</v>
      </c>
      <c r="P277" s="1" t="s">
        <v>887</v>
      </c>
      <c r="Q277" s="30">
        <v>45412</v>
      </c>
      <c r="R277" s="1">
        <v>2</v>
      </c>
      <c r="S277" s="1">
        <v>1000</v>
      </c>
      <c r="T277" s="9">
        <v>45444</v>
      </c>
      <c r="U277" s="1">
        <v>2</v>
      </c>
      <c r="V277" s="62">
        <f>aktuelleAnleihen[[#This Row],[Stückelung]]*aktuelleAnleihen[[#This Row],[Anteile]]*aktuelleAnleihen[[#This Row],[Coupon]]/aktuelleAnleihen[[#This Row],[Aktueller Wechselkurs]]*($AC$1-aktuelleAnleihen[[#This Row],[Letzte Zinszahlung]])/365</f>
        <v>2.7923018000284259</v>
      </c>
      <c r="W277" s="4">
        <v>71.373900000000006</v>
      </c>
      <c r="X277" s="120" t="s">
        <v>1096</v>
      </c>
      <c r="Y277" s="120" t="s">
        <v>39</v>
      </c>
      <c r="Z277" s="1" t="s">
        <v>1262</v>
      </c>
      <c r="AA277" s="1" t="s">
        <v>1263</v>
      </c>
      <c r="AB277" s="3">
        <f>SUMIF('Zinszahlungen Anleihen'!K:K,aktuelleAnleihen[[#This Row],[ISIN]],'Zinszahlungen Anleihen'!D:D)</f>
        <v>85.245599483918539</v>
      </c>
      <c r="AE277" s="9"/>
      <c r="AF277" s="1"/>
      <c r="AI277" s="3"/>
      <c r="AJ277" s="1"/>
      <c r="AM277" s="10"/>
      <c r="AN277" s="1"/>
      <c r="AP277" s="7"/>
      <c r="AQ277" s="1"/>
    </row>
    <row r="278" spans="1:43" x14ac:dyDescent="0.2">
      <c r="A278" s="1" t="s">
        <v>147</v>
      </c>
      <c r="B278" s="1" t="s">
        <v>1</v>
      </c>
      <c r="C278" s="7">
        <v>0.12325</v>
      </c>
      <c r="D278" s="7">
        <v>1.0249999999999999</v>
      </c>
      <c r="E278" s="7">
        <f>aktuelleAnleihen[[#This Row],[Aktueller Kurs]]-aktuelleAnleihen[[#This Row],[Kaufkurs]]</f>
        <v>4.9999999999998934E-3</v>
      </c>
      <c r="F278" s="8">
        <f>aktuelleAnleihen[[#This Row],[Stückelung]]*aktuelleAnleihen[[#This Row],[Aktueller Kurs]]*aktuelleAnleihen[[#This Row],[Anteile]]/aktuelleAnleihen[[#This Row],[Aktueller Wechselkurs]]+aktuelleAnleihen[[#This Row],[Stückzinsen]]</f>
        <v>2097.2739726027398</v>
      </c>
      <c r="G278" s="8">
        <f>aktuelleAnleihen[[#This Row],[Kursdifferenz]]*aktuelleAnleihen[[#This Row],[Anteile]]*aktuelleAnleihen[[#This Row],[Stückelung]]/aktuelleAnleihen[[#This Row],[Wechselkurs am Kauftag]]</f>
        <v>9.9999999999997868</v>
      </c>
      <c r="H278" s="8">
        <f>aktuelleAnleihen[[#This Row],[Stückzinsen]]-aktuelleAnleihen[[#This Row],[Stückzinsen am Kauftag]]+aktuelleAnleihen[[#This Row],[Zinszahlungen]]</f>
        <v>48.793472602739726</v>
      </c>
      <c r="I278" s="8">
        <f>aktuelleAnleihen[[#This Row],[Gewinn gesamt]]-aktuelleAnleihen[[#This Row],[Gewinn aus Kursänderung]]-aktuelleAnleihen[[#This Row],[Gewinn aus Zinsen]]</f>
        <v>1.9895196601282805E-13</v>
      </c>
      <c r="J278" s="7">
        <f>aktuelleAnleihen[[#This Row],[Gewinn gesamt]]/aktuelleAnleihen[[#This Row],[Kaufpreis]]</f>
        <v>2.7995485275734817E-2</v>
      </c>
      <c r="K278" s="3">
        <f>aktuelleAnleihen[[#This Row],[Verkaufspreis]]-aktuelleAnleihen[[#This Row],[Kaufpreis]]+aktuelleAnleihen[[#This Row],[Zinszahlungen]]</f>
        <v>58.793472602739712</v>
      </c>
      <c r="L278" s="4">
        <v>2100.1055000000001</v>
      </c>
      <c r="M278" s="7">
        <v>1.02</v>
      </c>
      <c r="N278" s="61">
        <v>1</v>
      </c>
      <c r="O278" s="1">
        <v>1</v>
      </c>
      <c r="P278" s="1" t="s">
        <v>925</v>
      </c>
      <c r="Q278" s="30">
        <v>45378</v>
      </c>
      <c r="R278" s="1">
        <v>2</v>
      </c>
      <c r="S278" s="1">
        <v>1000</v>
      </c>
      <c r="T278" s="9">
        <v>45380</v>
      </c>
      <c r="U278" s="1">
        <v>4</v>
      </c>
      <c r="V278" s="62">
        <f>aktuelleAnleihen[[#This Row],[Stückelung]]*aktuelleAnleihen[[#This Row],[Anteile]]*aktuelleAnleihen[[#This Row],[Coupon]]/aktuelleAnleihen[[#This Row],[Aktueller Wechselkurs]]*($AC$1-aktuelleAnleihen[[#This Row],[Letzte Zinszahlung]])/365</f>
        <v>47.273972602739725</v>
      </c>
      <c r="W278" s="4">
        <v>60.105499999999999</v>
      </c>
      <c r="X278" s="120" t="s">
        <v>56</v>
      </c>
      <c r="Y278" s="120" t="s">
        <v>57</v>
      </c>
      <c r="Z278" s="1" t="s">
        <v>148</v>
      </c>
      <c r="AA278" s="1" t="s">
        <v>149</v>
      </c>
      <c r="AB278" s="3">
        <f>SUMIF('Zinszahlungen Anleihen'!K:K,aktuelleAnleihen[[#This Row],[ISIN]],'Zinszahlungen Anleihen'!D:D)</f>
        <v>61.625</v>
      </c>
      <c r="AE278" s="9"/>
      <c r="AF278" s="1"/>
      <c r="AI278" s="3"/>
      <c r="AJ278" s="1"/>
      <c r="AM278" s="10"/>
      <c r="AN278" s="1"/>
      <c r="AP278" s="7"/>
      <c r="AQ278" s="1"/>
    </row>
    <row r="279" spans="1:43" x14ac:dyDescent="0.2">
      <c r="A279" s="1" t="s">
        <v>144</v>
      </c>
      <c r="B279" s="1" t="s">
        <v>1</v>
      </c>
      <c r="C279" s="7">
        <v>0.1069</v>
      </c>
      <c r="D279" s="7">
        <v>1.0349999999999999</v>
      </c>
      <c r="E279" s="7">
        <f>aktuelleAnleihen[[#This Row],[Aktueller Kurs]]-aktuelleAnleihen[[#This Row],[Kaufkurs]]</f>
        <v>4.9999999999998934E-3</v>
      </c>
      <c r="F279" s="8">
        <f>aktuelleAnleihen[[#This Row],[Stückelung]]*aktuelleAnleihen[[#This Row],[Aktueller Kurs]]*aktuelleAnleihen[[#This Row],[Anteile]]/aktuelleAnleihen[[#This Row],[Aktueller Wechselkurs]]+aktuelleAnleihen[[#This Row],[Stückzinsen]]</f>
        <v>2120.9605479452057</v>
      </c>
      <c r="G279" s="8">
        <f>aktuelleAnleihen[[#This Row],[Kursdifferenz]]*aktuelleAnleihen[[#This Row],[Anteile]]*aktuelleAnleihen[[#This Row],[Stückelung]]/aktuelleAnleihen[[#This Row],[Wechselkurs am Kauftag]]</f>
        <v>9.9999999999997868</v>
      </c>
      <c r="H279" s="8">
        <f>aktuelleAnleihen[[#This Row],[Stückzinsen]]-aktuelleAnleihen[[#This Row],[Stückzinsen am Kauftag]]+aktuelleAnleihen[[#This Row],[Zinszahlungen]]</f>
        <v>38.073947945205475</v>
      </c>
      <c r="I279" s="8">
        <f>aktuelleAnleihen[[#This Row],[Gewinn gesamt]]-aktuelleAnleihen[[#This Row],[Gewinn aus Kursänderung]]-aktuelleAnleihen[[#This Row],[Gewinn aus Zinsen]]</f>
        <v>6.1106675275368616E-13</v>
      </c>
      <c r="J279" s="7">
        <f>aktuelleAnleihen[[#This Row],[Gewinn gesamt]]/aktuelleAnleihen[[#This Row],[Kaufpreis]]</f>
        <v>2.3191788660897262E-2</v>
      </c>
      <c r="K279" s="3">
        <f>aktuelleAnleihen[[#This Row],[Verkaufspreis]]-aktuelleAnleihen[[#This Row],[Kaufpreis]]+aktuelleAnleihen[[#This Row],[Zinszahlungen]]</f>
        <v>48.073947945205873</v>
      </c>
      <c r="L279" s="4">
        <v>2072.8865999999998</v>
      </c>
      <c r="M279" s="7">
        <v>1.03</v>
      </c>
      <c r="N279" s="61">
        <v>1</v>
      </c>
      <c r="O279" s="1">
        <v>1</v>
      </c>
      <c r="P279" s="1" t="s">
        <v>925</v>
      </c>
      <c r="Q279" s="30">
        <v>45385</v>
      </c>
      <c r="R279" s="1">
        <v>2</v>
      </c>
      <c r="S279" s="1">
        <v>1000</v>
      </c>
      <c r="T279" s="9">
        <v>45363</v>
      </c>
      <c r="U279" s="1">
        <v>4</v>
      </c>
      <c r="V279" s="62">
        <f>aktuelleAnleihen[[#This Row],[Stückelung]]*aktuelleAnleihen[[#This Row],[Anteile]]*aktuelleAnleihen[[#This Row],[Coupon]]/aktuelleAnleihen[[#This Row],[Aktueller Wechselkurs]]*($AC$1-aktuelleAnleihen[[#This Row],[Letzte Zinszahlung]])/365</f>
        <v>50.960547945205477</v>
      </c>
      <c r="W279" s="4">
        <v>12.8866</v>
      </c>
      <c r="X279" s="120" t="s">
        <v>51</v>
      </c>
      <c r="Y279" s="120" t="s">
        <v>39</v>
      </c>
      <c r="Z279" s="1" t="s">
        <v>203</v>
      </c>
      <c r="AA279" s="1" t="s">
        <v>204</v>
      </c>
      <c r="AB279" s="3">
        <f>SUMIF('Zinszahlungen Anleihen'!K:K,aktuelleAnleihen[[#This Row],[ISIN]],'Zinszahlungen Anleihen'!D:D)</f>
        <v>0</v>
      </c>
      <c r="AE279" s="9"/>
      <c r="AF279" s="1"/>
      <c r="AI279" s="3"/>
      <c r="AJ279" s="1"/>
      <c r="AM279" s="10"/>
      <c r="AN279" s="1"/>
      <c r="AP279" s="7"/>
      <c r="AQ279" s="1"/>
    </row>
    <row r="280" spans="1:43" x14ac:dyDescent="0.2">
      <c r="A280" s="1" t="s">
        <v>1809</v>
      </c>
      <c r="B280" s="1" t="s">
        <v>3</v>
      </c>
      <c r="C280" s="7">
        <v>0.1</v>
      </c>
      <c r="D280" s="7">
        <v>0.995</v>
      </c>
      <c r="E280" s="7">
        <f>aktuelleAnleihen[[#This Row],[Aktueller Kurs]]-aktuelleAnleihen[[#This Row],[Kaufkurs]]</f>
        <v>5.0000000000000044E-3</v>
      </c>
      <c r="F280" s="8">
        <f>aktuelleAnleihen[[#This Row],[Stückelung]]*aktuelleAnleihen[[#This Row],[Aktueller Kurs]]*aktuelleAnleihen[[#This Row],[Anteile]]/aktuelleAnleihen[[#This Row],[Aktueller Wechselkurs]]+aktuelleAnleihen[[#This Row],[Stückzinsen]]</f>
        <v>2001.5068493150684</v>
      </c>
      <c r="G280" s="8">
        <f>aktuelleAnleihen[[#This Row],[Kursdifferenz]]*aktuelleAnleihen[[#This Row],[Anteile]]*aktuelleAnleihen[[#This Row],[Stückelung]]/aktuelleAnleihen[[#This Row],[Wechselkurs am Kauftag]]</f>
        <v>10.000000000000009</v>
      </c>
      <c r="H280" s="8">
        <f>aktuelleAnleihen[[#This Row],[Stückzinsen]]-aktuelleAnleihen[[#This Row],[Stückzinsen am Kauftag]]+aktuelleAnleihen[[#This Row],[Zinszahlungen]]</f>
        <v>8.7671493150684938</v>
      </c>
      <c r="I280" s="8">
        <f>aktuelleAnleihen[[#This Row],[Gewinn gesamt]]-aktuelleAnleihen[[#This Row],[Gewinn aus Kursänderung]]-aktuelleAnleihen[[#This Row],[Gewinn aus Zinsen]]</f>
        <v>-1.936228954946273E-13</v>
      </c>
      <c r="J280" s="7">
        <f>aktuelleAnleihen[[#This Row],[Gewinn gesamt]]/aktuelleAnleihen[[#This Row],[Kaufpreis]]</f>
        <v>9.4652612821886344E-3</v>
      </c>
      <c r="K280" s="3">
        <f>aktuelleAnleihen[[#This Row],[Verkaufspreis]]-aktuelleAnleihen[[#This Row],[Kaufpreis]]+aktuelleAnleihen[[#This Row],[Zinszahlungen]]</f>
        <v>18.767149315068309</v>
      </c>
      <c r="L280" s="4">
        <v>1982.7397000000001</v>
      </c>
      <c r="M280" s="7">
        <v>0.99</v>
      </c>
      <c r="N280" s="61">
        <v>1</v>
      </c>
      <c r="O280" s="1">
        <v>1</v>
      </c>
      <c r="P280" s="1" t="s">
        <v>925</v>
      </c>
      <c r="Q280" s="30">
        <v>45434</v>
      </c>
      <c r="R280" s="1">
        <v>2</v>
      </c>
      <c r="S280" s="1">
        <v>1000</v>
      </c>
      <c r="T280" s="9">
        <v>45429</v>
      </c>
      <c r="U280" s="1">
        <v>2</v>
      </c>
      <c r="V280" s="62">
        <f>aktuelleAnleihen[[#This Row],[Stückelung]]*aktuelleAnleihen[[#This Row],[Anteile]]*aktuelleAnleihen[[#This Row],[Coupon]]/aktuelleAnleihen[[#This Row],[Aktueller Wechselkurs]]*($AC$1-aktuelleAnleihen[[#This Row],[Letzte Zinszahlung]])/365</f>
        <v>11.506849315068493</v>
      </c>
      <c r="W280" s="4">
        <v>2.7397</v>
      </c>
      <c r="X280" s="120" t="s">
        <v>56</v>
      </c>
      <c r="Y280" s="120" t="s">
        <v>57</v>
      </c>
      <c r="Z280" s="1" t="s">
        <v>1810</v>
      </c>
      <c r="AA280" s="1" t="s">
        <v>1811</v>
      </c>
      <c r="AB280" s="3">
        <f>SUMIF('Zinszahlungen Anleihen'!K:K,aktuelleAnleihen[[#This Row],[ISIN]],'Zinszahlungen Anleihen'!D:D)</f>
        <v>0</v>
      </c>
      <c r="AE280" s="9"/>
      <c r="AF280" s="1"/>
      <c r="AI280" s="3"/>
      <c r="AJ280" s="1"/>
      <c r="AM280" s="10"/>
      <c r="AN280" s="1"/>
      <c r="AP280" s="7"/>
      <c r="AQ280" s="1"/>
    </row>
    <row r="281" spans="1:43" x14ac:dyDescent="0.2">
      <c r="A281" s="1" t="s">
        <v>628</v>
      </c>
      <c r="B281" s="1" t="s">
        <v>4</v>
      </c>
      <c r="C281" s="7">
        <v>7.1249999999999994E-2</v>
      </c>
      <c r="D281" s="7">
        <v>1.0733999999999999</v>
      </c>
      <c r="E281" s="7">
        <f>aktuelleAnleihen[[#This Row],[Aktueller Kurs]]-aktuelleAnleihen[[#This Row],[Kaufkurs]]</f>
        <v>5.0999999999998824E-3</v>
      </c>
      <c r="F281" s="8">
        <f>aktuelleAnleihen[[#This Row],[Stückelung]]*aktuelleAnleihen[[#This Row],[Aktueller Kurs]]*aktuelleAnleihen[[#This Row],[Anteile]]/aktuelleAnleihen[[#This Row],[Aktueller Wechselkurs]]+aktuelleAnleihen[[#This Row],[Stückzinsen]]</f>
        <v>2193.2589041095889</v>
      </c>
      <c r="G281" s="8">
        <f>aktuelleAnleihen[[#This Row],[Kursdifferenz]]*aktuelleAnleihen[[#This Row],[Anteile]]*aktuelleAnleihen[[#This Row],[Stückelung]]/aktuelleAnleihen[[#This Row],[Wechselkurs am Kauftag]]</f>
        <v>10.199999999999765</v>
      </c>
      <c r="H281" s="8">
        <f>aktuelleAnleihen[[#This Row],[Stückzinsen]]-aktuelleAnleihen[[#This Row],[Stückzinsen am Kauftag]]+aktuelleAnleihen[[#This Row],[Zinszahlungen]]</f>
        <v>25.376704109589042</v>
      </c>
      <c r="I281" s="8">
        <f>aktuelleAnleihen[[#This Row],[Gewinn gesamt]]-aktuelleAnleihen[[#This Row],[Gewinn aus Kursänderung]]-aktuelleAnleihen[[#This Row],[Gewinn aus Zinsen]]</f>
        <v>-8.8817841970012523E-14</v>
      </c>
      <c r="J281" s="7">
        <f>aktuelleAnleihen[[#This Row],[Gewinn gesamt]]/aktuelleAnleihen[[#This Row],[Kaufpreis]]</f>
        <v>1.6488389304777466E-2</v>
      </c>
      <c r="K281" s="3">
        <f>aktuelleAnleihen[[#This Row],[Verkaufspreis]]-aktuelleAnleihen[[#This Row],[Kaufpreis]]+aktuelleAnleihen[[#This Row],[Zinszahlungen]]</f>
        <v>35.576704109588718</v>
      </c>
      <c r="L281" s="4">
        <v>2157.6822000000002</v>
      </c>
      <c r="M281" s="7">
        <v>1.0683</v>
      </c>
      <c r="N281" s="61">
        <v>1</v>
      </c>
      <c r="O281" s="1">
        <v>1</v>
      </c>
      <c r="P281" s="1" t="s">
        <v>925</v>
      </c>
      <c r="Q281" s="30">
        <v>45385</v>
      </c>
      <c r="R281" s="1">
        <v>2</v>
      </c>
      <c r="S281" s="1">
        <v>1000</v>
      </c>
      <c r="T281" s="9">
        <v>45331</v>
      </c>
      <c r="U281" s="1">
        <v>1</v>
      </c>
      <c r="V281" s="62">
        <f>aktuelleAnleihen[[#This Row],[Stückelung]]*aktuelleAnleihen[[#This Row],[Anteile]]*aktuelleAnleihen[[#This Row],[Coupon]]/aktuelleAnleihen[[#This Row],[Aktueller Wechselkurs]]*($AC$1-aktuelleAnleihen[[#This Row],[Letzte Zinszahlung]])/365</f>
        <v>46.458904109589042</v>
      </c>
      <c r="W281" s="4">
        <v>21.0822</v>
      </c>
      <c r="X281" s="120" t="s">
        <v>629</v>
      </c>
      <c r="Y281" s="120" t="s">
        <v>39</v>
      </c>
      <c r="Z281" s="1" t="s">
        <v>630</v>
      </c>
      <c r="AA281" s="1" t="s">
        <v>631</v>
      </c>
      <c r="AB281" s="3">
        <f>SUMIF('Zinszahlungen Anleihen'!K:K,aktuelleAnleihen[[#This Row],[ISIN]],'Zinszahlungen Anleihen'!D:D)</f>
        <v>0</v>
      </c>
      <c r="AE281" s="9"/>
      <c r="AF281" s="1"/>
      <c r="AI281" s="3"/>
      <c r="AJ281" s="1"/>
      <c r="AM281" s="10"/>
      <c r="AN281" s="1"/>
      <c r="AP281" s="7"/>
      <c r="AQ281" s="1"/>
    </row>
    <row r="282" spans="1:43" x14ac:dyDescent="0.2">
      <c r="A282" s="1" t="s">
        <v>1608</v>
      </c>
      <c r="B282" s="1" t="s">
        <v>0</v>
      </c>
      <c r="C282" s="7">
        <v>8.276E-2</v>
      </c>
      <c r="D282" s="7">
        <v>1.0034999999999998</v>
      </c>
      <c r="E282" s="7">
        <f>aktuelleAnleihen[[#This Row],[Aktueller Kurs]]-aktuelleAnleihen[[#This Row],[Kaufkurs]]</f>
        <v>5.4999999999998384E-3</v>
      </c>
      <c r="F282" s="8">
        <f>aktuelleAnleihen[[#This Row],[Stückelung]]*aktuelleAnleihen[[#This Row],[Aktueller Kurs]]*aktuelleAnleihen[[#This Row],[Anteile]]/aktuelleAnleihen[[#This Row],[Aktueller Wechselkurs]]+aktuelleAnleihen[[#This Row],[Stückzinsen]]</f>
        <v>1877.7819061358944</v>
      </c>
      <c r="G282" s="8">
        <f>aktuelleAnleihen[[#This Row],[Kursdifferenz]]*aktuelleAnleihen[[#This Row],[Anteile]]*aktuelleAnleihen[[#This Row],[Stückelung]]/aktuelleAnleihen[[#This Row],[Wechselkurs am Kauftag]]</f>
        <v>10.258323230438942</v>
      </c>
      <c r="H282" s="8">
        <f>aktuelleAnleihen[[#This Row],[Stückzinsen]]-aktuelleAnleihen[[#This Row],[Stückzinsen am Kauftag]]+aktuelleAnleihen[[#This Row],[Zinszahlungen]]</f>
        <v>15.522319541458764</v>
      </c>
      <c r="I282" s="8">
        <f>aktuelleAnleihen[[#This Row],[Gewinn gesamt]]-aktuelleAnleihen[[#This Row],[Gewinn aus Kursänderung]]-aktuelleAnleihen[[#This Row],[Gewinn aus Zinsen]]</f>
        <v>-28.871636636003416</v>
      </c>
      <c r="J282" s="7">
        <f>aktuelleAnleihen[[#This Row],[Gewinn gesamt]]/aktuelleAnleihen[[#This Row],[Kaufpreis]]</f>
        <v>-1.643382635852594E-3</v>
      </c>
      <c r="K282" s="3">
        <f>aktuelleAnleihen[[#This Row],[Verkaufspreis]]-aktuelleAnleihen[[#This Row],[Kaufpreis]]+aktuelleAnleihen[[#This Row],[Zinszahlungen]]</f>
        <v>-3.0909938641057124</v>
      </c>
      <c r="L282" s="4">
        <v>1880.8729000000001</v>
      </c>
      <c r="M282" s="7">
        <v>0.998</v>
      </c>
      <c r="N282" s="61">
        <v>1.0723</v>
      </c>
      <c r="O282" s="1">
        <v>1.0891</v>
      </c>
      <c r="P282" s="1" t="s">
        <v>887</v>
      </c>
      <c r="Q282" s="30">
        <v>45412</v>
      </c>
      <c r="R282" s="1">
        <v>2</v>
      </c>
      <c r="S282" s="1">
        <v>1000</v>
      </c>
      <c r="T282" s="9">
        <v>45366</v>
      </c>
      <c r="U282" s="1">
        <v>4</v>
      </c>
      <c r="V282" s="62">
        <f>aktuelleAnleihen[[#This Row],[Stückelung]]*aktuelleAnleihen[[#This Row],[Anteile]]*aktuelleAnleihen[[#This Row],[Coupon]]/aktuelleAnleihen[[#This Row],[Aktueller Wechselkurs]]*($AC$1-aktuelleAnleihen[[#This Row],[Letzte Zinszahlung]])/365</f>
        <v>34.975919541458765</v>
      </c>
      <c r="W282" s="4">
        <v>19.453600000000002</v>
      </c>
      <c r="X282" s="120" t="s">
        <v>276</v>
      </c>
      <c r="Y282" s="120" t="s">
        <v>39</v>
      </c>
      <c r="Z282" s="1" t="s">
        <v>1609</v>
      </c>
      <c r="AA282" s="1" t="s">
        <v>1610</v>
      </c>
      <c r="AB282" s="3">
        <f>SUMIF('Zinszahlungen Anleihen'!K:K,aktuelleAnleihen[[#This Row],[ISIN]],'Zinszahlungen Anleihen'!D:D)</f>
        <v>0</v>
      </c>
      <c r="AE282" s="9"/>
      <c r="AF282" s="1"/>
      <c r="AI282" s="3"/>
      <c r="AJ282" s="1"/>
      <c r="AM282" s="10"/>
      <c r="AN282" s="1"/>
      <c r="AP282" s="7"/>
      <c r="AQ282" s="1"/>
    </row>
    <row r="283" spans="1:43" x14ac:dyDescent="0.2">
      <c r="A283" s="1" t="s">
        <v>387</v>
      </c>
      <c r="B283" s="1" t="s">
        <v>2</v>
      </c>
      <c r="C283" s="7">
        <v>8.5000000000000006E-2</v>
      </c>
      <c r="D283" s="7">
        <v>1.0553999999999999</v>
      </c>
      <c r="E283" s="7">
        <f>aktuelleAnleihen[[#This Row],[Aktueller Kurs]]-aktuelleAnleihen[[#This Row],[Kaufkurs]]</f>
        <v>5.1999999999998714E-3</v>
      </c>
      <c r="F283" s="8">
        <f>aktuelleAnleihen[[#This Row],[Stückelung]]*aktuelleAnleihen[[#This Row],[Aktueller Kurs]]*aktuelleAnleihen[[#This Row],[Anteile]]/aktuelleAnleihen[[#This Row],[Aktueller Wechselkurs]]+aktuelleAnleihen[[#This Row],[Stückzinsen]]</f>
        <v>2121.5123287671231</v>
      </c>
      <c r="G283" s="8">
        <f>aktuelleAnleihen[[#This Row],[Kursdifferenz]]*aktuelleAnleihen[[#This Row],[Anteile]]*aktuelleAnleihen[[#This Row],[Stückelung]]/aktuelleAnleihen[[#This Row],[Wechselkurs am Kauftag]]</f>
        <v>10.399999999999743</v>
      </c>
      <c r="H283" s="8">
        <f>aktuelleAnleihen[[#This Row],[Stückzinsen]]-aktuelleAnleihen[[#This Row],[Stückzinsen am Kauftag]]+aktuelleAnleihen[[#This Row],[Zinszahlungen]]</f>
        <v>30.506828767123288</v>
      </c>
      <c r="I283" s="8">
        <f>aktuelleAnleihen[[#This Row],[Gewinn gesamt]]-aktuelleAnleihen[[#This Row],[Gewinn aus Kursänderung]]-aktuelleAnleihen[[#This Row],[Gewinn aus Zinsen]]</f>
        <v>-4.2632564145606011E-14</v>
      </c>
      <c r="J283" s="7">
        <f>aktuelleAnleihen[[#This Row],[Gewinn gesamt]]/aktuelleAnleihen[[#This Row],[Kaufpreis]]</f>
        <v>1.8889326226370864E-2</v>
      </c>
      <c r="K283" s="3">
        <f>aktuelleAnleihen[[#This Row],[Verkaufspreis]]-aktuelleAnleihen[[#This Row],[Kaufpreis]]+aktuelleAnleihen[[#This Row],[Zinszahlungen]]</f>
        <v>40.906828767122988</v>
      </c>
      <c r="L283" s="4">
        <v>2165.6055000000001</v>
      </c>
      <c r="M283" s="7">
        <v>1.0502</v>
      </c>
      <c r="N283" s="61">
        <v>1</v>
      </c>
      <c r="O283" s="1">
        <v>1</v>
      </c>
      <c r="P283" s="1" t="s">
        <v>925</v>
      </c>
      <c r="Q283" s="30">
        <v>45385</v>
      </c>
      <c r="R283" s="1">
        <v>2</v>
      </c>
      <c r="S283" s="1">
        <v>1000</v>
      </c>
      <c r="T283" s="9">
        <v>45427</v>
      </c>
      <c r="U283" s="1">
        <v>2</v>
      </c>
      <c r="V283" s="62">
        <f>aktuelleAnleihen[[#This Row],[Stückelung]]*aktuelleAnleihen[[#This Row],[Anteile]]*aktuelleAnleihen[[#This Row],[Coupon]]/aktuelleAnleihen[[#This Row],[Aktueller Wechselkurs]]*($AC$1-aktuelleAnleihen[[#This Row],[Letzte Zinszahlung]])/365</f>
        <v>10.712328767123287</v>
      </c>
      <c r="W283" s="4">
        <v>65.205500000000001</v>
      </c>
      <c r="X283" s="120" t="s">
        <v>65</v>
      </c>
      <c r="Y283" s="120" t="s">
        <v>44</v>
      </c>
      <c r="Z283" s="1" t="s">
        <v>388</v>
      </c>
      <c r="AA283" s="1" t="s">
        <v>389</v>
      </c>
      <c r="AB283" s="3">
        <f>SUMIF('Zinszahlungen Anleihen'!K:K,aktuelleAnleihen[[#This Row],[ISIN]],'Zinszahlungen Anleihen'!D:D)</f>
        <v>85</v>
      </c>
      <c r="AE283" s="9"/>
      <c r="AF283" s="1"/>
      <c r="AI283" s="3"/>
      <c r="AJ283" s="1"/>
      <c r="AM283" s="10"/>
      <c r="AN283" s="1"/>
      <c r="AP283" s="7"/>
      <c r="AQ283" s="1"/>
    </row>
    <row r="284" spans="1:43" x14ac:dyDescent="0.2">
      <c r="A284" s="1" t="s">
        <v>1225</v>
      </c>
      <c r="B284" s="1" t="s">
        <v>11</v>
      </c>
      <c r="C284" s="7">
        <v>9.375E-2</v>
      </c>
      <c r="D284" s="7">
        <v>0.8498</v>
      </c>
      <c r="E284" s="7">
        <f>aktuelleAnleihen[[#This Row],[Aktueller Kurs]]-aktuelleAnleihen[[#This Row],[Kaufkurs]]</f>
        <v>5.7000000000000384E-3</v>
      </c>
      <c r="F284" s="8">
        <f>aktuelleAnleihen[[#This Row],[Stückelung]]*aktuelleAnleihen[[#This Row],[Aktueller Kurs]]*aktuelleAnleihen[[#This Row],[Anteile]]/aktuelleAnleihen[[#This Row],[Aktueller Wechselkurs]]+aktuelleAnleihen[[#This Row],[Stückzinsen]]</f>
        <v>1643.0972915930333</v>
      </c>
      <c r="G284" s="8">
        <f>aktuelleAnleihen[[#This Row],[Kursdifferenz]]*aktuelleAnleihen[[#This Row],[Anteile]]*aktuelleAnleihen[[#This Row],[Stückelung]]/aktuelleAnleihen[[#This Row],[Wechselkurs am Kauftag]]</f>
        <v>10.63135316609165</v>
      </c>
      <c r="H284" s="8">
        <f>aktuelleAnleihen[[#This Row],[Stückzinsen]]-aktuelleAnleihen[[#This Row],[Stückzinsen am Kauftag]]+aktuelleAnleihen[[#This Row],[Zinszahlungen]]</f>
        <v>16.911105237326765</v>
      </c>
      <c r="I284" s="8">
        <f>aktuelleAnleihen[[#This Row],[Gewinn gesamt]]-aktuelleAnleihen[[#This Row],[Gewinn aus Kursänderung]]-aktuelleAnleihen[[#This Row],[Gewinn aus Zinsen]]</f>
        <v>-24.449566810385114</v>
      </c>
      <c r="J284" s="7">
        <f>aktuelleAnleihen[[#This Row],[Gewinn gesamt]]/aktuelleAnleihen[[#This Row],[Kaufpreis]]</f>
        <v>1.8859044482034929E-3</v>
      </c>
      <c r="K284" s="3">
        <f>aktuelleAnleihen[[#This Row],[Verkaufspreis]]-aktuelleAnleihen[[#This Row],[Kaufpreis]]+aktuelleAnleihen[[#This Row],[Zinszahlungen]]</f>
        <v>3.0928915930333005</v>
      </c>
      <c r="L284" s="4">
        <v>1640.0044</v>
      </c>
      <c r="M284" s="7">
        <v>0.84409999999999996</v>
      </c>
      <c r="N284" s="61">
        <v>1.0723</v>
      </c>
      <c r="O284" s="1">
        <v>1.0891</v>
      </c>
      <c r="P284" s="1" t="s">
        <v>887</v>
      </c>
      <c r="Q284" s="30">
        <v>45412</v>
      </c>
      <c r="R284" s="1">
        <v>2</v>
      </c>
      <c r="S284" s="1">
        <v>1000</v>
      </c>
      <c r="T284" s="9">
        <v>45275</v>
      </c>
      <c r="U284" s="1">
        <v>2</v>
      </c>
      <c r="V284" s="62">
        <f>aktuelleAnleihen[[#This Row],[Stückelung]]*aktuelleAnleihen[[#This Row],[Anteile]]*aktuelleAnleihen[[#This Row],[Coupon]]/aktuelleAnleihen[[#This Row],[Aktueller Wechselkurs]]*($AC$1-aktuelleAnleihen[[#This Row],[Letzte Zinszahlung]])/365</f>
        <v>82.542705237326771</v>
      </c>
      <c r="W284" s="4">
        <v>65.631600000000006</v>
      </c>
      <c r="X284" s="120" t="s">
        <v>1532</v>
      </c>
      <c r="Y284" s="120" t="s">
        <v>61</v>
      </c>
      <c r="Z284" s="1" t="s">
        <v>1226</v>
      </c>
      <c r="AA284" s="1" t="s">
        <v>1227</v>
      </c>
      <c r="AB284" s="3">
        <f>SUMIF('Zinszahlungen Anleihen'!K:K,aktuelleAnleihen[[#This Row],[ISIN]],'Zinszahlungen Anleihen'!D:D)</f>
        <v>0</v>
      </c>
      <c r="AE284" s="9"/>
      <c r="AF284" s="1"/>
      <c r="AI284" s="3"/>
      <c r="AJ284" s="1"/>
      <c r="AM284" s="10"/>
      <c r="AN284" s="1"/>
      <c r="AP284" s="7"/>
      <c r="AQ284" s="1"/>
    </row>
    <row r="285" spans="1:43" x14ac:dyDescent="0.2">
      <c r="A285" s="1" t="s">
        <v>1170</v>
      </c>
      <c r="B285" s="1" t="s">
        <v>11</v>
      </c>
      <c r="C285" s="7">
        <v>9.6250000000000002E-2</v>
      </c>
      <c r="D285" s="7">
        <v>1.0266</v>
      </c>
      <c r="E285" s="7">
        <f>aktuelleAnleihen[[#This Row],[Aktueller Kurs]]-aktuelleAnleihen[[#This Row],[Kaufkurs]]</f>
        <v>5.7000000000000384E-3</v>
      </c>
      <c r="F285" s="8">
        <f>aktuelleAnleihen[[#This Row],[Stückelung]]*aktuelleAnleihen[[#This Row],[Aktueller Kurs]]*aktuelleAnleihen[[#This Row],[Anteile]]/aktuelleAnleihen[[#This Row],[Aktueller Wechselkurs]]+aktuelleAnleihen[[#This Row],[Stückzinsen]]</f>
        <v>1932.6828863344499</v>
      </c>
      <c r="G285" s="8">
        <f>aktuelleAnleihen[[#This Row],[Kursdifferenz]]*aktuelleAnleihen[[#This Row],[Anteile]]*aktuelleAnleihen[[#This Row],[Stückelung]]/aktuelleAnleihen[[#This Row],[Wechselkurs am Kauftag]]</f>
        <v>10.63135316609165</v>
      </c>
      <c r="H285" s="8">
        <f>aktuelleAnleihen[[#This Row],[Stückzinsen]]-aktuelleAnleihen[[#This Row],[Stückzinsen am Kauftag]]+aktuelleAnleihen[[#This Row],[Zinszahlungen]]</f>
        <v>17.94635266444708</v>
      </c>
      <c r="I285" s="8">
        <f>aktuelleAnleihen[[#This Row],[Gewinn gesamt]]-aktuelleAnleihen[[#This Row],[Gewinn aus Kursänderung]]-aktuelleAnleihen[[#This Row],[Gewinn aus Zinsen]]</f>
        <v>-29.536419496088751</v>
      </c>
      <c r="J285" s="7">
        <f>aktuelleAnleihen[[#This Row],[Gewinn gesamt]]/aktuelleAnleihen[[#This Row],[Kaufpreis]]</f>
        <v>-4.9580732310994019E-4</v>
      </c>
      <c r="K285" s="3">
        <f>aktuelleAnleihen[[#This Row],[Verkaufspreis]]-aktuelleAnleihen[[#This Row],[Kaufpreis]]+aktuelleAnleihen[[#This Row],[Zinszahlungen]]</f>
        <v>-0.95871366555002169</v>
      </c>
      <c r="L285" s="4">
        <v>1933.6415999999999</v>
      </c>
      <c r="M285" s="7">
        <v>1.0208999999999999</v>
      </c>
      <c r="N285" s="61">
        <v>1.0723</v>
      </c>
      <c r="O285" s="1">
        <v>1.0891</v>
      </c>
      <c r="P285" s="1" t="s">
        <v>887</v>
      </c>
      <c r="Q285" s="30">
        <v>45412</v>
      </c>
      <c r="R285" s="1">
        <v>2</v>
      </c>
      <c r="S285" s="1">
        <v>1000</v>
      </c>
      <c r="T285" s="9">
        <v>45352</v>
      </c>
      <c r="U285" s="1">
        <v>2</v>
      </c>
      <c r="V285" s="62">
        <f>aktuelleAnleihen[[#This Row],[Stückelung]]*aktuelleAnleihen[[#This Row],[Anteile]]*aktuelleAnleihen[[#This Row],[Coupon]]/aktuelleAnleihen[[#This Row],[Aktueller Wechselkurs]]*($AC$1-aktuelleAnleihen[[#This Row],[Letzte Zinszahlung]])/365</f>
        <v>47.456552664447081</v>
      </c>
      <c r="W285" s="4">
        <v>29.510200000000001</v>
      </c>
      <c r="X285" s="120" t="s">
        <v>1141</v>
      </c>
      <c r="Y285" s="120" t="s">
        <v>39</v>
      </c>
      <c r="Z285" s="1" t="s">
        <v>1171</v>
      </c>
      <c r="AA285" s="1" t="s">
        <v>1172</v>
      </c>
      <c r="AB285" s="3">
        <f>SUMIF('Zinszahlungen Anleihen'!K:K,aktuelleAnleihen[[#This Row],[ISIN]],'Zinszahlungen Anleihen'!D:D)</f>
        <v>0</v>
      </c>
      <c r="AE285" s="9"/>
      <c r="AF285" s="1"/>
      <c r="AI285" s="3"/>
      <c r="AJ285" s="1"/>
      <c r="AM285" s="10"/>
      <c r="AN285" s="1"/>
      <c r="AP285" s="7"/>
      <c r="AQ285" s="1"/>
    </row>
    <row r="286" spans="1:43" x14ac:dyDescent="0.2">
      <c r="A286" s="1" t="s">
        <v>1750</v>
      </c>
      <c r="B286" s="1" t="s">
        <v>11</v>
      </c>
      <c r="C286" s="7">
        <v>0.08</v>
      </c>
      <c r="D286" s="7">
        <v>1</v>
      </c>
      <c r="E286" s="7">
        <f>aktuelleAnleihen[[#This Row],[Aktueller Kurs]]-aktuelleAnleihen[[#This Row],[Kaufkurs]]</f>
        <v>5.9000000000000163E-3</v>
      </c>
      <c r="F286" s="8">
        <f>aktuelleAnleihen[[#This Row],[Stückelung]]*aktuelleAnleihen[[#This Row],[Aktueller Kurs]]*aktuelleAnleihen[[#This Row],[Anteile]]/aktuelleAnleihen[[#This Row],[Aktueller Wechselkurs]]+aktuelleAnleihen[[#This Row],[Stückzinsen]]</f>
        <v>1899.9727058788017</v>
      </c>
      <c r="G286" s="8">
        <f>aktuelleAnleihen[[#This Row],[Kursdifferenz]]*aktuelleAnleihen[[#This Row],[Anteile]]*aktuelleAnleihen[[#This Row],[Stückelung]]/aktuelleAnleihen[[#This Row],[Wechselkurs am Kauftag]]</f>
        <v>11.004383101743946</v>
      </c>
      <c r="H286" s="8">
        <f>aktuelleAnleihen[[#This Row],[Stückzinsen]]-aktuelleAnleihen[[#This Row],[Stückzinsen am Kauftag]]+aktuelleAnleihen[[#This Row],[Zinszahlungen]]</f>
        <v>14.538044598845609</v>
      </c>
      <c r="I286" s="8">
        <f>aktuelleAnleihen[[#This Row],[Gewinn gesamt]]-aktuelleAnleihen[[#This Row],[Gewinn aus Kursänderung]]-aktuelleAnleihen[[#This Row],[Gewinn aus Zinsen]]</f>
        <v>-28.771021821787841</v>
      </c>
      <c r="J286" s="7">
        <f>aktuelleAnleihen[[#This Row],[Gewinn gesamt]]/aktuelleAnleihen[[#This Row],[Kaufpreis]]</f>
        <v>-1.6964018053152257E-3</v>
      </c>
      <c r="K286" s="3">
        <f>aktuelleAnleihen[[#This Row],[Verkaufspreis]]-aktuelleAnleihen[[#This Row],[Kaufpreis]]+aktuelleAnleihen[[#This Row],[Zinszahlungen]]</f>
        <v>-3.2285941211982845</v>
      </c>
      <c r="L286" s="4">
        <v>1903.2012999999999</v>
      </c>
      <c r="M286" s="7">
        <v>0.99409999999999998</v>
      </c>
      <c r="N286" s="61">
        <v>1.0723</v>
      </c>
      <c r="O286" s="1">
        <v>1.0891</v>
      </c>
      <c r="P286" s="1" t="s">
        <v>887</v>
      </c>
      <c r="Q286" s="30">
        <v>45412</v>
      </c>
      <c r="R286" s="1">
        <v>20</v>
      </c>
      <c r="S286" s="1">
        <v>100</v>
      </c>
      <c r="T286" s="9">
        <v>45292</v>
      </c>
      <c r="U286" s="1">
        <v>2</v>
      </c>
      <c r="V286" s="62">
        <f>aktuelleAnleihen[[#This Row],[Stückelung]]*aktuelleAnleihen[[#This Row],[Anteile]]*aktuelleAnleihen[[#This Row],[Coupon]]/aktuelleAnleihen[[#This Row],[Aktueller Wechselkurs]]*($AC$1-aktuelleAnleihen[[#This Row],[Letzte Zinszahlung]])/365</f>
        <v>63.594044598845606</v>
      </c>
      <c r="W286" s="4">
        <v>49.055999999999997</v>
      </c>
      <c r="X286" s="120" t="s">
        <v>1751</v>
      </c>
      <c r="Y286" s="120" t="s">
        <v>984</v>
      </c>
      <c r="Z286" s="1" t="s">
        <v>1752</v>
      </c>
      <c r="AA286" s="1" t="s">
        <v>1753</v>
      </c>
      <c r="AB286" s="3">
        <f>SUMIF('Zinszahlungen Anleihen'!K:K,aktuelleAnleihen[[#This Row],[ISIN]],'Zinszahlungen Anleihen'!D:D)</f>
        <v>0</v>
      </c>
      <c r="AE286" s="9"/>
      <c r="AF286" s="1"/>
      <c r="AI286" s="3"/>
      <c r="AJ286" s="1"/>
      <c r="AM286" s="10"/>
      <c r="AN286" s="1"/>
      <c r="AP286" s="7"/>
      <c r="AQ286" s="1"/>
    </row>
    <row r="287" spans="1:43" x14ac:dyDescent="0.2">
      <c r="A287" s="1" t="s">
        <v>1683</v>
      </c>
      <c r="B287" s="1" t="s">
        <v>0</v>
      </c>
      <c r="C287" s="7">
        <v>8.1250000000000003E-2</v>
      </c>
      <c r="D287" s="7">
        <v>1.0309999999999999</v>
      </c>
      <c r="E287" s="7">
        <f>aktuelleAnleihen[[#This Row],[Aktueller Kurs]]-aktuelleAnleihen[[#This Row],[Kaufkurs]]</f>
        <v>5.9000000000000163E-3</v>
      </c>
      <c r="F287" s="8">
        <f>aktuelleAnleihen[[#This Row],[Stückelung]]*aktuelleAnleihen[[#This Row],[Aktueller Kurs]]*aktuelleAnleihen[[#This Row],[Anteile]]/aktuelleAnleihen[[#This Row],[Aktueller Wechselkurs]]+aktuelleAnleihen[[#This Row],[Stückzinsen]]</f>
        <v>1908.8401507842973</v>
      </c>
      <c r="G287" s="8">
        <f>aktuelleAnleihen[[#This Row],[Kursdifferenz]]*aktuelleAnleihen[[#This Row],[Anteile]]*aktuelleAnleihen[[#This Row],[Stückelung]]/aktuelleAnleihen[[#This Row],[Wechselkurs am Kauftag]]</f>
        <v>11.004383101743946</v>
      </c>
      <c r="H287" s="8">
        <f>aktuelleAnleihen[[#This Row],[Stückzinsen]]-aktuelleAnleihen[[#This Row],[Stückzinsen am Kauftag]]+aktuelleAnleihen[[#This Row],[Zinszahlungen]]</f>
        <v>15.533751004662641</v>
      </c>
      <c r="I287" s="8">
        <f>aktuelleAnleihen[[#This Row],[Gewinn gesamt]]-aktuelleAnleihen[[#This Row],[Gewinn aus Kursänderung]]-aktuelleAnleihen[[#This Row],[Gewinn aus Zinsen]]</f>
        <v>-29.662883322109238</v>
      </c>
      <c r="J287" s="7">
        <f>aktuelleAnleihen[[#This Row],[Gewinn gesamt]]/aktuelleAnleihen[[#This Row],[Kaufpreis]]</f>
        <v>-1.63431306490127E-3</v>
      </c>
      <c r="K287" s="3">
        <f>aktuelleAnleihen[[#This Row],[Verkaufspreis]]-aktuelleAnleihen[[#This Row],[Kaufpreis]]+aktuelleAnleihen[[#This Row],[Zinszahlungen]]</f>
        <v>-3.12474921570265</v>
      </c>
      <c r="L287" s="4">
        <v>1911.9648999999999</v>
      </c>
      <c r="M287" s="7">
        <v>1.0250999999999999</v>
      </c>
      <c r="N287" s="61">
        <v>1.0723</v>
      </c>
      <c r="O287" s="1">
        <v>1.0891</v>
      </c>
      <c r="P287" s="1" t="s">
        <v>887</v>
      </c>
      <c r="Q287" s="30">
        <v>45412</v>
      </c>
      <c r="R287" s="1">
        <v>2</v>
      </c>
      <c r="S287" s="1">
        <v>1000</v>
      </c>
      <c r="T287" s="9">
        <v>45412</v>
      </c>
      <c r="U287" s="1">
        <v>4</v>
      </c>
      <c r="V287" s="62">
        <f>aktuelleAnleihen[[#This Row],[Stückelung]]*aktuelleAnleihen[[#This Row],[Anteile]]*aktuelleAnleihen[[#This Row],[Coupon]]/aktuelleAnleihen[[#This Row],[Aktueller Wechselkurs]]*($AC$1-aktuelleAnleihen[[#This Row],[Letzte Zinszahlung]])/365</f>
        <v>15.533751004662641</v>
      </c>
      <c r="W287" s="4">
        <v>0</v>
      </c>
      <c r="X287" s="120" t="s">
        <v>1096</v>
      </c>
      <c r="Y287" s="120" t="s">
        <v>39</v>
      </c>
      <c r="Z287" s="1" t="s">
        <v>1684</v>
      </c>
      <c r="AA287" s="1" t="s">
        <v>1685</v>
      </c>
      <c r="AB287" s="3">
        <f>SUMIF('Zinszahlungen Anleihen'!K:K,aktuelleAnleihen[[#This Row],[ISIN]],'Zinszahlungen Anleihen'!D:D)</f>
        <v>0</v>
      </c>
      <c r="AE287" s="9"/>
      <c r="AF287" s="1"/>
      <c r="AI287" s="3"/>
      <c r="AJ287" s="1"/>
      <c r="AM287" s="10"/>
      <c r="AN287" s="1"/>
      <c r="AP287" s="7"/>
      <c r="AQ287" s="1"/>
    </row>
    <row r="288" spans="1:43" x14ac:dyDescent="0.2">
      <c r="A288" s="1" t="s">
        <v>1231</v>
      </c>
      <c r="B288" s="1" t="s">
        <v>0</v>
      </c>
      <c r="C288" s="7">
        <v>9.375E-2</v>
      </c>
      <c r="D288" s="7">
        <v>1.0306999999999999</v>
      </c>
      <c r="E288" s="7">
        <f>aktuelleAnleihen[[#This Row],[Aktueller Kurs]]-aktuelleAnleihen[[#This Row],[Kaufkurs]]</f>
        <v>5.9000000000000163E-3</v>
      </c>
      <c r="F288" s="8">
        <f>aktuelleAnleihen[[#This Row],[Stückelung]]*aktuelleAnleihen[[#This Row],[Aktueller Kurs]]*aktuelleAnleihen[[#This Row],[Anteile]]/aktuelleAnleihen[[#This Row],[Aktueller Wechselkurs]]+aktuelleAnleihen[[#This Row],[Stückzinsen]]</f>
        <v>1959.7329955738244</v>
      </c>
      <c r="G288" s="8">
        <f>aktuelleAnleihen[[#This Row],[Kursdifferenz]]*aktuelleAnleihen[[#This Row],[Anteile]]*aktuelleAnleihen[[#This Row],[Stückelung]]/aktuelleAnleihen[[#This Row],[Wechselkurs am Kauftag]]</f>
        <v>11.004383101743946</v>
      </c>
      <c r="H288" s="8">
        <f>aktuelleAnleihen[[#This Row],[Stückzinsen]]-aktuelleAnleihen[[#This Row],[Stückzinsen am Kauftag]]+aktuelleAnleihen[[#This Row],[Zinszahlungen]]</f>
        <v>17.155009392573724</v>
      </c>
      <c r="I288" s="8">
        <f>aktuelleAnleihen[[#This Row],[Gewinn gesamt]]-aktuelleAnleihen[[#This Row],[Gewinn aus Kursänderung]]-aktuelleAnleihen[[#This Row],[Gewinn aus Zinsen]]</f>
        <v>-29.65429692049338</v>
      </c>
      <c r="J288" s="7">
        <f>aktuelleAnleihen[[#This Row],[Gewinn gesamt]]/aktuelleAnleihen[[#This Row],[Kaufpreis]]</f>
        <v>-7.6222881908609809E-4</v>
      </c>
      <c r="K288" s="3">
        <f>aktuelleAnleihen[[#This Row],[Verkaufspreis]]-aktuelleAnleihen[[#This Row],[Kaufpreis]]+aktuelleAnleihen[[#This Row],[Zinszahlungen]]</f>
        <v>-1.4949044261757081</v>
      </c>
      <c r="L288" s="4">
        <v>1961.2279000000001</v>
      </c>
      <c r="M288" s="7">
        <v>1.0247999999999999</v>
      </c>
      <c r="N288" s="61">
        <v>1.0723</v>
      </c>
      <c r="O288" s="1">
        <v>1.0891</v>
      </c>
      <c r="P288" s="1" t="s">
        <v>887</v>
      </c>
      <c r="Q288" s="30">
        <v>45412</v>
      </c>
      <c r="R288" s="1">
        <v>2</v>
      </c>
      <c r="S288" s="1">
        <v>1000</v>
      </c>
      <c r="T288" s="9">
        <v>45308</v>
      </c>
      <c r="U288" s="1">
        <v>2</v>
      </c>
      <c r="V288" s="62">
        <f>aktuelleAnleihen[[#This Row],[Stückelung]]*aktuelleAnleihen[[#This Row],[Anteile]]*aktuelleAnleihen[[#This Row],[Coupon]]/aktuelleAnleihen[[#This Row],[Aktueller Wechselkurs]]*($AC$1-aktuelleAnleihen[[#This Row],[Letzte Zinszahlung]])/365</f>
        <v>66.977509392573722</v>
      </c>
      <c r="W288" s="4">
        <v>49.822499999999998</v>
      </c>
      <c r="X288" s="120" t="s">
        <v>1004</v>
      </c>
      <c r="Y288" s="120" t="s">
        <v>39</v>
      </c>
      <c r="Z288" s="1" t="s">
        <v>1232</v>
      </c>
      <c r="AA288" s="1" t="s">
        <v>1233</v>
      </c>
      <c r="AB288" s="3">
        <f>SUMIF('Zinszahlungen Anleihen'!K:K,aktuelleAnleihen[[#This Row],[ISIN]],'Zinszahlungen Anleihen'!D:D)</f>
        <v>0</v>
      </c>
      <c r="AE288" s="9"/>
      <c r="AF288" s="1"/>
      <c r="AI288" s="3"/>
      <c r="AJ288" s="1"/>
      <c r="AM288" s="10"/>
      <c r="AN288" s="1"/>
      <c r="AP288" s="7"/>
      <c r="AQ288" s="1"/>
    </row>
    <row r="289" spans="1:43" x14ac:dyDescent="0.2">
      <c r="A289" s="1" t="s">
        <v>1240</v>
      </c>
      <c r="B289" s="1" t="s">
        <v>4</v>
      </c>
      <c r="C289" s="7">
        <v>9.35E-2</v>
      </c>
      <c r="D289" s="7">
        <v>0.91476999999999997</v>
      </c>
      <c r="E289" s="7">
        <f>aktuelleAnleihen[[#This Row],[Aktueller Kurs]]-aktuelleAnleihen[[#This Row],[Kaufkurs]]</f>
        <v>5.9699999999999198E-3</v>
      </c>
      <c r="F289" s="8">
        <f>aktuelleAnleihen[[#This Row],[Stückelung]]*aktuelleAnleihen[[#This Row],[Aktueller Kurs]]*aktuelleAnleihen[[#This Row],[Anteile]]/aktuelleAnleihen[[#This Row],[Aktueller Wechselkurs]]+aktuelleAnleihen[[#This Row],[Stückzinsen]]</f>
        <v>1762.1866993357592</v>
      </c>
      <c r="G289" s="8">
        <f>aktuelleAnleihen[[#This Row],[Kursdifferenz]]*aktuelleAnleihen[[#This Row],[Anteile]]*aktuelleAnleihen[[#This Row],[Stückelung]]/aktuelleAnleihen[[#This Row],[Wechselkurs am Kauftag]]</f>
        <v>11.134943579222083</v>
      </c>
      <c r="H289" s="8">
        <f>aktuelleAnleihen[[#This Row],[Stückzinsen]]-aktuelleAnleihen[[#This Row],[Stückzinsen am Kauftag]]+aktuelleAnleihen[[#This Row],[Zinszahlungen]]</f>
        <v>16.866091356693914</v>
      </c>
      <c r="I289" s="8">
        <f>aktuelleAnleihen[[#This Row],[Gewinn gesamt]]-aktuelleAnleihen[[#This Row],[Gewinn aus Kursänderung]]-aktuelleAnleihen[[#This Row],[Gewinn aus Zinsen]]</f>
        <v>-26.31893560015682</v>
      </c>
      <c r="J289" s="7">
        <f>aktuelleAnleihen[[#This Row],[Gewinn gesamt]]/aktuelleAnleihen[[#This Row],[Kaufpreis]]</f>
        <v>9.5546432298965656E-4</v>
      </c>
      <c r="K289" s="3">
        <f>aktuelleAnleihen[[#This Row],[Verkaufspreis]]-aktuelleAnleihen[[#This Row],[Kaufpreis]]+aktuelleAnleihen[[#This Row],[Zinszahlungen]]</f>
        <v>1.682099335759176</v>
      </c>
      <c r="L289" s="4">
        <v>1760.5046</v>
      </c>
      <c r="M289" s="7">
        <v>0.90880000000000005</v>
      </c>
      <c r="N289" s="61">
        <v>1.0723</v>
      </c>
      <c r="O289" s="1">
        <v>1.0891</v>
      </c>
      <c r="P289" s="1" t="s">
        <v>887</v>
      </c>
      <c r="Q289" s="30">
        <v>45412</v>
      </c>
      <c r="R289" s="1">
        <v>2</v>
      </c>
      <c r="S289" s="1">
        <v>1000</v>
      </c>
      <c r="T289" s="9">
        <v>45275</v>
      </c>
      <c r="U289" s="1">
        <v>2</v>
      </c>
      <c r="V289" s="62">
        <f>aktuelleAnleihen[[#This Row],[Stückelung]]*aktuelleAnleihen[[#This Row],[Anteile]]*aktuelleAnleihen[[#This Row],[Coupon]]/aktuelleAnleihen[[#This Row],[Aktueller Wechselkurs]]*($AC$1-aktuelleAnleihen[[#This Row],[Letzte Zinszahlung]])/365</f>
        <v>82.32259135669392</v>
      </c>
      <c r="W289" s="4">
        <v>65.456500000000005</v>
      </c>
      <c r="X289" s="120" t="s">
        <v>986</v>
      </c>
      <c r="Y289" s="120" t="s">
        <v>57</v>
      </c>
      <c r="Z289" s="1" t="s">
        <v>1241</v>
      </c>
      <c r="AA289" s="1" t="s">
        <v>1242</v>
      </c>
      <c r="AB289" s="3">
        <f>SUMIF('Zinszahlungen Anleihen'!K:K,aktuelleAnleihen[[#This Row],[ISIN]],'Zinszahlungen Anleihen'!D:D)</f>
        <v>0</v>
      </c>
      <c r="AE289" s="9"/>
      <c r="AF289" s="1"/>
      <c r="AI289" s="3"/>
      <c r="AJ289" s="1"/>
      <c r="AM289" s="10"/>
      <c r="AN289" s="1"/>
      <c r="AP289" s="7"/>
      <c r="AQ289" s="1"/>
    </row>
    <row r="290" spans="1:43" x14ac:dyDescent="0.2">
      <c r="A290" s="1" t="s">
        <v>583</v>
      </c>
      <c r="B290" s="1" t="s">
        <v>0</v>
      </c>
      <c r="C290" s="7">
        <v>7.4400000000000008E-2</v>
      </c>
      <c r="D290" s="7">
        <v>1.0043</v>
      </c>
      <c r="E290" s="7">
        <f>aktuelleAnleihen[[#This Row],[Aktueller Kurs]]-aktuelleAnleihen[[#This Row],[Kaufkurs]]</f>
        <v>5.5999999999999384E-3</v>
      </c>
      <c r="F290" s="8">
        <f>aktuelleAnleihen[[#This Row],[Stückelung]]*aktuelleAnleihen[[#This Row],[Aktueller Kurs]]*aktuelleAnleihen[[#This Row],[Anteile]]/aktuelleAnleihen[[#This Row],[Aktueller Wechselkurs]]+aktuelleAnleihen[[#This Row],[Stückzinsen]]</f>
        <v>2042.8443835616438</v>
      </c>
      <c r="G290" s="8">
        <f>aktuelleAnleihen[[#This Row],[Kursdifferenz]]*aktuelleAnleihen[[#This Row],[Anteile]]*aktuelleAnleihen[[#This Row],[Stückelung]]/aktuelleAnleihen[[#This Row],[Wechselkurs am Kauftag]]</f>
        <v>11.199999999999877</v>
      </c>
      <c r="H290" s="8">
        <f>aktuelleAnleihen[[#This Row],[Stückzinsen]]-aktuelleAnleihen[[#This Row],[Stückzinsen am Kauftag]]+aktuelleAnleihen[[#This Row],[Zinszahlungen]]</f>
        <v>26.498583561643837</v>
      </c>
      <c r="I290" s="8">
        <f>aktuelleAnleihen[[#This Row],[Gewinn gesamt]]-aktuelleAnleihen[[#This Row],[Gewinn aus Kursänderung]]-aktuelleAnleihen[[#This Row],[Gewinn aus Zinsen]]</f>
        <v>6.0396132539608516E-14</v>
      </c>
      <c r="J290" s="7">
        <f>aktuelleAnleihen[[#This Row],[Gewinn gesamt]]/aktuelleAnleihen[[#This Row],[Kaufpreis]]</f>
        <v>1.8800918896592841E-2</v>
      </c>
      <c r="K290" s="3">
        <f>aktuelleAnleihen[[#This Row],[Verkaufspreis]]-aktuelleAnleihen[[#This Row],[Kaufpreis]]+aktuelleAnleihen[[#This Row],[Zinszahlungen]]</f>
        <v>37.698583561643773</v>
      </c>
      <c r="L290" s="4">
        <v>2005.1458</v>
      </c>
      <c r="M290" s="7">
        <v>0.99870000000000003</v>
      </c>
      <c r="N290" s="61">
        <v>1</v>
      </c>
      <c r="O290" s="1">
        <v>1</v>
      </c>
      <c r="P290" s="1" t="s">
        <v>925</v>
      </c>
      <c r="Q290" s="30">
        <v>45385</v>
      </c>
      <c r="R290" s="1">
        <v>2</v>
      </c>
      <c r="S290" s="1">
        <v>1000</v>
      </c>
      <c r="T290" s="9">
        <v>45366</v>
      </c>
      <c r="U290" s="1">
        <v>4</v>
      </c>
      <c r="V290" s="62">
        <f>aktuelleAnleihen[[#This Row],[Stückelung]]*aktuelleAnleihen[[#This Row],[Anteile]]*aktuelleAnleihen[[#This Row],[Coupon]]/aktuelleAnleihen[[#This Row],[Aktueller Wechselkurs]]*($AC$1-aktuelleAnleihen[[#This Row],[Letzte Zinszahlung]])/365</f>
        <v>34.244383561643836</v>
      </c>
      <c r="W290" s="4">
        <v>7.7458</v>
      </c>
      <c r="X290" s="120" t="s">
        <v>102</v>
      </c>
      <c r="Y290" s="120" t="s">
        <v>61</v>
      </c>
      <c r="Z290" s="1" t="s">
        <v>584</v>
      </c>
      <c r="AA290" s="1" t="s">
        <v>585</v>
      </c>
      <c r="AB290" s="3">
        <f>SUMIF('Zinszahlungen Anleihen'!K:K,aktuelleAnleihen[[#This Row],[ISIN]],'Zinszahlungen Anleihen'!D:D)</f>
        <v>0</v>
      </c>
      <c r="AE290" s="9"/>
      <c r="AF290" s="1"/>
      <c r="AI290" s="3"/>
      <c r="AJ290" s="1"/>
      <c r="AM290" s="10"/>
      <c r="AN290" s="1"/>
      <c r="AP290" s="7"/>
      <c r="AQ290" s="1"/>
    </row>
    <row r="291" spans="1:43" x14ac:dyDescent="0.2">
      <c r="A291" s="1" t="s">
        <v>1376</v>
      </c>
      <c r="B291" s="1" t="s">
        <v>2</v>
      </c>
      <c r="C291" s="7">
        <v>8.7499999999999994E-2</v>
      </c>
      <c r="D291" s="7">
        <v>1.0504</v>
      </c>
      <c r="E291" s="7">
        <f>aktuelleAnleihen[[#This Row],[Aktueller Kurs]]-aktuelleAnleihen[[#This Row],[Kaufkurs]]</f>
        <v>6.1999999999999833E-3</v>
      </c>
      <c r="F291" s="8">
        <f>aktuelleAnleihen[[#This Row],[Stückelung]]*aktuelleAnleihen[[#This Row],[Aktueller Kurs]]*aktuelleAnleihen[[#This Row],[Anteile]]/aktuelleAnleihen[[#This Row],[Aktueller Wechselkurs]]+aktuelleAnleihen[[#This Row],[Stückzinsen]]</f>
        <v>1935.5355622274521</v>
      </c>
      <c r="G291" s="8">
        <f>aktuelleAnleihen[[#This Row],[Kursdifferenz]]*aktuelleAnleihen[[#This Row],[Anteile]]*aktuelleAnleihen[[#This Row],[Stückelung]]/aktuelleAnleihen[[#This Row],[Wechselkurs am Kauftag]]</f>
        <v>11.563928005222389</v>
      </c>
      <c r="H291" s="8">
        <f>aktuelleAnleihen[[#This Row],[Stückzinsen]]-aktuelleAnleihen[[#This Row],[Stückzinsen am Kauftag]]+aktuelleAnleihen[[#This Row],[Zinszahlungen]]</f>
        <v>16.416665286300059</v>
      </c>
      <c r="I291" s="8">
        <f>aktuelleAnleihen[[#This Row],[Gewinn gesamt]]-aktuelleAnleihen[[#This Row],[Gewinn aus Kursänderung]]-aktuelleAnleihen[[#This Row],[Gewinn aus Zinsen]]</f>
        <v>-30.221082196756349</v>
      </c>
      <c r="J291" s="7">
        <f>aktuelleAnleihen[[#This Row],[Gewinn gesamt]]/aktuelleAnleihen[[#This Row],[Kaufpreis]]</f>
        <v>-1.1098769807520485E-3</v>
      </c>
      <c r="K291" s="3">
        <f>aktuelleAnleihen[[#This Row],[Verkaufspreis]]-aktuelleAnleihen[[#This Row],[Kaufpreis]]+aktuelleAnleihen[[#This Row],[Zinszahlungen]]</f>
        <v>-2.240488905233903</v>
      </c>
      <c r="L291" s="4">
        <v>2018.6822</v>
      </c>
      <c r="M291" s="7">
        <v>1.0442</v>
      </c>
      <c r="N291" s="61">
        <v>1.0723</v>
      </c>
      <c r="O291" s="1">
        <v>1.0891</v>
      </c>
      <c r="P291" s="1" t="s">
        <v>887</v>
      </c>
      <c r="Q291" s="30">
        <v>45412</v>
      </c>
      <c r="R291" s="1">
        <v>2</v>
      </c>
      <c r="S291" s="1">
        <v>1000</v>
      </c>
      <c r="T291" s="9">
        <v>45435</v>
      </c>
      <c r="U291" s="1">
        <v>2</v>
      </c>
      <c r="V291" s="62">
        <f>aktuelleAnleihen[[#This Row],[Stückelung]]*aktuelleAnleihen[[#This Row],[Anteile]]*aktuelleAnleihen[[#This Row],[Coupon]]/aktuelleAnleihen[[#This Row],[Aktueller Wechselkurs]]*($AC$1-aktuelleAnleihen[[#This Row],[Letzte Zinszahlung]])/365</f>
        <v>6.6034164189861428</v>
      </c>
      <c r="W291" s="4">
        <v>71.0929</v>
      </c>
      <c r="X291" s="120" t="s">
        <v>51</v>
      </c>
      <c r="Y291" s="120" t="s">
        <v>61</v>
      </c>
      <c r="Z291" s="1" t="s">
        <v>1377</v>
      </c>
      <c r="AA291" s="1" t="s">
        <v>1378</v>
      </c>
      <c r="AB291" s="3">
        <f>SUMIF('Zinszahlungen Anleihen'!K:K,aktuelleAnleihen[[#This Row],[ISIN]],'Zinszahlungen Anleihen'!D:D)</f>
        <v>80.906148867313917</v>
      </c>
      <c r="AE291" s="9"/>
      <c r="AF291" s="1"/>
      <c r="AI291" s="3"/>
      <c r="AJ291" s="1"/>
      <c r="AM291" s="10"/>
      <c r="AN291" s="1"/>
      <c r="AP291" s="7"/>
      <c r="AQ291" s="1"/>
    </row>
    <row r="292" spans="1:43" x14ac:dyDescent="0.2">
      <c r="A292" s="1" t="s">
        <v>1164</v>
      </c>
      <c r="B292" s="1" t="s">
        <v>4</v>
      </c>
      <c r="C292" s="7">
        <v>9.6250000000000002E-2</v>
      </c>
      <c r="D292" s="7">
        <v>0.93899999999999995</v>
      </c>
      <c r="E292" s="7">
        <f>aktuelleAnleihen[[#This Row],[Aktueller Kurs]]-aktuelleAnleihen[[#This Row],[Kaufkurs]]</f>
        <v>6.4999999999999503E-3</v>
      </c>
      <c r="F292" s="8">
        <f>aktuelleAnleihen[[#This Row],[Stückelung]]*aktuelleAnleihen[[#This Row],[Aktueller Kurs]]*aktuelleAnleihen[[#This Row],[Anteile]]/aktuelleAnleihen[[#This Row],[Aktueller Wechselkurs]]+aktuelleAnleihen[[#This Row],[Stückzinsen]]</f>
        <v>1750.0248414236714</v>
      </c>
      <c r="G292" s="8">
        <f>aktuelleAnleihen[[#This Row],[Kursdifferenz]]*aktuelleAnleihen[[#This Row],[Anteile]]*aktuelleAnleihen[[#This Row],[Stückelung]]/aktuelleAnleihen[[#This Row],[Wechselkurs am Kauftag]]</f>
        <v>12.12347290870083</v>
      </c>
      <c r="H292" s="8">
        <f>aktuelleAnleihen[[#This Row],[Stückzinsen]]-aktuelleAnleihen[[#This Row],[Stückzinsen am Kauftag]]+aktuelleAnleihen[[#This Row],[Zinszahlungen]]</f>
        <v>18.287678481792806</v>
      </c>
      <c r="I292" s="8">
        <f>aktuelleAnleihen[[#This Row],[Gewinn gesamt]]-aktuelleAnleihen[[#This Row],[Gewinn aus Kursänderung]]-aktuelleAnleihen[[#This Row],[Gewinn aus Zinsen]]</f>
        <v>-27.015909966822186</v>
      </c>
      <c r="J292" s="7">
        <f>aktuelleAnleihen[[#This Row],[Gewinn gesamt]]/aktuelleAnleihen[[#This Row],[Kaufpreis]]</f>
        <v>1.9438817615775265E-3</v>
      </c>
      <c r="K292" s="3">
        <f>aktuelleAnleihen[[#This Row],[Verkaufspreis]]-aktuelleAnleihen[[#This Row],[Kaufpreis]]+aktuelleAnleihen[[#This Row],[Zinszahlungen]]</f>
        <v>3.3952414236714503</v>
      </c>
      <c r="L292" s="4">
        <v>1746.6296</v>
      </c>
      <c r="M292" s="7">
        <v>0.9325</v>
      </c>
      <c r="N292" s="61">
        <v>1.0723</v>
      </c>
      <c r="O292" s="1">
        <v>1.0891</v>
      </c>
      <c r="P292" s="1" t="s">
        <v>887</v>
      </c>
      <c r="Q292" s="30">
        <v>45412</v>
      </c>
      <c r="R292" s="1">
        <v>2</v>
      </c>
      <c r="S292" s="1">
        <v>1000</v>
      </c>
      <c r="T292" s="9">
        <v>45397</v>
      </c>
      <c r="U292" s="1">
        <v>2</v>
      </c>
      <c r="V292" s="62">
        <f>aktuelleAnleihen[[#This Row],[Stückelung]]*aktuelleAnleihen[[#This Row],[Anteile]]*aktuelleAnleihen[[#This Row],[Coupon]]/aktuelleAnleihen[[#This Row],[Aktueller Wechselkurs]]*($AC$1-aktuelleAnleihen[[#This Row],[Letzte Zinszahlung]])/365</f>
        <v>25.665278481792807</v>
      </c>
      <c r="W292" s="4">
        <v>7.3776000000000002</v>
      </c>
      <c r="X292" s="120" t="s">
        <v>986</v>
      </c>
      <c r="Y292" s="120" t="s">
        <v>52</v>
      </c>
      <c r="Z292" s="1" t="s">
        <v>1165</v>
      </c>
      <c r="AA292" s="1" t="s">
        <v>1166</v>
      </c>
      <c r="AB292" s="3">
        <f>SUMIF('Zinszahlungen Anleihen'!K:K,aktuelleAnleihen[[#This Row],[ISIN]],'Zinszahlungen Anleihen'!D:D)</f>
        <v>0</v>
      </c>
      <c r="AE292" s="9"/>
      <c r="AF292" s="1"/>
      <c r="AI292" s="3"/>
      <c r="AJ292" s="1"/>
      <c r="AM292" s="10"/>
      <c r="AN292" s="1"/>
      <c r="AP292" s="7"/>
      <c r="AQ292" s="1"/>
    </row>
    <row r="293" spans="1:43" x14ac:dyDescent="0.2">
      <c r="A293" s="1" t="s">
        <v>1146</v>
      </c>
      <c r="B293" s="1" t="s">
        <v>0</v>
      </c>
      <c r="C293" s="7">
        <v>9.7500000000000003E-2</v>
      </c>
      <c r="D293" s="7">
        <v>0.999</v>
      </c>
      <c r="E293" s="7">
        <f>aktuelleAnleihen[[#This Row],[Aktueller Kurs]]-aktuelleAnleihen[[#This Row],[Kaufkurs]]</f>
        <v>6.4999999999999503E-3</v>
      </c>
      <c r="F293" s="8">
        <f>aktuelleAnleihen[[#This Row],[Stückelung]]*aktuelleAnleihen[[#This Row],[Aktueller Kurs]]*aktuelleAnleihen[[#This Row],[Anteile]]/aktuelleAnleihen[[#This Row],[Aktueller Wechselkurs]]+aktuelleAnleihen[[#This Row],[Stückzinsen]]</f>
        <v>1872.8043640406872</v>
      </c>
      <c r="G293" s="8">
        <f>aktuelleAnleihen[[#This Row],[Kursdifferenz]]*aktuelleAnleihen[[#This Row],[Anteile]]*aktuelleAnleihen[[#This Row],[Stückelung]]/aktuelleAnleihen[[#This Row],[Wechselkurs am Kauftag]]</f>
        <v>12.12347290870083</v>
      </c>
      <c r="H293" s="8">
        <f>aktuelleAnleihen[[#This Row],[Stückzinsen]]-aktuelleAnleihen[[#This Row],[Stückzinsen am Kauftag]]+aktuelleAnleihen[[#This Row],[Zinszahlungen]]</f>
        <v>18.333081422011137</v>
      </c>
      <c r="I293" s="8">
        <f>aktuelleAnleihen[[#This Row],[Gewinn gesamt]]-aktuelleAnleihen[[#This Row],[Gewinn aus Kursänderung]]-aktuelleAnleihen[[#This Row],[Gewinn aus Zinsen]]</f>
        <v>-28.742290290024627</v>
      </c>
      <c r="J293" s="7">
        <f>aktuelleAnleihen[[#This Row],[Gewinn gesamt]]/aktuelleAnleihen[[#This Row],[Kaufpreis]]</f>
        <v>9.1618465657390832E-4</v>
      </c>
      <c r="K293" s="3">
        <f>aktuelleAnleihen[[#This Row],[Verkaufspreis]]-aktuelleAnleihen[[#This Row],[Kaufpreis]]+aktuelleAnleihen[[#This Row],[Zinszahlungen]]</f>
        <v>1.7142640406873397</v>
      </c>
      <c r="L293" s="4">
        <v>1871.0900999999999</v>
      </c>
      <c r="M293" s="7">
        <v>0.99250000000000005</v>
      </c>
      <c r="N293" s="61">
        <v>1.0723</v>
      </c>
      <c r="O293" s="1">
        <v>1.0891</v>
      </c>
      <c r="P293" s="1" t="s">
        <v>887</v>
      </c>
      <c r="Q293" s="30">
        <v>45412</v>
      </c>
      <c r="R293" s="1">
        <v>2</v>
      </c>
      <c r="S293" s="1">
        <v>1000</v>
      </c>
      <c r="T293" s="9">
        <v>45372</v>
      </c>
      <c r="U293" s="1">
        <v>2</v>
      </c>
      <c r="V293" s="62">
        <f>aktuelleAnleihen[[#This Row],[Stückelung]]*aktuelleAnleihen[[#This Row],[Anteile]]*aktuelleAnleihen[[#This Row],[Coupon]]/aktuelleAnleihen[[#This Row],[Aktueller Wechselkurs]]*($AC$1-aktuelleAnleihen[[#This Row],[Letzte Zinszahlung]])/365</f>
        <v>38.262081422011136</v>
      </c>
      <c r="W293" s="4">
        <v>19.928999999999998</v>
      </c>
      <c r="X293" s="120" t="s">
        <v>1004</v>
      </c>
      <c r="Y293" s="120" t="s">
        <v>52</v>
      </c>
      <c r="Z293" s="1" t="s">
        <v>1147</v>
      </c>
      <c r="AA293" s="1" t="s">
        <v>1148</v>
      </c>
      <c r="AB293" s="3">
        <f>SUMIF('Zinszahlungen Anleihen'!K:K,aktuelleAnleihen[[#This Row],[ISIN]],'Zinszahlungen Anleihen'!D:D)</f>
        <v>0</v>
      </c>
      <c r="AE293" s="9"/>
      <c r="AF293" s="1"/>
      <c r="AI293" s="3"/>
      <c r="AJ293" s="1"/>
      <c r="AM293" s="10"/>
      <c r="AN293" s="1"/>
      <c r="AP293" s="7"/>
      <c r="AQ293" s="1"/>
    </row>
    <row r="294" spans="1:43" x14ac:dyDescent="0.2">
      <c r="A294" s="1" t="s">
        <v>1413</v>
      </c>
      <c r="B294" s="1" t="s">
        <v>11</v>
      </c>
      <c r="C294" s="7">
        <v>8.6249999999999993E-2</v>
      </c>
      <c r="D294" s="7">
        <v>1.0354000000000001</v>
      </c>
      <c r="E294" s="7">
        <f>aktuelleAnleihen[[#This Row],[Aktueller Kurs]]-aktuelleAnleihen[[#This Row],[Kaufkurs]]</f>
        <v>6.5000000000001723E-3</v>
      </c>
      <c r="F294" s="8">
        <f>aktuelleAnleihen[[#This Row],[Stückelung]]*aktuelleAnleihen[[#This Row],[Aktueller Kurs]]*aktuelleAnleihen[[#This Row],[Anteile]]/aktuelleAnleihen[[#This Row],[Aktueller Wechselkurs]]+aktuelleAnleihen[[#This Row],[Stückzinsen]]</f>
        <v>1922.2155279651545</v>
      </c>
      <c r="G294" s="8">
        <f>aktuelleAnleihen[[#This Row],[Kursdifferenz]]*aktuelleAnleihen[[#This Row],[Anteile]]*aktuelleAnleihen[[#This Row],[Stückelung]]/aktuelleAnleihen[[#This Row],[Wechselkurs am Kauftag]]</f>
        <v>12.123472908701244</v>
      </c>
      <c r="H294" s="8">
        <f>aktuelleAnleihen[[#This Row],[Stückzinsen]]-aktuelleAnleihen[[#This Row],[Stückzinsen am Kauftag]]+aktuelleAnleihen[[#This Row],[Zinszahlungen]]</f>
        <v>16.421662075887721</v>
      </c>
      <c r="I294" s="8">
        <f>aktuelleAnleihen[[#This Row],[Gewinn gesamt]]-aktuelleAnleihen[[#This Row],[Gewinn aus Kursänderung]]-aktuelleAnleihen[[#This Row],[Gewinn aus Zinsen]]</f>
        <v>-29.789507019434545</v>
      </c>
      <c r="J294" s="7">
        <f>aktuelleAnleihen[[#This Row],[Gewinn gesamt]]/aktuelleAnleihen[[#This Row],[Kaufpreis]]</f>
        <v>-6.4694462039244108E-4</v>
      </c>
      <c r="K294" s="3">
        <f>aktuelleAnleihen[[#This Row],[Verkaufspreis]]-aktuelleAnleihen[[#This Row],[Kaufpreis]]+aktuelleAnleihen[[#This Row],[Zinszahlungen]]</f>
        <v>-1.2443720348455827</v>
      </c>
      <c r="L294" s="4">
        <v>1923.4599000000001</v>
      </c>
      <c r="M294" s="7">
        <v>1.0288999999999999</v>
      </c>
      <c r="N294" s="61">
        <v>1.0723</v>
      </c>
      <c r="O294" s="1">
        <v>1.0891</v>
      </c>
      <c r="P294" s="1" t="s">
        <v>887</v>
      </c>
      <c r="Q294" s="30">
        <v>45412</v>
      </c>
      <c r="R294" s="1">
        <v>2</v>
      </c>
      <c r="S294" s="1">
        <v>1000</v>
      </c>
      <c r="T294" s="9">
        <v>45402</v>
      </c>
      <c r="U294" s="1">
        <v>2</v>
      </c>
      <c r="V294" s="62">
        <f>aktuelleAnleihen[[#This Row],[Stückelung]]*aktuelleAnleihen[[#This Row],[Anteile]]*aktuelleAnleihen[[#This Row],[Coupon]]/aktuelleAnleihen[[#This Row],[Aktueller Wechselkurs]]*($AC$1-aktuelleAnleihen[[#This Row],[Letzte Zinszahlung]])/365</f>
        <v>20.82906207588772</v>
      </c>
      <c r="W294" s="4">
        <v>4.4074</v>
      </c>
      <c r="X294" s="120" t="s">
        <v>1413</v>
      </c>
      <c r="Y294" s="120" t="s">
        <v>52</v>
      </c>
      <c r="Z294" s="1" t="s">
        <v>1414</v>
      </c>
      <c r="AA294" s="1" t="s">
        <v>1415</v>
      </c>
      <c r="AB294" s="3">
        <f>SUMIF('Zinszahlungen Anleihen'!K:K,aktuelleAnleihen[[#This Row],[ISIN]],'Zinszahlungen Anleihen'!D:D)</f>
        <v>0</v>
      </c>
      <c r="AE294" s="9"/>
      <c r="AF294" s="1"/>
      <c r="AI294" s="3"/>
      <c r="AJ294" s="1"/>
      <c r="AM294" s="10"/>
      <c r="AN294" s="1"/>
      <c r="AP294" s="7"/>
      <c r="AQ294" s="1"/>
    </row>
    <row r="295" spans="1:43" x14ac:dyDescent="0.2">
      <c r="A295" s="1" t="s">
        <v>872</v>
      </c>
      <c r="B295" s="1" t="s">
        <v>10</v>
      </c>
      <c r="C295" s="7">
        <v>0.06</v>
      </c>
      <c r="D295" s="7">
        <v>1.0399</v>
      </c>
      <c r="E295" s="7">
        <f>aktuelleAnleihen[[#This Row],[Aktueller Kurs]]-aktuelleAnleihen[[#This Row],[Kaufkurs]]</f>
        <v>6.1999999999999833E-3</v>
      </c>
      <c r="F295" s="8">
        <f>aktuelleAnleihen[[#This Row],[Stückelung]]*aktuelleAnleihen[[#This Row],[Aktueller Kurs]]*aktuelleAnleihen[[#This Row],[Anteile]]/aktuelleAnleihen[[#This Row],[Aktueller Wechselkurs]]+aktuelleAnleihen[[#This Row],[Stückzinsen]]</f>
        <v>2101.8273972602742</v>
      </c>
      <c r="G295" s="8">
        <f>aktuelleAnleihen[[#This Row],[Kursdifferenz]]*aktuelleAnleihen[[#This Row],[Anteile]]*aktuelleAnleihen[[#This Row],[Stückelung]]/aktuelleAnleihen[[#This Row],[Wechselkurs am Kauftag]]</f>
        <v>12.399999999999967</v>
      </c>
      <c r="H295" s="8">
        <f>aktuelleAnleihen[[#This Row],[Stückzinsen]]-aktuelleAnleihen[[#This Row],[Stückzinsen am Kauftag]]+aktuelleAnleihen[[#This Row],[Zinszahlungen]]</f>
        <v>21.369897260273973</v>
      </c>
      <c r="I295" s="8">
        <f>aktuelleAnleihen[[#This Row],[Gewinn gesamt]]-aktuelleAnleihen[[#This Row],[Gewinn aus Kursänderung]]-aktuelleAnleihen[[#This Row],[Gewinn aus Zinsen]]</f>
        <v>3.801403636316536E-13</v>
      </c>
      <c r="J295" s="7">
        <f>aktuelleAnleihen[[#This Row],[Gewinn gesamt]]/aktuelleAnleihen[[#This Row],[Kaufpreis]]</f>
        <v>1.6329283523438938E-2</v>
      </c>
      <c r="K295" s="3">
        <f>aktuelleAnleihen[[#This Row],[Verkaufspreis]]-aktuelleAnleihen[[#This Row],[Kaufpreis]]+aktuelleAnleihen[[#This Row],[Zinszahlungen]]</f>
        <v>33.76989726027432</v>
      </c>
      <c r="L295" s="4">
        <v>2068.0574999999999</v>
      </c>
      <c r="M295" s="7">
        <v>1.0337000000000001</v>
      </c>
      <c r="N295" s="61">
        <v>1</v>
      </c>
      <c r="O295" s="1">
        <v>1</v>
      </c>
      <c r="P295" s="1" t="s">
        <v>925</v>
      </c>
      <c r="Q295" s="30">
        <v>45385</v>
      </c>
      <c r="R295" s="1">
        <v>2</v>
      </c>
      <c r="S295" s="1">
        <v>1000</v>
      </c>
      <c r="T295" s="9">
        <v>45383</v>
      </c>
      <c r="U295" s="1">
        <v>2</v>
      </c>
      <c r="V295" s="62">
        <f>aktuelleAnleihen[[#This Row],[Stückelung]]*aktuelleAnleihen[[#This Row],[Anteile]]*aktuelleAnleihen[[#This Row],[Coupon]]/aktuelleAnleihen[[#This Row],[Aktueller Wechselkurs]]*($AC$1-aktuelleAnleihen[[#This Row],[Letzte Zinszahlung]])/365</f>
        <v>22.027397260273972</v>
      </c>
      <c r="W295" s="4">
        <v>0.65749999999999997</v>
      </c>
      <c r="X295" s="120" t="s">
        <v>102</v>
      </c>
      <c r="Y295" s="120" t="s">
        <v>81</v>
      </c>
      <c r="Z295" s="1" t="s">
        <v>873</v>
      </c>
      <c r="AA295" s="1" t="s">
        <v>874</v>
      </c>
      <c r="AB295" s="3">
        <f>SUMIF('Zinszahlungen Anleihen'!K:K,aktuelleAnleihen[[#This Row],[ISIN]],'Zinszahlungen Anleihen'!D:D)</f>
        <v>0</v>
      </c>
      <c r="AE295" s="9"/>
      <c r="AF295" s="1"/>
      <c r="AI295" s="3"/>
      <c r="AJ295" s="1"/>
      <c r="AM295" s="10"/>
      <c r="AN295" s="1"/>
      <c r="AP295" s="7"/>
      <c r="AQ295" s="1"/>
    </row>
    <row r="296" spans="1:43" x14ac:dyDescent="0.2">
      <c r="A296" s="1" t="s">
        <v>417</v>
      </c>
      <c r="B296" s="1" t="s">
        <v>0</v>
      </c>
      <c r="C296" s="7">
        <v>8.1920000000000007E-2</v>
      </c>
      <c r="D296" s="7">
        <v>0.99670000000000003</v>
      </c>
      <c r="E296" s="7">
        <f>aktuelleAnleihen[[#This Row],[Aktueller Kurs]]-aktuelleAnleihen[[#This Row],[Kaufkurs]]</f>
        <v>6.1999999999999833E-3</v>
      </c>
      <c r="F296" s="8">
        <f>aktuelleAnleihen[[#This Row],[Stückelung]]*aktuelleAnleihen[[#This Row],[Aktueller Kurs]]*aktuelleAnleihen[[#This Row],[Anteile]]/aktuelleAnleihen[[#This Row],[Aktueller Wechselkurs]]+aktuelleAnleihen[[#This Row],[Stückzinsen]]</f>
        <v>2017.1904657534249</v>
      </c>
      <c r="G296" s="8">
        <f>aktuelleAnleihen[[#This Row],[Kursdifferenz]]*aktuelleAnleihen[[#This Row],[Anteile]]*aktuelleAnleihen[[#This Row],[Stückelung]]/aktuelleAnleihen[[#This Row],[Wechselkurs am Kauftag]]</f>
        <v>12.399999999999967</v>
      </c>
      <c r="H296" s="8">
        <f>aktuelleAnleihen[[#This Row],[Stückzinsen]]-aktuelleAnleihen[[#This Row],[Stückzinsen am Kauftag]]+aktuelleAnleihen[[#This Row],[Zinszahlungen]]</f>
        <v>29.289165753424658</v>
      </c>
      <c r="I296" s="8">
        <f>aktuelleAnleihen[[#This Row],[Gewinn gesamt]]-aktuelleAnleihen[[#This Row],[Gewinn aus Kursänderung]]-aktuelleAnleihen[[#This Row],[Gewinn aus Zinsen]]</f>
        <v>2.9842794901924208E-13</v>
      </c>
      <c r="J296" s="7">
        <f>aktuelleAnleihen[[#This Row],[Gewinn gesamt]]/aktuelleAnleihen[[#This Row],[Kaufpreis]]</f>
        <v>2.0674418970215259E-2</v>
      </c>
      <c r="K296" s="3">
        <f>aktuelleAnleihen[[#This Row],[Verkaufspreis]]-aktuelleAnleihen[[#This Row],[Kaufpreis]]+aktuelleAnleihen[[#This Row],[Zinszahlungen]]</f>
        <v>41.689165753424923</v>
      </c>
      <c r="L296" s="4">
        <v>2016.4612999999999</v>
      </c>
      <c r="M296" s="7">
        <v>0.99050000000000005</v>
      </c>
      <c r="N296" s="61">
        <v>1</v>
      </c>
      <c r="O296" s="1">
        <v>1</v>
      </c>
      <c r="P296" s="1" t="s">
        <v>925</v>
      </c>
      <c r="Q296" s="30">
        <v>45385</v>
      </c>
      <c r="R296" s="1">
        <v>2</v>
      </c>
      <c r="S296" s="1">
        <v>1000</v>
      </c>
      <c r="T296" s="9">
        <v>45397</v>
      </c>
      <c r="U296" s="1">
        <v>4</v>
      </c>
      <c r="V296" s="62">
        <f>aktuelleAnleihen[[#This Row],[Stückelung]]*aktuelleAnleihen[[#This Row],[Anteile]]*aktuelleAnleihen[[#This Row],[Coupon]]/aktuelleAnleihen[[#This Row],[Aktueller Wechselkurs]]*($AC$1-aktuelleAnleihen[[#This Row],[Letzte Zinszahlung]])/365</f>
        <v>23.790465753424659</v>
      </c>
      <c r="W296" s="4">
        <v>35.461300000000001</v>
      </c>
      <c r="X296" s="120" t="s">
        <v>276</v>
      </c>
      <c r="Y296" s="120" t="s">
        <v>39</v>
      </c>
      <c r="Z296" s="1" t="s">
        <v>418</v>
      </c>
      <c r="AA296" s="1" t="s">
        <v>419</v>
      </c>
      <c r="AB296" s="3">
        <f>SUMIF('Zinszahlungen Anleihen'!K:K,aktuelleAnleihen[[#This Row],[ISIN]],'Zinszahlungen Anleihen'!D:D)</f>
        <v>40.96</v>
      </c>
      <c r="AE296" s="9"/>
      <c r="AF296" s="1"/>
      <c r="AI296" s="3"/>
      <c r="AJ296" s="1"/>
      <c r="AM296" s="10"/>
      <c r="AN296" s="1"/>
      <c r="AP296" s="7"/>
      <c r="AQ296" s="1"/>
    </row>
    <row r="297" spans="1:43" x14ac:dyDescent="0.2">
      <c r="A297" s="1" t="s">
        <v>1757</v>
      </c>
      <c r="B297" s="1" t="s">
        <v>0</v>
      </c>
      <c r="C297" s="7">
        <v>0.08</v>
      </c>
      <c r="D297" s="7">
        <v>0.98509999999999998</v>
      </c>
      <c r="E297" s="7">
        <f>aktuelleAnleihen[[#This Row],[Aktueller Kurs]]-aktuelleAnleihen[[#This Row],[Kaufkurs]]</f>
        <v>6.6999999999999282E-3</v>
      </c>
      <c r="F297" s="8">
        <f>aktuelleAnleihen[[#This Row],[Stückelung]]*aktuelleAnleihen[[#This Row],[Aktueller Kurs]]*aktuelleAnleihen[[#This Row],[Anteile]]/aktuelleAnleihen[[#This Row],[Aktueller Wechselkurs]]+aktuelleAnleihen[[#This Row],[Stückzinsen]]</f>
        <v>1825.9213652594892</v>
      </c>
      <c r="G297" s="8">
        <f>aktuelleAnleihen[[#This Row],[Kursdifferenz]]*aktuelleAnleihen[[#This Row],[Anteile]]*aktuelleAnleihen[[#This Row],[Stückelung]]/aktuelleAnleihen[[#This Row],[Wechselkurs am Kauftag]]</f>
        <v>12.496502844353126</v>
      </c>
      <c r="H297" s="8">
        <f>aktuelleAnleihen[[#This Row],[Stückzinsen]]-aktuelleAnleihen[[#This Row],[Stückzinsen am Kauftag]]+aktuelleAnleihen[[#This Row],[Zinszahlungen]]</f>
        <v>15.269546032604529</v>
      </c>
      <c r="I297" s="8">
        <f>aktuelleAnleihen[[#This Row],[Gewinn gesamt]]-aktuelleAnleihen[[#This Row],[Gewinn aus Kursänderung]]-aktuelleAnleihen[[#This Row],[Gewinn aus Zinsen]]</f>
        <v>-28.342283617468354</v>
      </c>
      <c r="J297" s="7">
        <f>aktuelleAnleihen[[#This Row],[Gewinn gesamt]]/aktuelleAnleihen[[#This Row],[Kaufpreis]]</f>
        <v>-3.1548617447441448E-4</v>
      </c>
      <c r="K297" s="3">
        <f>aktuelleAnleihen[[#This Row],[Verkaufspreis]]-aktuelleAnleihen[[#This Row],[Kaufpreis]]+aktuelleAnleihen[[#This Row],[Zinszahlungen]]</f>
        <v>-0.57623474051069934</v>
      </c>
      <c r="L297" s="4">
        <v>1826.4975999999999</v>
      </c>
      <c r="M297" s="7">
        <v>0.97840000000000005</v>
      </c>
      <c r="N297" s="61">
        <v>1.0723</v>
      </c>
      <c r="O297" s="1">
        <v>1.0891</v>
      </c>
      <c r="P297" s="1" t="s">
        <v>887</v>
      </c>
      <c r="Q297" s="30">
        <v>45412</v>
      </c>
      <c r="R297" s="1">
        <v>2</v>
      </c>
      <c r="S297" s="1">
        <v>1000</v>
      </c>
      <c r="T297" s="9">
        <v>45408</v>
      </c>
      <c r="U297" s="1">
        <v>2</v>
      </c>
      <c r="V297" s="62">
        <f>aktuelleAnleihen[[#This Row],[Stückelung]]*aktuelleAnleihen[[#This Row],[Anteile]]*aktuelleAnleihen[[#This Row],[Coupon]]/aktuelleAnleihen[[#This Row],[Aktueller Wechselkurs]]*($AC$1-aktuelleAnleihen[[#This Row],[Letzte Zinszahlung]])/365</f>
        <v>16.904746032604528</v>
      </c>
      <c r="W297" s="4">
        <v>1.6352</v>
      </c>
      <c r="X297" s="120" t="s">
        <v>1758</v>
      </c>
      <c r="Y297" s="120" t="s">
        <v>39</v>
      </c>
      <c r="Z297" s="1" t="s">
        <v>1759</v>
      </c>
      <c r="AA297" s="1" t="s">
        <v>1760</v>
      </c>
      <c r="AB297" s="3">
        <f>SUMIF('Zinszahlungen Anleihen'!K:K,aktuelleAnleihen[[#This Row],[ISIN]],'Zinszahlungen Anleihen'!D:D)</f>
        <v>0</v>
      </c>
      <c r="AE297" s="9"/>
      <c r="AF297" s="1"/>
      <c r="AI297" s="3"/>
      <c r="AJ297" s="1"/>
      <c r="AM297" s="10"/>
      <c r="AN297" s="1"/>
      <c r="AP297" s="7"/>
      <c r="AQ297" s="1"/>
    </row>
    <row r="298" spans="1:43" x14ac:dyDescent="0.2">
      <c r="A298" s="1" t="s">
        <v>1797</v>
      </c>
      <c r="B298" s="1" t="s">
        <v>7</v>
      </c>
      <c r="C298" s="7">
        <v>7.7499999999999999E-2</v>
      </c>
      <c r="D298" s="7">
        <v>1.05</v>
      </c>
      <c r="E298" s="7">
        <f>aktuelleAnleihen[[#This Row],[Aktueller Kurs]]-aktuelleAnleihen[[#This Row],[Kaufkurs]]</f>
        <v>7.0000000000001172E-3</v>
      </c>
      <c r="F298" s="8">
        <f>aktuelleAnleihen[[#This Row],[Stückelung]]*aktuelleAnleihen[[#This Row],[Aktueller Kurs]]*aktuelleAnleihen[[#This Row],[Anteile]]/aktuelleAnleihen[[#This Row],[Aktueller Wechselkurs]]+aktuelleAnleihen[[#This Row],[Stückzinsen]]</f>
        <v>1901.4657534246576</v>
      </c>
      <c r="G298" s="8">
        <f>aktuelleAnleihen[[#This Row],[Kursdifferenz]]*aktuelleAnleihen[[#This Row],[Anteile]]*aktuelleAnleihen[[#This Row],[Stückelung]]/aktuelleAnleihen[[#This Row],[Wechselkurs am Kauftag]]</f>
        <v>12.600000000000211</v>
      </c>
      <c r="H298" s="8">
        <f>aktuelleAnleihen[[#This Row],[Stückzinsen]]-aktuelleAnleihen[[#This Row],[Stückzinsen am Kauftag]]+aktuelleAnleihen[[#This Row],[Zinszahlungen]]</f>
        <v>8.7904534246575334</v>
      </c>
      <c r="I298" s="8">
        <f>aktuelleAnleihen[[#This Row],[Gewinn gesamt]]-aktuelleAnleihen[[#This Row],[Gewinn aus Kursänderung]]-aktuelleAnleihen[[#This Row],[Gewinn aus Zinsen]]</f>
        <v>-1.3677947663381929E-13</v>
      </c>
      <c r="J298" s="7">
        <f>aktuelleAnleihen[[#This Row],[Gewinn gesamt]]/aktuelleAnleihen[[#This Row],[Kaufpreis]]</f>
        <v>1.1377445054811161E-2</v>
      </c>
      <c r="K298" s="3">
        <f>aktuelleAnleihen[[#This Row],[Verkaufspreis]]-aktuelleAnleihen[[#This Row],[Kaufpreis]]+aktuelleAnleihen[[#This Row],[Zinszahlungen]]</f>
        <v>21.390453424657608</v>
      </c>
      <c r="L298" s="4">
        <v>1880.0753</v>
      </c>
      <c r="M298" s="7">
        <v>1.0429999999999999</v>
      </c>
      <c r="N298" s="61">
        <v>1</v>
      </c>
      <c r="O298" s="1">
        <v>1</v>
      </c>
      <c r="P298" s="1" t="s">
        <v>925</v>
      </c>
      <c r="Q298" s="30">
        <v>45427</v>
      </c>
      <c r="R298" s="1">
        <v>2</v>
      </c>
      <c r="S298" s="1">
        <v>900</v>
      </c>
      <c r="T298" s="9">
        <v>45420</v>
      </c>
      <c r="U298" s="1">
        <v>2</v>
      </c>
      <c r="V298" s="62">
        <f>aktuelleAnleihen[[#This Row],[Stückelung]]*aktuelleAnleihen[[#This Row],[Anteile]]*aktuelleAnleihen[[#This Row],[Coupon]]/aktuelleAnleihen[[#This Row],[Aktueller Wechselkurs]]*($AC$1-aktuelleAnleihen[[#This Row],[Letzte Zinszahlung]])/365</f>
        <v>11.465753424657533</v>
      </c>
      <c r="W298" s="4">
        <v>2.6753</v>
      </c>
      <c r="X298" s="120" t="s">
        <v>56</v>
      </c>
      <c r="Y298" s="120" t="s">
        <v>57</v>
      </c>
      <c r="Z298" s="1" t="s">
        <v>1798</v>
      </c>
      <c r="AA298" s="1" t="s">
        <v>1799</v>
      </c>
      <c r="AB298" s="3">
        <f>SUMIF('Zinszahlungen Anleihen'!K:K,aktuelleAnleihen[[#This Row],[ISIN]],'Zinszahlungen Anleihen'!D:D)</f>
        <v>0</v>
      </c>
      <c r="AE298" s="9"/>
      <c r="AF298" s="1"/>
      <c r="AI298" s="3"/>
      <c r="AJ298" s="1"/>
      <c r="AM298" s="10"/>
      <c r="AN298" s="1"/>
      <c r="AP298" s="7"/>
      <c r="AQ298" s="1"/>
    </row>
    <row r="299" spans="1:43" x14ac:dyDescent="0.2">
      <c r="A299" s="1" t="s">
        <v>693</v>
      </c>
      <c r="B299" s="1" t="s">
        <v>4</v>
      </c>
      <c r="C299" s="7">
        <v>6.8750000000000006E-2</v>
      </c>
      <c r="D299" s="7">
        <v>1.0387999999999999</v>
      </c>
      <c r="E299" s="7">
        <f>aktuelleAnleihen[[#This Row],[Aktueller Kurs]]-aktuelleAnleihen[[#This Row],[Kaufkurs]]</f>
        <v>6.3999999999999613E-3</v>
      </c>
      <c r="F299" s="8">
        <f>aktuelleAnleihen[[#This Row],[Stückelung]]*aktuelleAnleihen[[#This Row],[Aktueller Kurs]]*aktuelleAnleihen[[#This Row],[Anteile]]/aktuelleAnleihen[[#This Row],[Aktueller Wechselkurs]]+aktuelleAnleihen[[#This Row],[Stückzinsen]]</f>
        <v>2109.2438356164384</v>
      </c>
      <c r="G299" s="8">
        <f>aktuelleAnleihen[[#This Row],[Kursdifferenz]]*aktuelleAnleihen[[#This Row],[Anteile]]*aktuelleAnleihen[[#This Row],[Stückelung]]/aktuelleAnleihen[[#This Row],[Wechselkurs am Kauftag]]</f>
        <v>12.799999999999923</v>
      </c>
      <c r="H299" s="8">
        <f>aktuelleAnleihen[[#This Row],[Stückzinsen]]-aktuelleAnleihen[[#This Row],[Stückzinsen am Kauftag]]+aktuelleAnleihen[[#This Row],[Zinszahlungen]]</f>
        <v>24.486335616438357</v>
      </c>
      <c r="I299" s="8">
        <f>aktuelleAnleihen[[#This Row],[Gewinn gesamt]]-aktuelleAnleihen[[#This Row],[Gewinn aus Kursänderung]]-aktuelleAnleihen[[#This Row],[Gewinn aus Zinsen]]</f>
        <v>1.8474111129762605E-13</v>
      </c>
      <c r="J299" s="7">
        <f>aktuelleAnleihen[[#This Row],[Gewinn gesamt]]/aktuelleAnleihen[[#This Row],[Kaufpreis]]</f>
        <v>1.7995704842613067E-2</v>
      </c>
      <c r="K299" s="3">
        <f>aktuelleAnleihen[[#This Row],[Verkaufspreis]]-aktuelleAnleihen[[#This Row],[Kaufpreis]]+aktuelleAnleihen[[#This Row],[Zinszahlungen]]</f>
        <v>37.286335616438464</v>
      </c>
      <c r="L299" s="4">
        <v>2071.9575</v>
      </c>
      <c r="M299" s="7">
        <v>1.0324</v>
      </c>
      <c r="N299" s="61">
        <v>1</v>
      </c>
      <c r="O299" s="1">
        <v>1</v>
      </c>
      <c r="P299" s="1" t="s">
        <v>925</v>
      </c>
      <c r="Q299" s="30">
        <v>45385</v>
      </c>
      <c r="R299" s="1">
        <v>2</v>
      </c>
      <c r="S299" s="1">
        <v>1000</v>
      </c>
      <c r="T299" s="9">
        <v>45366</v>
      </c>
      <c r="U299" s="1">
        <v>2</v>
      </c>
      <c r="V299" s="62">
        <f>aktuelleAnleihen[[#This Row],[Stückelung]]*aktuelleAnleihen[[#This Row],[Anteile]]*aktuelleAnleihen[[#This Row],[Coupon]]/aktuelleAnleihen[[#This Row],[Aktueller Wechselkurs]]*($AC$1-aktuelleAnleihen[[#This Row],[Letzte Zinszahlung]])/365</f>
        <v>31.643835616438356</v>
      </c>
      <c r="W299" s="4">
        <v>7.1574999999999998</v>
      </c>
      <c r="X299" s="120" t="s">
        <v>176</v>
      </c>
      <c r="Y299" s="120" t="s">
        <v>39</v>
      </c>
      <c r="Z299" s="1" t="s">
        <v>694</v>
      </c>
      <c r="AA299" s="1" t="s">
        <v>695</v>
      </c>
      <c r="AB299" s="3">
        <f>SUMIF('Zinszahlungen Anleihen'!K:K,aktuelleAnleihen[[#This Row],[ISIN]],'Zinszahlungen Anleihen'!D:D)</f>
        <v>0</v>
      </c>
      <c r="AE299" s="9"/>
      <c r="AF299" s="1"/>
      <c r="AI299" s="3"/>
      <c r="AJ299" s="1"/>
      <c r="AM299" s="10"/>
      <c r="AN299" s="1"/>
      <c r="AP299" s="7"/>
      <c r="AQ299" s="1"/>
    </row>
    <row r="300" spans="1:43" x14ac:dyDescent="0.2">
      <c r="A300" s="1" t="s">
        <v>672</v>
      </c>
      <c r="B300" s="1" t="s">
        <v>8</v>
      </c>
      <c r="C300" s="7">
        <v>7.0000000000000007E-2</v>
      </c>
      <c r="D300" s="7">
        <v>1.05125</v>
      </c>
      <c r="E300" s="7">
        <f>aktuelleAnleihen[[#This Row],[Aktueller Kurs]]-aktuelleAnleihen[[#This Row],[Kaufkurs]]</f>
        <v>6.4500000000000668E-3</v>
      </c>
      <c r="F300" s="8">
        <f>aktuelleAnleihen[[#This Row],[Stückelung]]*aktuelleAnleihen[[#This Row],[Aktueller Kurs]]*aktuelleAnleihen[[#This Row],[Anteile]]/aktuelleAnleihen[[#This Row],[Aktueller Wechselkurs]]+aktuelleAnleihen[[#This Row],[Stückzinsen]]</f>
        <v>2116.6917808219177</v>
      </c>
      <c r="G300" s="8">
        <f>aktuelleAnleihen[[#This Row],[Kursdifferenz]]*aktuelleAnleihen[[#This Row],[Anteile]]*aktuelleAnleihen[[#This Row],[Stückelung]]/aktuelleAnleihen[[#This Row],[Wechselkurs am Kauftag]]</f>
        <v>12.900000000000134</v>
      </c>
      <c r="H300" s="8">
        <f>aktuelleAnleihen[[#This Row],[Stückzinsen]]-aktuelleAnleihen[[#This Row],[Stückzinsen am Kauftag]]+aktuelleAnleihen[[#This Row],[Zinszahlungen]]</f>
        <v>25.12328082191781</v>
      </c>
      <c r="I300" s="8">
        <f>aktuelleAnleihen[[#This Row],[Gewinn gesamt]]-aktuelleAnleihen[[#This Row],[Gewinn aus Kursänderung]]-aktuelleAnleihen[[#This Row],[Gewinn aus Zinsen]]</f>
        <v>-4.1922021409845911E-13</v>
      </c>
      <c r="J300" s="7">
        <f>aktuelleAnleihen[[#This Row],[Gewinn gesamt]]/aktuelleAnleihen[[#This Row],[Kaufpreis]]</f>
        <v>1.7696206195566007E-2</v>
      </c>
      <c r="K300" s="3">
        <f>aktuelleAnleihen[[#This Row],[Verkaufspreis]]-aktuelleAnleihen[[#This Row],[Kaufpreis]]+aktuelleAnleihen[[#This Row],[Zinszahlungen]]</f>
        <v>38.023280821917524</v>
      </c>
      <c r="L300" s="4">
        <v>2148.6685000000002</v>
      </c>
      <c r="M300" s="7">
        <v>1.0448</v>
      </c>
      <c r="N300" s="61">
        <v>1</v>
      </c>
      <c r="O300" s="1">
        <v>1</v>
      </c>
      <c r="P300" s="1" t="s">
        <v>925</v>
      </c>
      <c r="Q300" s="30">
        <v>45385</v>
      </c>
      <c r="R300" s="1">
        <v>2</v>
      </c>
      <c r="S300" s="1">
        <v>1000</v>
      </c>
      <c r="T300" s="9">
        <v>45413</v>
      </c>
      <c r="U300" s="1">
        <v>2</v>
      </c>
      <c r="V300" s="62">
        <f>aktuelleAnleihen[[#This Row],[Stückelung]]*aktuelleAnleihen[[#This Row],[Anteile]]*aktuelleAnleihen[[#This Row],[Coupon]]/aktuelleAnleihen[[#This Row],[Aktueller Wechselkurs]]*($AC$1-aktuelleAnleihen[[#This Row],[Letzte Zinszahlung]])/365</f>
        <v>14.191780821917808</v>
      </c>
      <c r="W300" s="4">
        <v>59.0685</v>
      </c>
      <c r="X300" s="120" t="s">
        <v>102</v>
      </c>
      <c r="Y300" s="120" t="s">
        <v>52</v>
      </c>
      <c r="Z300" s="1" t="s">
        <v>673</v>
      </c>
      <c r="AA300" s="1" t="s">
        <v>674</v>
      </c>
      <c r="AB300" s="3">
        <f>SUMIF('Zinszahlungen Anleihen'!K:K,aktuelleAnleihen[[#This Row],[ISIN]],'Zinszahlungen Anleihen'!D:D)</f>
        <v>70</v>
      </c>
      <c r="AE300" s="9"/>
      <c r="AF300" s="1"/>
      <c r="AI300" s="3"/>
      <c r="AJ300" s="1"/>
      <c r="AM300" s="10"/>
      <c r="AN300" s="1"/>
      <c r="AP300" s="7"/>
      <c r="AQ300" s="1"/>
    </row>
    <row r="301" spans="1:43" x14ac:dyDescent="0.2">
      <c r="A301" s="1" t="s">
        <v>811</v>
      </c>
      <c r="B301" s="1" t="s">
        <v>1</v>
      </c>
      <c r="C301" s="7">
        <v>6.25E-2</v>
      </c>
      <c r="D301" s="7">
        <v>1.0331999999999999</v>
      </c>
      <c r="E301" s="7">
        <f>aktuelleAnleihen[[#This Row],[Aktueller Kurs]]-aktuelleAnleihen[[#This Row],[Kaufkurs]]</f>
        <v>6.4999999999999503E-3</v>
      </c>
      <c r="F301" s="8">
        <f>aktuelleAnleihen[[#This Row],[Stückelung]]*aktuelleAnleihen[[#This Row],[Aktueller Kurs]]*aktuelleAnleihen[[#This Row],[Anteile]]/aktuelleAnleihen[[#This Row],[Aktueller Wechselkurs]]+aktuelleAnleihen[[#This Row],[Stückzinsen]]</f>
        <v>2105.0986301369858</v>
      </c>
      <c r="G301" s="8">
        <f>aktuelleAnleihen[[#This Row],[Kursdifferenz]]*aktuelleAnleihen[[#This Row],[Anteile]]*aktuelleAnleihen[[#This Row],[Stückelung]]/aktuelleAnleihen[[#This Row],[Wechselkurs am Kauftag]]</f>
        <v>12.999999999999901</v>
      </c>
      <c r="H301" s="8">
        <f>aktuelleAnleihen[[#This Row],[Stückzinsen]]-aktuelleAnleihen[[#This Row],[Stückzinsen am Kauftag]]+aktuelleAnleihen[[#This Row],[Zinszahlungen]]</f>
        <v>22.260230136986301</v>
      </c>
      <c r="I301" s="8">
        <f>aktuelleAnleihen[[#This Row],[Gewinn gesamt]]-aktuelleAnleihen[[#This Row],[Gewinn aus Kursänderung]]-aktuelleAnleihen[[#This Row],[Gewinn aus Zinsen]]</f>
        <v>-5.1869619710487314E-13</v>
      </c>
      <c r="J301" s="7">
        <f>aktuelleAnleihen[[#This Row],[Gewinn gesamt]]/aktuelleAnleihen[[#This Row],[Kaufpreis]]</f>
        <v>1.7035257504636924E-2</v>
      </c>
      <c r="K301" s="3">
        <f>aktuelleAnleihen[[#This Row],[Verkaufspreis]]-aktuelleAnleihen[[#This Row],[Kaufpreis]]+aktuelleAnleihen[[#This Row],[Zinszahlungen]]</f>
        <v>35.260230136985683</v>
      </c>
      <c r="L301" s="4">
        <v>2069.8384000000001</v>
      </c>
      <c r="M301" s="7">
        <v>1.0266999999999999</v>
      </c>
      <c r="N301" s="61">
        <v>1</v>
      </c>
      <c r="O301" s="1">
        <v>1</v>
      </c>
      <c r="P301" s="1" t="s">
        <v>925</v>
      </c>
      <c r="Q301" s="30">
        <v>45385</v>
      </c>
      <c r="R301" s="1">
        <v>2</v>
      </c>
      <c r="S301" s="1">
        <v>1000</v>
      </c>
      <c r="T301" s="9">
        <v>45337</v>
      </c>
      <c r="U301" s="1">
        <v>2</v>
      </c>
      <c r="V301" s="62">
        <f>aktuelleAnleihen[[#This Row],[Stückelung]]*aktuelleAnleihen[[#This Row],[Anteile]]*aktuelleAnleihen[[#This Row],[Coupon]]/aktuelleAnleihen[[#This Row],[Aktueller Wechselkurs]]*($AC$1-aktuelleAnleihen[[#This Row],[Letzte Zinszahlung]])/365</f>
        <v>38.698630136986303</v>
      </c>
      <c r="W301" s="4">
        <v>16.438400000000001</v>
      </c>
      <c r="X301" s="120" t="s">
        <v>51</v>
      </c>
      <c r="Y301" s="120" t="s">
        <v>39</v>
      </c>
      <c r="Z301" s="1" t="s">
        <v>812</v>
      </c>
      <c r="AA301" s="1" t="s">
        <v>813</v>
      </c>
      <c r="AB301" s="3">
        <f>SUMIF('Zinszahlungen Anleihen'!K:K,aktuelleAnleihen[[#This Row],[ISIN]],'Zinszahlungen Anleihen'!D:D)</f>
        <v>0</v>
      </c>
      <c r="AE301" s="9"/>
      <c r="AF301" s="1"/>
      <c r="AI301" s="3"/>
      <c r="AJ301" s="1"/>
      <c r="AM301" s="10"/>
      <c r="AN301" s="1"/>
      <c r="AP301" s="7"/>
      <c r="AQ301" s="1"/>
    </row>
    <row r="302" spans="1:43" x14ac:dyDescent="0.2">
      <c r="A302" s="1" t="s">
        <v>663</v>
      </c>
      <c r="B302" s="1" t="s">
        <v>0</v>
      </c>
      <c r="C302" s="7">
        <v>7.0000000000000007E-2</v>
      </c>
      <c r="D302" s="7">
        <v>0.99419999999999997</v>
      </c>
      <c r="E302" s="7">
        <f>aktuelleAnleihen[[#This Row],[Aktueller Kurs]]-aktuelleAnleihen[[#This Row],[Kaufkurs]]</f>
        <v>6.5999999999999392E-3</v>
      </c>
      <c r="F302" s="8">
        <f>aktuelleAnleihen[[#This Row],[Stückelung]]*aktuelleAnleihen[[#This Row],[Aktueller Kurs]]*aktuelleAnleihen[[#This Row],[Anteile]]/aktuelleAnleihen[[#This Row],[Aktueller Wechselkurs]]+aktuelleAnleihen[[#This Row],[Stückzinsen]]</f>
        <v>2053.9890410958901</v>
      </c>
      <c r="G302" s="8">
        <f>aktuelleAnleihen[[#This Row],[Kursdifferenz]]*aktuelleAnleihen[[#This Row],[Anteile]]*aktuelleAnleihen[[#This Row],[Stückelung]]/aktuelleAnleihen[[#This Row],[Wechselkurs am Kauftag]]</f>
        <v>13.199999999999878</v>
      </c>
      <c r="H302" s="8">
        <f>aktuelleAnleihen[[#This Row],[Stückzinsen]]-aktuelleAnleihen[[#This Row],[Stückzinsen am Kauftag]]+aktuelleAnleihen[[#This Row],[Zinszahlungen]]</f>
        <v>24.93154109589041</v>
      </c>
      <c r="I302" s="8">
        <f>aktuelleAnleihen[[#This Row],[Gewinn gesamt]]-aktuelleAnleihen[[#This Row],[Gewinn aus Kursänderung]]-aktuelleAnleihen[[#This Row],[Gewinn aus Zinsen]]</f>
        <v>-2.4513724383723456E-13</v>
      </c>
      <c r="J302" s="7">
        <f>aktuelleAnleihen[[#This Row],[Gewinn gesamt]]/aktuelleAnleihen[[#This Row],[Kaufpreis]]</f>
        <v>1.8915791962422959E-2</v>
      </c>
      <c r="K302" s="3">
        <f>aktuelleAnleihen[[#This Row],[Verkaufspreis]]-aktuelleAnleihen[[#This Row],[Kaufpreis]]+aktuelleAnleihen[[#This Row],[Zinszahlungen]]</f>
        <v>38.131541095890043</v>
      </c>
      <c r="L302" s="4">
        <v>2015.8575000000001</v>
      </c>
      <c r="M302" s="7">
        <v>0.98760000000000003</v>
      </c>
      <c r="N302" s="61">
        <v>1</v>
      </c>
      <c r="O302" s="1">
        <v>1</v>
      </c>
      <c r="P302" s="1" t="s">
        <v>925</v>
      </c>
      <c r="Q302" s="30">
        <v>45385</v>
      </c>
      <c r="R302" s="1">
        <v>2</v>
      </c>
      <c r="S302" s="1">
        <v>1000</v>
      </c>
      <c r="T302" s="9">
        <v>45279</v>
      </c>
      <c r="U302" s="1">
        <v>2</v>
      </c>
      <c r="V302" s="62">
        <f>aktuelleAnleihen[[#This Row],[Stückelung]]*aktuelleAnleihen[[#This Row],[Anteile]]*aktuelleAnleihen[[#This Row],[Coupon]]/aktuelleAnleihen[[#This Row],[Aktueller Wechselkurs]]*($AC$1-aktuelleAnleihen[[#This Row],[Letzte Zinszahlung]])/365</f>
        <v>65.589041095890408</v>
      </c>
      <c r="W302" s="4">
        <v>40.657499999999999</v>
      </c>
      <c r="X302" s="120" t="s">
        <v>51</v>
      </c>
      <c r="Y302" s="120" t="s">
        <v>44</v>
      </c>
      <c r="Z302" s="1" t="s">
        <v>664</v>
      </c>
      <c r="AA302" s="1" t="s">
        <v>665</v>
      </c>
      <c r="AB302" s="3">
        <f>SUMIF('Zinszahlungen Anleihen'!K:K,aktuelleAnleihen[[#This Row],[ISIN]],'Zinszahlungen Anleihen'!D:D)</f>
        <v>0</v>
      </c>
      <c r="AE302" s="9"/>
      <c r="AF302" s="1"/>
      <c r="AI302" s="3"/>
      <c r="AJ302" s="1"/>
      <c r="AM302" s="10"/>
      <c r="AN302" s="1"/>
      <c r="AP302" s="7"/>
      <c r="AQ302" s="1"/>
    </row>
    <row r="303" spans="1:43" x14ac:dyDescent="0.2">
      <c r="A303" s="1" t="s">
        <v>779</v>
      </c>
      <c r="B303" s="1" t="s">
        <v>11</v>
      </c>
      <c r="C303" s="7">
        <v>6.3750000000000001E-2</v>
      </c>
      <c r="D303" s="7">
        <v>0.81720000000000004</v>
      </c>
      <c r="E303" s="7">
        <f>aktuelleAnleihen[[#This Row],[Aktueller Kurs]]-aktuelleAnleihen[[#This Row],[Kaufkurs]]</f>
        <v>6.7000000000000393E-3</v>
      </c>
      <c r="F303" s="8">
        <f>aktuelleAnleihen[[#This Row],[Stückelung]]*aktuelleAnleihen[[#This Row],[Aktueller Kurs]]*aktuelleAnleihen[[#This Row],[Anteile]]/aktuelleAnleihen[[#This Row],[Aktueller Wechselkurs]]+aktuelleAnleihen[[#This Row],[Stückzinsen]]</f>
        <v>1654.3109589041096</v>
      </c>
      <c r="G303" s="8">
        <f>aktuelleAnleihen[[#This Row],[Kursdifferenz]]*aktuelleAnleihen[[#This Row],[Anteile]]*aktuelleAnleihen[[#This Row],[Stückelung]]/aktuelleAnleihen[[#This Row],[Wechselkurs am Kauftag]]</f>
        <v>13.400000000000079</v>
      </c>
      <c r="H303" s="8">
        <f>aktuelleAnleihen[[#This Row],[Stückzinsen]]-aktuelleAnleihen[[#This Row],[Stückzinsen am Kauftag]]+aktuelleAnleihen[[#This Row],[Zinszahlungen]]</f>
        <v>22.356158904109591</v>
      </c>
      <c r="I303" s="8">
        <f>aktuelleAnleihen[[#This Row],[Gewinn gesamt]]-aktuelleAnleihen[[#This Row],[Gewinn aus Kursänderung]]-aktuelleAnleihen[[#This Row],[Gewinn aus Zinsen]]</f>
        <v>5.6843418860808015E-14</v>
      </c>
      <c r="J303" s="7">
        <f>aktuelleAnleihen[[#This Row],[Gewinn gesamt]]/aktuelleAnleihen[[#This Row],[Kaufpreis]]</f>
        <v>2.0478256984895162E-2</v>
      </c>
      <c r="K303" s="3">
        <f>aktuelleAnleihen[[#This Row],[Verkaufspreis]]-aktuelleAnleihen[[#This Row],[Kaufpreis]]+aktuelleAnleihen[[#This Row],[Zinszahlungen]]</f>
        <v>35.756158904109725</v>
      </c>
      <c r="L303" s="4">
        <v>1746.0547999999999</v>
      </c>
      <c r="M303" s="7">
        <v>0.8105</v>
      </c>
      <c r="N303" s="61">
        <v>1</v>
      </c>
      <c r="O303" s="1">
        <v>1</v>
      </c>
      <c r="P303" s="1" t="s">
        <v>925</v>
      </c>
      <c r="Q303" s="30">
        <v>45385</v>
      </c>
      <c r="R303" s="1">
        <v>2</v>
      </c>
      <c r="S303" s="1">
        <v>1000</v>
      </c>
      <c r="T303" s="9">
        <v>45393</v>
      </c>
      <c r="U303" s="1">
        <v>1</v>
      </c>
      <c r="V303" s="62">
        <f>aktuelleAnleihen[[#This Row],[Stückelung]]*aktuelleAnleihen[[#This Row],[Anteile]]*aktuelleAnleihen[[#This Row],[Coupon]]/aktuelleAnleihen[[#This Row],[Aktueller Wechselkurs]]*($AC$1-aktuelleAnleihen[[#This Row],[Letzte Zinszahlung]])/365</f>
        <v>19.910958904109588</v>
      </c>
      <c r="W303" s="4">
        <v>125.0548</v>
      </c>
      <c r="X303" s="120" t="s">
        <v>780</v>
      </c>
      <c r="Y303" s="120" t="s">
        <v>57</v>
      </c>
      <c r="Z303" s="1" t="s">
        <v>781</v>
      </c>
      <c r="AA303" s="1" t="s">
        <v>782</v>
      </c>
      <c r="AB303" s="3">
        <f>SUMIF('Zinszahlungen Anleihen'!K:K,aktuelleAnleihen[[#This Row],[ISIN]],'Zinszahlungen Anleihen'!D:D)</f>
        <v>127.5</v>
      </c>
      <c r="AE303" s="9"/>
      <c r="AF303" s="1"/>
      <c r="AI303" s="3"/>
      <c r="AJ303" s="1"/>
      <c r="AM303" s="10"/>
      <c r="AN303" s="1"/>
      <c r="AP303" s="7"/>
      <c r="AQ303" s="1"/>
    </row>
    <row r="304" spans="1:43" x14ac:dyDescent="0.2">
      <c r="A304" s="1" t="s">
        <v>1134</v>
      </c>
      <c r="B304" s="1" t="s">
        <v>0</v>
      </c>
      <c r="C304" s="7">
        <v>9.7500000000000003E-2</v>
      </c>
      <c r="D304" s="7">
        <v>0.91469999999999996</v>
      </c>
      <c r="E304" s="7">
        <f>aktuelleAnleihen[[#This Row],[Aktueller Kurs]]-aktuelleAnleihen[[#This Row],[Kaufkurs]]</f>
        <v>7.1999999999999842E-3</v>
      </c>
      <c r="F304" s="8">
        <f>aktuelleAnleihen[[#This Row],[Stückelung]]*aktuelleAnleihen[[#This Row],[Aktueller Kurs]]*aktuelleAnleihen[[#This Row],[Anteile]]/aktuelleAnleihen[[#This Row],[Aktueller Wechselkurs]]+aktuelleAnleihen[[#This Row],[Stückzinsen]]</f>
        <v>1746.9394737140003</v>
      </c>
      <c r="G304" s="8">
        <f>aktuelleAnleihen[[#This Row],[Kursdifferenz]]*aktuelleAnleihen[[#This Row],[Anteile]]*aktuelleAnleihen[[#This Row],[Stückelung]]/aktuelleAnleihen[[#This Row],[Wechselkurs am Kauftag]]</f>
        <v>13.429077683484071</v>
      </c>
      <c r="H304" s="8">
        <f>aktuelleAnleihen[[#This Row],[Stückzinsen]]-aktuelleAnleihen[[#This Row],[Stückzinsen am Kauftag]]+aktuelleAnleihen[[#This Row],[Zinszahlungen]]</f>
        <v>17.879612241224699</v>
      </c>
      <c r="I304" s="8">
        <f>aktuelleAnleihen[[#This Row],[Gewinn gesamt]]-aktuelleAnleihen[[#This Row],[Gewinn aus Kursänderung]]-aktuelleAnleihen[[#This Row],[Gewinn aus Zinsen]]</f>
        <v>-26.316816210708421</v>
      </c>
      <c r="J304" s="7">
        <f>aktuelleAnleihen[[#This Row],[Gewinn gesamt]]/aktuelleAnleihen[[#This Row],[Kaufpreis]]</f>
        <v>2.8656853478258178E-3</v>
      </c>
      <c r="K304" s="3">
        <f>aktuelleAnleihen[[#This Row],[Verkaufspreis]]-aktuelleAnleihen[[#This Row],[Kaufpreis]]+aktuelleAnleihen[[#This Row],[Zinszahlungen]]</f>
        <v>4.9918737140003486</v>
      </c>
      <c r="L304" s="4">
        <v>1741.9476</v>
      </c>
      <c r="M304" s="7">
        <v>0.90749999999999997</v>
      </c>
      <c r="N304" s="61">
        <v>1.0723</v>
      </c>
      <c r="O304" s="1">
        <v>1.0891</v>
      </c>
      <c r="P304" s="1" t="s">
        <v>887</v>
      </c>
      <c r="Q304" s="30">
        <v>45412</v>
      </c>
      <c r="R304" s="1">
        <v>2</v>
      </c>
      <c r="S304" s="1">
        <v>1000</v>
      </c>
      <c r="T304" s="9">
        <v>45313</v>
      </c>
      <c r="U304" s="1">
        <v>2</v>
      </c>
      <c r="V304" s="62">
        <f>aktuelleAnleihen[[#This Row],[Stückelung]]*aktuelleAnleihen[[#This Row],[Anteile]]*aktuelleAnleihen[[#This Row],[Coupon]]/aktuelleAnleihen[[#This Row],[Aktueller Wechselkurs]]*($AC$1-aktuelleAnleihen[[#This Row],[Letzte Zinszahlung]])/365</f>
        <v>67.2039122412247</v>
      </c>
      <c r="W304" s="4">
        <v>49.324300000000001</v>
      </c>
      <c r="X304" s="120" t="s">
        <v>65</v>
      </c>
      <c r="Y304" s="120" t="s">
        <v>39</v>
      </c>
      <c r="Z304" s="1" t="s">
        <v>1135</v>
      </c>
      <c r="AA304" s="1" t="s">
        <v>1136</v>
      </c>
      <c r="AB304" s="3">
        <f>SUMIF('Zinszahlungen Anleihen'!K:K,aktuelleAnleihen[[#This Row],[ISIN]],'Zinszahlungen Anleihen'!D:D)</f>
        <v>0</v>
      </c>
      <c r="AE304" s="9"/>
      <c r="AF304" s="1"/>
      <c r="AI304" s="3"/>
      <c r="AJ304" s="1"/>
      <c r="AM304" s="10"/>
      <c r="AN304" s="1"/>
      <c r="AP304" s="7"/>
      <c r="AQ304" s="1"/>
    </row>
    <row r="305" spans="1:43" x14ac:dyDescent="0.2">
      <c r="A305" s="1" t="s">
        <v>1368</v>
      </c>
      <c r="B305" s="1" t="s">
        <v>4</v>
      </c>
      <c r="C305" s="7">
        <v>8.7499999999999994E-2</v>
      </c>
      <c r="D305" s="7">
        <v>1.0137499999999999</v>
      </c>
      <c r="E305" s="7">
        <f>aktuelleAnleihen[[#This Row],[Aktueller Kurs]]-aktuelleAnleihen[[#This Row],[Kaufkurs]]</f>
        <v>7.4499999999999567E-3</v>
      </c>
      <c r="F305" s="8">
        <f>aktuelleAnleihen[[#This Row],[Stückelung]]*aktuelleAnleihen[[#This Row],[Aktueller Kurs]]*aktuelleAnleihen[[#This Row],[Anteile]]/aktuelleAnleihen[[#This Row],[Aktueller Wechselkurs]]+aktuelleAnleihen[[#This Row],[Stückzinsen]]</f>
        <v>1884.9609392196396</v>
      </c>
      <c r="G305" s="8">
        <f>aktuelleAnleihen[[#This Row],[Kursdifferenz]]*aktuelleAnleihen[[#This Row],[Anteile]]*aktuelleAnleihen[[#This Row],[Stückelung]]/aktuelleAnleihen[[#This Row],[Wechselkurs am Kauftag]]</f>
        <v>13.895365103049439</v>
      </c>
      <c r="H305" s="8">
        <f>aktuelleAnleihen[[#This Row],[Stückzinsen]]-aktuelleAnleihen[[#This Row],[Stückzinsen am Kauftag]]+aktuelleAnleihen[[#This Row],[Zinszahlungen]]</f>
        <v>16.625171347084368</v>
      </c>
      <c r="I305" s="8">
        <f>aktuelleAnleihen[[#This Row],[Gewinn gesamt]]-aktuelleAnleihen[[#This Row],[Gewinn aus Kursänderung]]-aktuelleAnleihen[[#This Row],[Gewinn aus Zinsen]]</f>
        <v>-29.166597230494165</v>
      </c>
      <c r="J305" s="7">
        <f>aktuelleAnleihen[[#This Row],[Gewinn gesamt]]/aktuelleAnleihen[[#This Row],[Kaufpreis]]</f>
        <v>7.188013315089836E-4</v>
      </c>
      <c r="K305" s="3">
        <f>aktuelleAnleihen[[#This Row],[Verkaufspreis]]-aktuelleAnleihen[[#This Row],[Kaufpreis]]+aktuelleAnleihen[[#This Row],[Zinszahlungen]]</f>
        <v>1.353939219639642</v>
      </c>
      <c r="L305" s="4">
        <v>1883.607</v>
      </c>
      <c r="M305" s="7">
        <v>1.0063</v>
      </c>
      <c r="N305" s="61">
        <v>1.0723</v>
      </c>
      <c r="O305" s="1">
        <v>1.0891</v>
      </c>
      <c r="P305" s="1" t="s">
        <v>887</v>
      </c>
      <c r="Q305" s="30">
        <v>45412</v>
      </c>
      <c r="R305" s="1">
        <v>2</v>
      </c>
      <c r="S305" s="1">
        <v>1000</v>
      </c>
      <c r="T305" s="9">
        <v>45397</v>
      </c>
      <c r="U305" s="1">
        <v>2</v>
      </c>
      <c r="V305" s="62">
        <f>aktuelleAnleihen[[#This Row],[Stückelung]]*aktuelleAnleihen[[#This Row],[Anteile]]*aktuelleAnleihen[[#This Row],[Coupon]]/aktuelleAnleihen[[#This Row],[Aktueller Wechselkurs]]*($AC$1-aktuelleAnleihen[[#This Row],[Letzte Zinszahlung]])/365</f>
        <v>23.332071347084369</v>
      </c>
      <c r="W305" s="4">
        <v>6.7069000000000001</v>
      </c>
      <c r="X305" s="120" t="s">
        <v>35</v>
      </c>
      <c r="Y305" s="120" t="s">
        <v>1011</v>
      </c>
      <c r="Z305" s="1" t="s">
        <v>1388</v>
      </c>
      <c r="AA305" s="1" t="s">
        <v>1389</v>
      </c>
      <c r="AB305" s="3">
        <f>SUMIF('Zinszahlungen Anleihen'!K:K,aktuelleAnleihen[[#This Row],[ISIN]],'Zinszahlungen Anleihen'!D:D)</f>
        <v>0</v>
      </c>
      <c r="AE305" s="9"/>
      <c r="AF305" s="1"/>
      <c r="AI305" s="3"/>
      <c r="AJ305" s="1"/>
      <c r="AM305" s="10"/>
      <c r="AN305" s="1"/>
      <c r="AP305" s="7"/>
      <c r="AQ305" s="1"/>
    </row>
    <row r="306" spans="1:43" x14ac:dyDescent="0.2">
      <c r="A306" s="1" t="s">
        <v>1507</v>
      </c>
      <c r="B306" s="1" t="s">
        <v>4</v>
      </c>
      <c r="C306" s="7">
        <v>9.8750000000000004E-2</v>
      </c>
      <c r="D306" s="7">
        <v>1.0862499999999999</v>
      </c>
      <c r="E306" s="7">
        <f>aktuelleAnleihen[[#This Row],[Aktueller Kurs]]-aktuelleAnleihen[[#This Row],[Kaufkurs]]</f>
        <v>7.4499999999999567E-3</v>
      </c>
      <c r="F306" s="8">
        <f>aktuelleAnleihen[[#This Row],[Stückelung]]*aktuelleAnleihen[[#This Row],[Aktueller Kurs]]*aktuelleAnleihen[[#This Row],[Anteile]]/aktuelleAnleihen[[#This Row],[Aktueller Wechselkurs]]+aktuelleAnleihen[[#This Row],[Stückzinsen]]</f>
        <v>2057.8635369407693</v>
      </c>
      <c r="G306" s="8">
        <f>aktuelleAnleihen[[#This Row],[Kursdifferenz]]*aktuelleAnleihen[[#This Row],[Anteile]]*aktuelleAnleihen[[#This Row],[Stückelung]]/aktuelleAnleihen[[#This Row],[Wechselkurs am Kauftag]]</f>
        <v>13.895365103049439</v>
      </c>
      <c r="H306" s="8">
        <f>aktuelleAnleihen[[#This Row],[Stückzinsen]]-aktuelleAnleihen[[#This Row],[Stückzinsen am Kauftag]]+aktuelleAnleihen[[#This Row],[Zinszahlungen]]</f>
        <v>18.186716125417121</v>
      </c>
      <c r="I306" s="8">
        <f>aktuelleAnleihen[[#This Row],[Gewinn gesamt]]-aktuelleAnleihen[[#This Row],[Gewinn aus Kursänderung]]-aktuelleAnleihen[[#This Row],[Gewinn aus Zinsen]]</f>
        <v>-31.252544287697329</v>
      </c>
      <c r="J306" s="7">
        <f>aktuelleAnleihen[[#This Row],[Gewinn gesamt]]/aktuelleAnleihen[[#This Row],[Kaufpreis]]</f>
        <v>4.0326846360790855E-4</v>
      </c>
      <c r="K306" s="3">
        <f>aktuelleAnleihen[[#This Row],[Verkaufspreis]]-aktuelleAnleihen[[#This Row],[Kaufpreis]]+aktuelleAnleihen[[#This Row],[Zinszahlungen]]</f>
        <v>0.82953694076923057</v>
      </c>
      <c r="L306" s="4">
        <v>2057.0340000000001</v>
      </c>
      <c r="M306" s="7">
        <v>1.0788</v>
      </c>
      <c r="N306" s="61">
        <v>1.0723</v>
      </c>
      <c r="O306" s="1">
        <v>1.0891</v>
      </c>
      <c r="P306" s="1" t="s">
        <v>887</v>
      </c>
      <c r="Q306" s="30">
        <v>45412</v>
      </c>
      <c r="R306" s="1">
        <v>2</v>
      </c>
      <c r="S306" s="1">
        <v>1000</v>
      </c>
      <c r="T306" s="9">
        <v>45323</v>
      </c>
      <c r="U306" s="1">
        <v>2</v>
      </c>
      <c r="V306" s="62">
        <f>aktuelleAnleihen[[#This Row],[Stückelung]]*aktuelleAnleihen[[#This Row],[Anteile]]*aktuelleAnleihen[[#This Row],[Coupon]]/aktuelleAnleihen[[#This Row],[Aktueller Wechselkurs]]*($AC$1-aktuelleAnleihen[[#This Row],[Letzte Zinszahlung]])/365</f>
        <v>63.09721612541712</v>
      </c>
      <c r="W306" s="4">
        <v>44.910499999999999</v>
      </c>
      <c r="X306" s="120" t="s">
        <v>276</v>
      </c>
      <c r="Y306" s="120" t="s">
        <v>1011</v>
      </c>
      <c r="Z306" s="1" t="s">
        <v>1508</v>
      </c>
      <c r="AA306" s="1" t="s">
        <v>1509</v>
      </c>
      <c r="AB306" s="3">
        <f>SUMIF('Zinszahlungen Anleihen'!K:K,aktuelleAnleihen[[#This Row],[ISIN]],'Zinszahlungen Anleihen'!D:D)</f>
        <v>0</v>
      </c>
      <c r="AE306" s="9"/>
      <c r="AF306" s="1"/>
      <c r="AI306" s="3"/>
      <c r="AJ306" s="1"/>
      <c r="AM306" s="10"/>
      <c r="AN306" s="1"/>
      <c r="AP306" s="7"/>
      <c r="AQ306" s="1"/>
    </row>
    <row r="307" spans="1:43" x14ac:dyDescent="0.2">
      <c r="A307" s="1" t="s">
        <v>1246</v>
      </c>
      <c r="B307" s="1" t="s">
        <v>4</v>
      </c>
      <c r="C307" s="7">
        <v>9.2499999999999999E-2</v>
      </c>
      <c r="D307" s="7">
        <v>0.98860000000000003</v>
      </c>
      <c r="E307" s="7">
        <f>aktuelleAnleihen[[#This Row],[Aktueller Kurs]]-aktuelleAnleihen[[#This Row],[Kaufkurs]]</f>
        <v>7.6000000000000512E-3</v>
      </c>
      <c r="F307" s="8">
        <f>aktuelleAnleihen[[#This Row],[Stückelung]]*aktuelleAnleihen[[#This Row],[Aktueller Kurs]]*aktuelleAnleihen[[#This Row],[Anteile]]/aktuelleAnleihen[[#This Row],[Aktueller Wechselkurs]]+aktuelleAnleihen[[#This Row],[Stückzinsen]]</f>
        <v>1840.5746607416204</v>
      </c>
      <c r="G307" s="8">
        <f>aktuelleAnleihen[[#This Row],[Kursdifferenz]]*aktuelleAnleihen[[#This Row],[Anteile]]*aktuelleAnleihen[[#This Row],[Stückelung]]/aktuelleAnleihen[[#This Row],[Wechselkurs am Kauftag]]</f>
        <v>14.175137554788867</v>
      </c>
      <c r="H307" s="8">
        <f>aktuelleAnleihen[[#This Row],[Stückzinsen]]-aktuelleAnleihen[[#This Row],[Stückzinsen am Kauftag]]+aktuelleAnleihen[[#This Row],[Zinszahlungen]]</f>
        <v>17.567916200255837</v>
      </c>
      <c r="I307" s="8">
        <f>aktuelleAnleihen[[#This Row],[Gewinn gesamt]]-aktuelleAnleihen[[#This Row],[Gewinn aus Kursänderung]]-aktuelleAnleihen[[#This Row],[Gewinn aus Zinsen]]</f>
        <v>-28.442993013424278</v>
      </c>
      <c r="J307" s="7">
        <f>aktuelleAnleihen[[#This Row],[Gewinn gesamt]]/aktuelleAnleihen[[#This Row],[Kaufpreis]]</f>
        <v>1.7961717544129918E-3</v>
      </c>
      <c r="K307" s="3">
        <f>aktuelleAnleihen[[#This Row],[Verkaufspreis]]-aktuelleAnleihen[[#This Row],[Kaufpreis]]+aktuelleAnleihen[[#This Row],[Zinszahlungen]]</f>
        <v>3.3000607416204275</v>
      </c>
      <c r="L307" s="4">
        <v>1837.2746</v>
      </c>
      <c r="M307" s="7">
        <v>0.98099999999999998</v>
      </c>
      <c r="N307" s="61">
        <v>1.0723</v>
      </c>
      <c r="O307" s="1">
        <v>1.0891</v>
      </c>
      <c r="P307" s="1" t="s">
        <v>887</v>
      </c>
      <c r="Q307" s="30">
        <v>45412</v>
      </c>
      <c r="R307" s="1">
        <v>1</v>
      </c>
      <c r="S307" s="1">
        <v>2000</v>
      </c>
      <c r="T307" s="9">
        <v>45396</v>
      </c>
      <c r="U307" s="1">
        <v>2</v>
      </c>
      <c r="V307" s="62">
        <f>aktuelleAnleihen[[#This Row],[Stückelung]]*aktuelleAnleihen[[#This Row],[Anteile]]*aktuelleAnleihen[[#This Row],[Coupon]]/aktuelleAnleihen[[#This Row],[Aktueller Wechselkurs]]*($AC$1-aktuelleAnleihen[[#This Row],[Letzte Zinszahlung]])/365</f>
        <v>25.130716200255836</v>
      </c>
      <c r="W307" s="4">
        <v>7.5628000000000002</v>
      </c>
      <c r="X307" s="120" t="s">
        <v>65</v>
      </c>
      <c r="Y307" s="120" t="s">
        <v>52</v>
      </c>
      <c r="Z307" s="1" t="s">
        <v>1247</v>
      </c>
      <c r="AA307" s="1" t="s">
        <v>1248</v>
      </c>
      <c r="AB307" s="3">
        <f>SUMIF('Zinszahlungen Anleihen'!K:K,aktuelleAnleihen[[#This Row],[ISIN]],'Zinszahlungen Anleihen'!D:D)</f>
        <v>0</v>
      </c>
      <c r="AE307" s="9"/>
      <c r="AF307" s="1"/>
      <c r="AI307" s="3"/>
      <c r="AJ307" s="1"/>
      <c r="AM307" s="10"/>
      <c r="AN307" s="1"/>
      <c r="AP307" s="7"/>
      <c r="AQ307" s="1"/>
    </row>
    <row r="308" spans="1:43" x14ac:dyDescent="0.2">
      <c r="A308" s="1" t="s">
        <v>1237</v>
      </c>
      <c r="B308" s="1" t="s">
        <v>0</v>
      </c>
      <c r="C308" s="7">
        <v>9.3689999999999996E-2</v>
      </c>
      <c r="D308" s="7">
        <v>0.99709999999999999</v>
      </c>
      <c r="E308" s="7">
        <f>aktuelleAnleihen[[#This Row],[Aktueller Kurs]]-aktuelleAnleihen[[#This Row],[Kaufkurs]]</f>
        <v>7.7000000000000401E-3</v>
      </c>
      <c r="F308" s="8">
        <f>aktuelleAnleihen[[#This Row],[Stückelung]]*aktuelleAnleihen[[#This Row],[Aktueller Kurs]]*aktuelleAnleihen[[#This Row],[Anteile]]/aktuelleAnleihen[[#This Row],[Aktueller Wechselkurs]]+aktuelleAnleihen[[#This Row],[Stückzinsen]]</f>
        <v>1871.1196752880032</v>
      </c>
      <c r="G308" s="8">
        <f>aktuelleAnleihen[[#This Row],[Kursdifferenz]]*aktuelleAnleihen[[#This Row],[Anteile]]*aktuelleAnleihen[[#This Row],[Stückelung]]/aktuelleAnleihen[[#This Row],[Wechselkurs am Kauftag]]</f>
        <v>14.361652522615014</v>
      </c>
      <c r="H308" s="8">
        <f>aktuelleAnleihen[[#This Row],[Stückzinsen]]-aktuelleAnleihen[[#This Row],[Stückzinsen am Kauftag]]+aktuelleAnleihen[[#This Row],[Zinszahlungen]]</f>
        <v>17.565012125759232</v>
      </c>
      <c r="I308" s="8">
        <f>aktuelleAnleihen[[#This Row],[Gewinn gesamt]]-aktuelleAnleihen[[#This Row],[Gewinn aus Kursänderung]]-aktuelleAnleihen[[#This Row],[Gewinn aus Zinsen]]</f>
        <v>-28.687589360370968</v>
      </c>
      <c r="J308" s="7">
        <f>aktuelleAnleihen[[#This Row],[Gewinn gesamt]]/aktuelleAnleihen[[#This Row],[Kaufpreis]]</f>
        <v>1.7340911876290582E-3</v>
      </c>
      <c r="K308" s="3">
        <f>aktuelleAnleihen[[#This Row],[Verkaufspreis]]-aktuelleAnleihen[[#This Row],[Kaufpreis]]+aktuelleAnleihen[[#This Row],[Zinszahlungen]]</f>
        <v>3.2390752880032778</v>
      </c>
      <c r="L308" s="4">
        <v>1867.8806</v>
      </c>
      <c r="M308" s="7">
        <v>0.98939999999999995</v>
      </c>
      <c r="N308" s="61">
        <v>1.0723</v>
      </c>
      <c r="O308" s="1">
        <v>1.0891</v>
      </c>
      <c r="P308" s="1" t="s">
        <v>887</v>
      </c>
      <c r="Q308" s="30">
        <v>45412</v>
      </c>
      <c r="R308" s="1">
        <v>2</v>
      </c>
      <c r="S308" s="1">
        <v>1000</v>
      </c>
      <c r="T308" s="9">
        <v>45365</v>
      </c>
      <c r="U308" s="1">
        <v>2</v>
      </c>
      <c r="V308" s="62">
        <f>aktuelleAnleihen[[#This Row],[Stückelung]]*aktuelleAnleihen[[#This Row],[Anteile]]*aktuelleAnleihen[[#This Row],[Coupon]]/aktuelleAnleihen[[#This Row],[Aktueller Wechselkurs]]*($AC$1-aktuelleAnleihen[[#This Row],[Letzte Zinszahlung]])/365</f>
        <v>40.066512125759232</v>
      </c>
      <c r="W308" s="4">
        <v>22.5015</v>
      </c>
      <c r="X308" s="120" t="s">
        <v>1004</v>
      </c>
      <c r="Y308" s="120" t="s">
        <v>52</v>
      </c>
      <c r="Z308" s="1" t="s">
        <v>1238</v>
      </c>
      <c r="AA308" s="1" t="s">
        <v>1239</v>
      </c>
      <c r="AB308" s="3">
        <f>SUMIF('Zinszahlungen Anleihen'!K:K,aktuelleAnleihen[[#This Row],[ISIN]],'Zinszahlungen Anleihen'!D:D)</f>
        <v>0</v>
      </c>
      <c r="AE308" s="9"/>
      <c r="AF308" s="1"/>
      <c r="AI308" s="3"/>
      <c r="AJ308" s="1"/>
      <c r="AM308" s="10"/>
      <c r="AN308" s="1"/>
      <c r="AP308" s="7"/>
      <c r="AQ308" s="1"/>
    </row>
    <row r="309" spans="1:43" x14ac:dyDescent="0.2">
      <c r="A309" s="1" t="s">
        <v>420</v>
      </c>
      <c r="B309" s="1" t="s">
        <v>1</v>
      </c>
      <c r="C309" s="7">
        <v>8.1920000000000007E-2</v>
      </c>
      <c r="D309" s="7">
        <v>1.00858</v>
      </c>
      <c r="E309" s="7">
        <f>aktuelleAnleihen[[#This Row],[Aktueller Kurs]]-aktuelleAnleihen[[#This Row],[Kaufkurs]]</f>
        <v>7.2799999999999532E-3</v>
      </c>
      <c r="F309" s="8">
        <f>aktuelleAnleihen[[#This Row],[Stückelung]]*aktuelleAnleihen[[#This Row],[Aktueller Kurs]]*aktuelleAnleihen[[#This Row],[Anteile]]/aktuelleAnleihen[[#This Row],[Aktueller Wechselkurs]]+aktuelleAnleihen[[#This Row],[Stückzinsen]]</f>
        <v>2040.0527123287673</v>
      </c>
      <c r="G309" s="8">
        <f>aktuelleAnleihen[[#This Row],[Kursdifferenz]]*aktuelleAnleihen[[#This Row],[Anteile]]*aktuelleAnleihen[[#This Row],[Stückelung]]/aktuelleAnleihen[[#This Row],[Wechselkurs am Kauftag]]</f>
        <v>14.559999999999906</v>
      </c>
      <c r="H309" s="8">
        <f>aktuelleAnleihen[[#This Row],[Stückzinsen]]-aktuelleAnleihen[[#This Row],[Stückzinsen am Kauftag]]+aktuelleAnleihen[[#This Row],[Zinszahlungen]]</f>
        <v>29.289212328767128</v>
      </c>
      <c r="I309" s="8">
        <f>aktuelleAnleihen[[#This Row],[Gewinn gesamt]]-aktuelleAnleihen[[#This Row],[Gewinn aus Kursänderung]]-aktuelleAnleihen[[#This Row],[Gewinn aus Zinsen]]</f>
        <v>1.1013412404281553E-13</v>
      </c>
      <c r="J309" s="7">
        <f>aktuelleAnleihen[[#This Row],[Gewinn gesamt]]/aktuelleAnleihen[[#This Row],[Kaufpreis]]</f>
        <v>2.1524640672566115E-2</v>
      </c>
      <c r="K309" s="3">
        <f>aktuelleAnleihen[[#This Row],[Verkaufspreis]]-aktuelleAnleihen[[#This Row],[Kaufpreis]]+aktuelleAnleihen[[#This Row],[Zinszahlungen]]</f>
        <v>43.849212328767145</v>
      </c>
      <c r="L309" s="4">
        <v>2037.1635000000001</v>
      </c>
      <c r="M309" s="7">
        <v>1.0013000000000001</v>
      </c>
      <c r="N309" s="61">
        <v>1</v>
      </c>
      <c r="O309" s="1">
        <v>1</v>
      </c>
      <c r="P309" s="1" t="s">
        <v>925</v>
      </c>
      <c r="Q309" s="30">
        <v>45385</v>
      </c>
      <c r="R309" s="1">
        <v>2</v>
      </c>
      <c r="S309" s="1">
        <v>1000</v>
      </c>
      <c r="T309" s="9">
        <v>45399</v>
      </c>
      <c r="U309" s="1">
        <v>4</v>
      </c>
      <c r="V309" s="62">
        <f>aktuelleAnleihen[[#This Row],[Stückelung]]*aktuelleAnleihen[[#This Row],[Anteile]]*aktuelleAnleihen[[#This Row],[Coupon]]/aktuelleAnleihen[[#This Row],[Aktueller Wechselkurs]]*($AC$1-aktuelleAnleihen[[#This Row],[Letzte Zinszahlung]])/365</f>
        <v>22.892712328767125</v>
      </c>
      <c r="W309" s="4">
        <v>34.563499999999998</v>
      </c>
      <c r="X309" s="120" t="s">
        <v>170</v>
      </c>
      <c r="Y309" s="120" t="s">
        <v>52</v>
      </c>
      <c r="Z309" s="1" t="s">
        <v>421</v>
      </c>
      <c r="AA309" s="1" t="s">
        <v>422</v>
      </c>
      <c r="AB309" s="3">
        <f>SUMIF('Zinszahlungen Anleihen'!K:K,aktuelleAnleihen[[#This Row],[ISIN]],'Zinszahlungen Anleihen'!D:D)</f>
        <v>40.96</v>
      </c>
      <c r="AE309" s="9"/>
      <c r="AF309" s="1"/>
      <c r="AI309" s="3"/>
      <c r="AJ309" s="1"/>
      <c r="AM309" s="10"/>
      <c r="AN309" s="1"/>
      <c r="AP309" s="7"/>
      <c r="AQ309" s="1"/>
    </row>
    <row r="310" spans="1:43" x14ac:dyDescent="0.2">
      <c r="A310" s="1" t="s">
        <v>529</v>
      </c>
      <c r="B310" s="1" t="s">
        <v>2</v>
      </c>
      <c r="C310" s="7">
        <v>7.6509999999999995E-2</v>
      </c>
      <c r="D310" s="7">
        <v>1.0005500000000001</v>
      </c>
      <c r="E310" s="7">
        <f>aktuelleAnleihen[[#This Row],[Aktueller Kurs]]-aktuelleAnleihen[[#This Row],[Kaufkurs]]</f>
        <v>7.4500000000000677E-3</v>
      </c>
      <c r="F310" s="8">
        <f>aktuelleAnleihen[[#This Row],[Stückelung]]*aktuelleAnleihen[[#This Row],[Aktueller Kurs]]*aktuelleAnleihen[[#This Row],[Anteile]]/aktuelleAnleihen[[#This Row],[Aktueller Wechselkurs]]+aktuelleAnleihen[[#This Row],[Stückzinsen]]</f>
        <v>2010.7423561643836</v>
      </c>
      <c r="G310" s="8">
        <f>aktuelleAnleihen[[#This Row],[Kursdifferenz]]*aktuelleAnleihen[[#This Row],[Anteile]]*aktuelleAnleihen[[#This Row],[Stückelung]]/aktuelleAnleihen[[#This Row],[Wechselkurs am Kauftag]]</f>
        <v>14.900000000000135</v>
      </c>
      <c r="H310" s="8">
        <f>aktuelleAnleihen[[#This Row],[Stückzinsen]]-aktuelleAnleihen[[#This Row],[Stückzinsen am Kauftag]]+aktuelleAnleihen[[#This Row],[Zinszahlungen]]</f>
        <v>27.774156164383555</v>
      </c>
      <c r="I310" s="8">
        <f>aktuelleAnleihen[[#This Row],[Gewinn gesamt]]-aktuelleAnleihen[[#This Row],[Gewinn aus Kursänderung]]-aktuelleAnleihen[[#This Row],[Gewinn aus Zinsen]]</f>
        <v>-9.9475983006414026E-14</v>
      </c>
      <c r="J310" s="7">
        <f>aktuelleAnleihen[[#This Row],[Gewinn gesamt]]/aktuelleAnleihen[[#This Row],[Kaufpreis]]</f>
        <v>2.1269831383290385E-2</v>
      </c>
      <c r="K310" s="3">
        <f>aktuelleAnleihen[[#This Row],[Verkaufspreis]]-aktuelleAnleihen[[#This Row],[Kaufpreis]]+aktuelleAnleihen[[#This Row],[Zinszahlungen]]</f>
        <v>42.674156164383589</v>
      </c>
      <c r="L310" s="4">
        <v>2006.3232</v>
      </c>
      <c r="M310" s="7">
        <v>0.99309999999999998</v>
      </c>
      <c r="N310" s="61">
        <v>1</v>
      </c>
      <c r="O310" s="1">
        <v>1</v>
      </c>
      <c r="P310" s="1" t="s">
        <v>925</v>
      </c>
      <c r="Q310" s="30">
        <v>45385</v>
      </c>
      <c r="R310" s="1">
        <v>2</v>
      </c>
      <c r="S310" s="1">
        <v>1000</v>
      </c>
      <c r="T310" s="9">
        <v>45427</v>
      </c>
      <c r="U310" s="1">
        <v>4</v>
      </c>
      <c r="V310" s="62">
        <f>aktuelleAnleihen[[#This Row],[Stückelung]]*aktuelleAnleihen[[#This Row],[Anteile]]*aktuelleAnleihen[[#This Row],[Coupon]]/aktuelleAnleihen[[#This Row],[Aktueller Wechselkurs]]*($AC$1-aktuelleAnleihen[[#This Row],[Letzte Zinszahlung]])/365</f>
        <v>9.6423561643835605</v>
      </c>
      <c r="W310" s="4">
        <v>20.123200000000001</v>
      </c>
      <c r="X310" s="120" t="s">
        <v>51</v>
      </c>
      <c r="Y310" s="120" t="s">
        <v>39</v>
      </c>
      <c r="Z310" s="1" t="s">
        <v>530</v>
      </c>
      <c r="AA310" s="1" t="s">
        <v>531</v>
      </c>
      <c r="AB310" s="3">
        <f>SUMIF('Zinszahlungen Anleihen'!K:K,aktuelleAnleihen[[#This Row],[ISIN]],'Zinszahlungen Anleihen'!D:D)</f>
        <v>38.254999999999995</v>
      </c>
      <c r="AE310" s="9"/>
      <c r="AF310" s="1"/>
      <c r="AI310" s="3"/>
      <c r="AJ310" s="1"/>
      <c r="AM310" s="10"/>
      <c r="AN310" s="1"/>
      <c r="AP310" s="7"/>
      <c r="AQ310" s="1"/>
    </row>
    <row r="311" spans="1:43" x14ac:dyDescent="0.2">
      <c r="A311" s="1" t="s">
        <v>1674</v>
      </c>
      <c r="B311" s="1" t="s">
        <v>0</v>
      </c>
      <c r="C311" s="7">
        <v>8.1250000000000003E-2</v>
      </c>
      <c r="D311" s="7">
        <v>0.86950000000000005</v>
      </c>
      <c r="E311" s="7">
        <f>aktuelleAnleihen[[#This Row],[Aktueller Kurs]]-aktuelleAnleihen[[#This Row],[Kaufkurs]]</f>
        <v>8.0000000000000071E-3</v>
      </c>
      <c r="F311" s="8">
        <f>aktuelleAnleihen[[#This Row],[Stückelung]]*aktuelleAnleihen[[#This Row],[Aktueller Kurs]]*aktuelleAnleihen[[#This Row],[Anteile]]/aktuelleAnleihen[[#This Row],[Aktueller Wechselkurs]]+aktuelleAnleihen[[#This Row],[Stückzinsen]]</f>
        <v>1627.7987479922472</v>
      </c>
      <c r="G311" s="8">
        <f>aktuelleAnleihen[[#This Row],[Kursdifferenz]]*aktuelleAnleihen[[#This Row],[Anteile]]*aktuelleAnleihen[[#This Row],[Stückelung]]/aktuelleAnleihen[[#This Row],[Wechselkurs am Kauftag]]</f>
        <v>14.921197426093457</v>
      </c>
      <c r="H311" s="8">
        <f>aktuelleAnleihen[[#This Row],[Stückzinsen]]-aktuelleAnleihen[[#This Row],[Stückzinsen am Kauftag]]+aktuelleAnleihen[[#This Row],[Zinszahlungen]]</f>
        <v>15.29040200932528</v>
      </c>
      <c r="I311" s="8">
        <f>aktuelleAnleihen[[#This Row],[Gewinn gesamt]]-aktuelleAnleihen[[#This Row],[Gewinn aus Kursänderung]]-aktuelleAnleihen[[#This Row],[Gewinn aus Zinsen]]</f>
        <v>-25.01645144317148</v>
      </c>
      <c r="J311" s="7">
        <f>aktuelleAnleihen[[#This Row],[Gewinn gesamt]]/aktuelleAnleihen[[#This Row],[Kaufpreis]]</f>
        <v>3.2017357734490776E-3</v>
      </c>
      <c r="K311" s="3">
        <f>aktuelleAnleihen[[#This Row],[Verkaufspreis]]-aktuelleAnleihen[[#This Row],[Kaufpreis]]+aktuelleAnleihen[[#This Row],[Zinszahlungen]]</f>
        <v>5.1951479922472572</v>
      </c>
      <c r="L311" s="4">
        <v>1622.6035999999999</v>
      </c>
      <c r="M311" s="7">
        <v>0.86150000000000004</v>
      </c>
      <c r="N311" s="61">
        <v>1.0723</v>
      </c>
      <c r="O311" s="1">
        <v>1.0891</v>
      </c>
      <c r="P311" s="1" t="s">
        <v>887</v>
      </c>
      <c r="Q311" s="30">
        <v>45412</v>
      </c>
      <c r="R311" s="1">
        <v>2</v>
      </c>
      <c r="S311" s="1">
        <v>1000</v>
      </c>
      <c r="T311" s="9">
        <v>45374</v>
      </c>
      <c r="U311" s="1">
        <v>4</v>
      </c>
      <c r="V311" s="62">
        <f>aktuelleAnleihen[[#This Row],[Stückelung]]*aktuelleAnleihen[[#This Row],[Anteile]]*aktuelleAnleihen[[#This Row],[Coupon]]/aktuelleAnleihen[[#This Row],[Aktueller Wechselkurs]]*($AC$1-aktuelleAnleihen[[#This Row],[Letzte Zinszahlung]])/365</f>
        <v>31.067502009325281</v>
      </c>
      <c r="W311" s="4">
        <v>15.777100000000001</v>
      </c>
      <c r="X311" s="120" t="s">
        <v>102</v>
      </c>
      <c r="Y311" s="120" t="s">
        <v>1533</v>
      </c>
      <c r="Z311" s="1" t="s">
        <v>1675</v>
      </c>
      <c r="AA311" s="1" t="s">
        <v>1676</v>
      </c>
      <c r="AB311" s="3">
        <f>SUMIF('Zinszahlungen Anleihen'!K:K,aktuelleAnleihen[[#This Row],[ISIN]],'Zinszahlungen Anleihen'!D:D)</f>
        <v>0</v>
      </c>
      <c r="AE311" s="9"/>
      <c r="AF311" s="1"/>
      <c r="AI311" s="3"/>
      <c r="AJ311" s="1"/>
      <c r="AM311" s="10"/>
      <c r="AN311" s="1"/>
      <c r="AP311" s="7"/>
      <c r="AQ311" s="1"/>
    </row>
    <row r="312" spans="1:43" x14ac:dyDescent="0.2">
      <c r="A312" s="1" t="s">
        <v>405</v>
      </c>
      <c r="B312" s="1" t="s">
        <v>0</v>
      </c>
      <c r="C312" s="7">
        <v>8.3750000000000005E-2</v>
      </c>
      <c r="D312" s="7">
        <v>1.0806</v>
      </c>
      <c r="E312" s="7">
        <f>aktuelleAnleihen[[#This Row],[Aktueller Kurs]]-aktuelleAnleihen[[#This Row],[Kaufkurs]]</f>
        <v>7.6000000000000512E-3</v>
      </c>
      <c r="F312" s="8">
        <f>aktuelleAnleihen[[#This Row],[Stückelung]]*aktuelleAnleihen[[#This Row],[Aktueller Kurs]]*aktuelleAnleihen[[#This Row],[Anteile]]/aktuelleAnleihen[[#This Row],[Aktueller Wechselkurs]]+aktuelleAnleihen[[#This Row],[Stückzinsen]]</f>
        <v>2219.0219178082189</v>
      </c>
      <c r="G312" s="8">
        <f>aktuelleAnleihen[[#This Row],[Kursdifferenz]]*aktuelleAnleihen[[#This Row],[Anteile]]*aktuelleAnleihen[[#This Row],[Stückelung]]/aktuelleAnleihen[[#This Row],[Wechselkurs am Kauftag]]</f>
        <v>15.200000000000102</v>
      </c>
      <c r="H312" s="8">
        <f>aktuelleAnleihen[[#This Row],[Stückzinsen]]-aktuelleAnleihen[[#This Row],[Stückzinsen am Kauftag]]+aktuelleAnleihen[[#This Row],[Zinszahlungen]]</f>
        <v>29.828717808219174</v>
      </c>
      <c r="I312" s="8">
        <f>aktuelleAnleihen[[#This Row],[Gewinn gesamt]]-aktuelleAnleihen[[#This Row],[Gewinn aus Kursänderung]]-aktuelleAnleihen[[#This Row],[Gewinn aus Zinsen]]</f>
        <v>-3.0553337637684308E-13</v>
      </c>
      <c r="J312" s="7">
        <f>aktuelleAnleihen[[#This Row],[Gewinn gesamt]]/aktuelleAnleihen[[#This Row],[Kaufpreis]]</f>
        <v>2.0712446482454027E-2</v>
      </c>
      <c r="K312" s="3">
        <f>aktuelleAnleihen[[#This Row],[Verkaufspreis]]-aktuelleAnleihen[[#This Row],[Kaufpreis]]+aktuelleAnleihen[[#This Row],[Zinszahlungen]]</f>
        <v>45.028717808218971</v>
      </c>
      <c r="L312" s="4">
        <v>2173.9931999999999</v>
      </c>
      <c r="M312" s="7">
        <v>1.073</v>
      </c>
      <c r="N312" s="61">
        <v>1</v>
      </c>
      <c r="O312" s="1">
        <v>1</v>
      </c>
      <c r="P312" s="1" t="s">
        <v>925</v>
      </c>
      <c r="Q312" s="30">
        <v>45385</v>
      </c>
      <c r="R312" s="1">
        <v>2</v>
      </c>
      <c r="S312" s="1">
        <v>1000</v>
      </c>
      <c r="T312" s="9">
        <v>45324</v>
      </c>
      <c r="U312" s="1">
        <v>1</v>
      </c>
      <c r="V312" s="62">
        <f>aktuelleAnleihen[[#This Row],[Stückelung]]*aktuelleAnleihen[[#This Row],[Anteile]]*aktuelleAnleihen[[#This Row],[Coupon]]/aktuelleAnleihen[[#This Row],[Aktueller Wechselkurs]]*($AC$1-aktuelleAnleihen[[#This Row],[Letzte Zinszahlung]])/365</f>
        <v>57.821917808219176</v>
      </c>
      <c r="W312" s="4">
        <v>27.993200000000002</v>
      </c>
      <c r="X312" s="120" t="s">
        <v>65</v>
      </c>
      <c r="Y312" s="120" t="s">
        <v>81</v>
      </c>
      <c r="Z312" s="1" t="s">
        <v>406</v>
      </c>
      <c r="AA312" s="1" t="s">
        <v>407</v>
      </c>
      <c r="AB312" s="3">
        <f>SUMIF('Zinszahlungen Anleihen'!K:K,aktuelleAnleihen[[#This Row],[ISIN]],'Zinszahlungen Anleihen'!D:D)</f>
        <v>0</v>
      </c>
      <c r="AE312" s="9"/>
      <c r="AF312" s="1"/>
      <c r="AI312" s="3"/>
      <c r="AJ312" s="1"/>
      <c r="AM312" s="10"/>
      <c r="AN312" s="1"/>
      <c r="AP312" s="7"/>
      <c r="AQ312" s="1"/>
    </row>
    <row r="313" spans="1:43" x14ac:dyDescent="0.2">
      <c r="A313" s="1" t="s">
        <v>1023</v>
      </c>
      <c r="B313" s="1" t="s">
        <v>0</v>
      </c>
      <c r="C313" s="7">
        <v>0.115</v>
      </c>
      <c r="D313" s="7">
        <v>1.0972</v>
      </c>
      <c r="E313" s="7">
        <f>aktuelleAnleihen[[#This Row],[Aktueller Kurs]]-aktuelleAnleihen[[#This Row],[Kaufkurs]]</f>
        <v>8.1999999999999851E-3</v>
      </c>
      <c r="F313" s="8">
        <f>aktuelleAnleihen[[#This Row],[Stückelung]]*aktuelleAnleihen[[#This Row],[Aktueller Kurs]]*aktuelleAnleihen[[#This Row],[Anteile]]/aktuelleAnleihen[[#This Row],[Aktueller Wechselkurs]]+aktuelleAnleihen[[#This Row],[Stückzinsen]]</f>
        <v>2063.4758120001061</v>
      </c>
      <c r="G313" s="8">
        <f>aktuelleAnleihen[[#This Row],[Kursdifferenz]]*aktuelleAnleihen[[#This Row],[Anteile]]*aktuelleAnleihen[[#This Row],[Stückelung]]/aktuelleAnleihen[[#This Row],[Wechselkurs am Kauftag]]</f>
        <v>15.294227361745753</v>
      </c>
      <c r="H313" s="8">
        <f>aktuelleAnleihen[[#This Row],[Stückzinsen]]-aktuelleAnleihen[[#This Row],[Stückzinsen am Kauftag]]+aktuelleAnleihen[[#This Row],[Zinszahlungen]]</f>
        <v>21.569244843738012</v>
      </c>
      <c r="I313" s="8">
        <f>aktuelleAnleihen[[#This Row],[Gewinn gesamt]]-aktuelleAnleihen[[#This Row],[Gewinn aus Kursänderung]]-aktuelleAnleihen[[#This Row],[Gewinn aus Zinsen]]</f>
        <v>-31.567560205377767</v>
      </c>
      <c r="J313" s="7">
        <f>aktuelleAnleihen[[#This Row],[Gewinn gesamt]]/aktuelleAnleihen[[#This Row],[Kaufpreis]]</f>
        <v>2.5731045182717021E-3</v>
      </c>
      <c r="K313" s="3">
        <f>aktuelleAnleihen[[#This Row],[Verkaufspreis]]-aktuelleAnleihen[[#This Row],[Kaufpreis]]+aktuelleAnleihen[[#This Row],[Zinszahlungen]]</f>
        <v>5.2959120001060001</v>
      </c>
      <c r="L313" s="4">
        <v>2058.1799000000001</v>
      </c>
      <c r="M313" s="7">
        <v>1.089</v>
      </c>
      <c r="N313" s="61">
        <v>1.0723</v>
      </c>
      <c r="O313" s="1">
        <v>1.0891</v>
      </c>
      <c r="P313" s="1" t="s">
        <v>887</v>
      </c>
      <c r="Q313" s="30">
        <v>45412</v>
      </c>
      <c r="R313" s="1">
        <v>2</v>
      </c>
      <c r="S313" s="1">
        <v>1000</v>
      </c>
      <c r="T313" s="9">
        <v>45366</v>
      </c>
      <c r="U313" s="1">
        <v>2</v>
      </c>
      <c r="V313" s="62">
        <f>aktuelleAnleihen[[#This Row],[Stückelung]]*aktuelleAnleihen[[#This Row],[Anteile]]*aktuelleAnleihen[[#This Row],[Coupon]]/aktuelleAnleihen[[#This Row],[Aktueller Wechselkurs]]*($AC$1-aktuelleAnleihen[[#This Row],[Letzte Zinszahlung]])/365</f>
        <v>48.601144843738012</v>
      </c>
      <c r="W313" s="4">
        <v>27.0319</v>
      </c>
      <c r="X313" s="120" t="s">
        <v>276</v>
      </c>
      <c r="Y313" s="120" t="s">
        <v>39</v>
      </c>
      <c r="Z313" s="1" t="s">
        <v>1024</v>
      </c>
      <c r="AA313" s="1" t="s">
        <v>1025</v>
      </c>
      <c r="AB313" s="3">
        <f>SUMIF('Zinszahlungen Anleihen'!K:K,aktuelleAnleihen[[#This Row],[ISIN]],'Zinszahlungen Anleihen'!D:D)</f>
        <v>0</v>
      </c>
      <c r="AE313" s="9"/>
      <c r="AF313" s="1"/>
      <c r="AI313" s="3"/>
      <c r="AJ313" s="1"/>
      <c r="AM313" s="10"/>
      <c r="AN313" s="1"/>
      <c r="AP313" s="7"/>
      <c r="AQ313" s="1"/>
    </row>
    <row r="314" spans="1:43" x14ac:dyDescent="0.2">
      <c r="A314" s="1" t="s">
        <v>135</v>
      </c>
      <c r="B314" s="1" t="s">
        <v>3</v>
      </c>
      <c r="C314" s="7">
        <v>0.11428000000000001</v>
      </c>
      <c r="D314" s="7">
        <v>1.04</v>
      </c>
      <c r="E314" s="7">
        <f>aktuelleAnleihen[[#This Row],[Aktueller Kurs]]-aktuelleAnleihen[[#This Row],[Kaufkurs]]</f>
        <v>7.7000000000000401E-3</v>
      </c>
      <c r="F314" s="8">
        <f>aktuelleAnleihen[[#This Row],[Stückelung]]*aktuelleAnleihen[[#This Row],[Aktueller Kurs]]*aktuelleAnleihen[[#This Row],[Anteile]]/aktuelleAnleihen[[#This Row],[Aktueller Wechselkurs]]+aktuelleAnleihen[[#This Row],[Stückzinsen]]</f>
        <v>2130.0953424657532</v>
      </c>
      <c r="G314" s="8">
        <f>aktuelleAnleihen[[#This Row],[Kursdifferenz]]*aktuelleAnleihen[[#This Row],[Anteile]]*aktuelleAnleihen[[#This Row],[Stückelung]]/aktuelleAnleihen[[#This Row],[Wechselkurs am Kauftag]]</f>
        <v>15.40000000000008</v>
      </c>
      <c r="H314" s="8">
        <f>aktuelleAnleihen[[#This Row],[Stückzinsen]]-aktuelleAnleihen[[#This Row],[Stückzinsen am Kauftag]]+aktuelleAnleihen[[#This Row],[Zinszahlungen]]</f>
        <v>45.085842465753423</v>
      </c>
      <c r="I314" s="8">
        <f>aktuelleAnleihen[[#This Row],[Gewinn gesamt]]-aktuelleAnleihen[[#This Row],[Gewinn aus Kursänderung]]-aktuelleAnleihen[[#This Row],[Gewinn aus Zinsen]]</f>
        <v>-3.0553337637684308E-13</v>
      </c>
      <c r="J314" s="7">
        <f>aktuelleAnleihen[[#This Row],[Gewinn gesamt]]/aktuelleAnleihen[[#This Row],[Kaufpreis]]</f>
        <v>2.9225727107337493E-2</v>
      </c>
      <c r="K314" s="3">
        <f>aktuelleAnleihen[[#This Row],[Verkaufspreis]]-aktuelleAnleihen[[#This Row],[Kaufpreis]]+aktuelleAnleihen[[#This Row],[Zinszahlungen]]</f>
        <v>60.485842465753194</v>
      </c>
      <c r="L314" s="4">
        <v>2069.6095</v>
      </c>
      <c r="M314" s="7">
        <v>1.0323</v>
      </c>
      <c r="N314" s="61">
        <v>1</v>
      </c>
      <c r="O314" s="1">
        <v>1</v>
      </c>
      <c r="P314" s="1" t="s">
        <v>925</v>
      </c>
      <c r="Q314" s="30">
        <v>45378</v>
      </c>
      <c r="R314" s="1">
        <v>2</v>
      </c>
      <c r="S314" s="1">
        <v>1000</v>
      </c>
      <c r="T314" s="9">
        <v>45370</v>
      </c>
      <c r="U314" s="1">
        <v>4</v>
      </c>
      <c r="V314" s="62">
        <f>aktuelleAnleihen[[#This Row],[Stückelung]]*aktuelleAnleihen[[#This Row],[Anteile]]*aktuelleAnleihen[[#This Row],[Coupon]]/aktuelleAnleihen[[#This Row],[Aktueller Wechselkurs]]*($AC$1-aktuelleAnleihen[[#This Row],[Letzte Zinszahlung]])/365</f>
        <v>50.095342465753426</v>
      </c>
      <c r="W314" s="4">
        <v>5.0095000000000001</v>
      </c>
      <c r="X314" s="120" t="s">
        <v>116</v>
      </c>
      <c r="Y314" s="120" t="s">
        <v>52</v>
      </c>
      <c r="Z314" s="1" t="s">
        <v>136</v>
      </c>
      <c r="AA314" s="1" t="s">
        <v>137</v>
      </c>
      <c r="AB314" s="3">
        <f>SUMIF('Zinszahlungen Anleihen'!K:K,aktuelleAnleihen[[#This Row],[ISIN]],'Zinszahlungen Anleihen'!D:D)</f>
        <v>0</v>
      </c>
      <c r="AE314" s="9"/>
      <c r="AF314" s="1"/>
      <c r="AI314" s="3"/>
      <c r="AJ314" s="1"/>
      <c r="AM314" s="10"/>
      <c r="AN314" s="1"/>
      <c r="AP314" s="7"/>
      <c r="AQ314" s="1"/>
    </row>
    <row r="315" spans="1:43" x14ac:dyDescent="0.2">
      <c r="A315" s="1" t="s">
        <v>1206</v>
      </c>
      <c r="B315" s="1" t="s">
        <v>3</v>
      </c>
      <c r="C315" s="7">
        <v>9.5000000000000001E-2</v>
      </c>
      <c r="D315" s="7">
        <v>1.0347</v>
      </c>
      <c r="E315" s="7">
        <f>aktuelleAnleihen[[#This Row],[Aktueller Kurs]]-aktuelleAnleihen[[#This Row],[Kaufkurs]]</f>
        <v>8.2999999999999741E-3</v>
      </c>
      <c r="F315" s="8">
        <f>aktuelleAnleihen[[#This Row],[Stückelung]]*aktuelleAnleihen[[#This Row],[Aktueller Kurs]]*aktuelleAnleihen[[#This Row],[Anteile]]/aktuelleAnleihen[[#This Row],[Aktueller Wechselkurs]]+aktuelleAnleihen[[#This Row],[Stückzinsen]]</f>
        <v>1944.5514267781746</v>
      </c>
      <c r="G315" s="8">
        <f>aktuelleAnleihen[[#This Row],[Kursdifferenz]]*aktuelleAnleihen[[#This Row],[Anteile]]*aktuelleAnleihen[[#This Row],[Stückelung]]/aktuelleAnleihen[[#This Row],[Wechselkurs am Kauftag]]</f>
        <v>15.4807423295719</v>
      </c>
      <c r="H315" s="8">
        <f>aktuelleAnleihen[[#This Row],[Stückzinsen]]-aktuelleAnleihen[[#This Row],[Stückzinsen am Kauftag]]+aktuelleAnleihen[[#This Row],[Zinszahlungen]]</f>
        <v>17.750725951803865</v>
      </c>
      <c r="I315" s="8">
        <f>aktuelleAnleihen[[#This Row],[Gewinn gesamt]]-aktuelleAnleihen[[#This Row],[Gewinn aus Kursänderung]]-aktuelleAnleihen[[#This Row],[Gewinn aus Zinsen]]</f>
        <v>-29.769441503201261</v>
      </c>
      <c r="J315" s="7">
        <f>aktuelleAnleihen[[#This Row],[Gewinn gesamt]]/aktuelleAnleihen[[#This Row],[Kaufpreis]]</f>
        <v>1.7835483405218245E-3</v>
      </c>
      <c r="K315" s="3">
        <f>aktuelleAnleihen[[#This Row],[Verkaufspreis]]-aktuelleAnleihen[[#This Row],[Kaufpreis]]+aktuelleAnleihen[[#This Row],[Zinszahlungen]]</f>
        <v>3.4620267781745042</v>
      </c>
      <c r="L315" s="4">
        <v>1941.0894000000001</v>
      </c>
      <c r="M315" s="7">
        <v>1.0264</v>
      </c>
      <c r="N315" s="61">
        <v>1.0723</v>
      </c>
      <c r="O315" s="1">
        <v>1.0891</v>
      </c>
      <c r="P315" s="1" t="s">
        <v>887</v>
      </c>
      <c r="Q315" s="30">
        <v>45412</v>
      </c>
      <c r="R315" s="1">
        <v>2</v>
      </c>
      <c r="S315" s="1">
        <v>1000</v>
      </c>
      <c r="T315" s="9">
        <v>45357</v>
      </c>
      <c r="U315" s="1">
        <v>2</v>
      </c>
      <c r="V315" s="62">
        <f>aktuelleAnleihen[[#This Row],[Stückelung]]*aktuelleAnleihen[[#This Row],[Anteile]]*aktuelleAnleihen[[#This Row],[Coupon]]/aktuelleAnleihen[[#This Row],[Aktueller Wechselkurs]]*($AC$1-aktuelleAnleihen[[#This Row],[Letzte Zinszahlung]])/365</f>
        <v>44.450425951803865</v>
      </c>
      <c r="W315" s="4">
        <v>26.6997</v>
      </c>
      <c r="X315" s="120" t="s">
        <v>1207</v>
      </c>
      <c r="Y315" s="120" t="s">
        <v>52</v>
      </c>
      <c r="Z315" s="1" t="s">
        <v>1208</v>
      </c>
      <c r="AA315" s="1" t="s">
        <v>1209</v>
      </c>
      <c r="AB315" s="3">
        <f>SUMIF('Zinszahlungen Anleihen'!K:K,aktuelleAnleihen[[#This Row],[ISIN]],'Zinszahlungen Anleihen'!D:D)</f>
        <v>0</v>
      </c>
      <c r="AE315" s="9"/>
      <c r="AF315" s="1"/>
      <c r="AI315" s="3"/>
      <c r="AJ315" s="1"/>
      <c r="AM315" s="10"/>
      <c r="AN315" s="1"/>
      <c r="AP315" s="7"/>
      <c r="AQ315" s="1"/>
    </row>
    <row r="316" spans="1:43" x14ac:dyDescent="0.2">
      <c r="A316" s="1" t="s">
        <v>251</v>
      </c>
      <c r="B316" s="1" t="s">
        <v>9</v>
      </c>
      <c r="C316" s="7">
        <v>9.6509999999999999E-2</v>
      </c>
      <c r="D316" s="7">
        <v>0.96289999999999998</v>
      </c>
      <c r="E316" s="7">
        <f>aktuelleAnleihen[[#This Row],[Aktueller Kurs]]-aktuelleAnleihen[[#This Row],[Kaufkurs]]</f>
        <v>7.9000000000000181E-3</v>
      </c>
      <c r="F316" s="8">
        <f>aktuelleAnleihen[[#This Row],[Stückelung]]*aktuelleAnleihen[[#This Row],[Aktueller Kurs]]*aktuelleAnleihen[[#This Row],[Anteile]]/aktuelleAnleihen[[#This Row],[Aktueller Wechselkurs]]+aktuelleAnleihen[[#This Row],[Stückzinsen]]</f>
        <v>1937.4340821917808</v>
      </c>
      <c r="G316" s="8">
        <f>aktuelleAnleihen[[#This Row],[Kursdifferenz]]*aktuelleAnleihen[[#This Row],[Anteile]]*aktuelleAnleihen[[#This Row],[Stückelung]]/aktuelleAnleihen[[#This Row],[Wechselkurs am Kauftag]]</f>
        <v>15.800000000000036</v>
      </c>
      <c r="H316" s="8">
        <f>aktuelleAnleihen[[#This Row],[Stückzinsen]]-aktuelleAnleihen[[#This Row],[Stückzinsen am Kauftag]]+aktuelleAnleihen[[#This Row],[Zinszahlungen]]</f>
        <v>35.034482191780825</v>
      </c>
      <c r="I316" s="8">
        <f>aktuelleAnleihen[[#This Row],[Gewinn gesamt]]-aktuelleAnleihen[[#This Row],[Gewinn aus Kursänderung]]-aktuelleAnleihen[[#This Row],[Gewinn aus Zinsen]]</f>
        <v>7.1054273576010019E-14</v>
      </c>
      <c r="J316" s="7">
        <f>aktuelleAnleihen[[#This Row],[Gewinn gesamt]]/aktuelleAnleihen[[#This Row],[Kaufpreis]]</f>
        <v>2.6273024439035848E-2</v>
      </c>
      <c r="K316" s="3">
        <f>aktuelleAnleihen[[#This Row],[Verkaufspreis]]-aktuelleAnleihen[[#This Row],[Kaufpreis]]+aktuelleAnleihen[[#This Row],[Zinszahlungen]]</f>
        <v>50.834482191780928</v>
      </c>
      <c r="L316" s="4">
        <v>1934.8545999999999</v>
      </c>
      <c r="M316" s="7">
        <v>0.95499999999999996</v>
      </c>
      <c r="N316" s="61">
        <v>1</v>
      </c>
      <c r="O316" s="1">
        <v>1</v>
      </c>
      <c r="P316" s="1" t="s">
        <v>925</v>
      </c>
      <c r="Q316" s="30">
        <v>45385</v>
      </c>
      <c r="R316" s="1">
        <v>2</v>
      </c>
      <c r="S316" s="1">
        <v>1000</v>
      </c>
      <c r="T316" s="9">
        <v>45428</v>
      </c>
      <c r="U316" s="1">
        <v>4</v>
      </c>
      <c r="V316" s="62">
        <f>aktuelleAnleihen[[#This Row],[Stückelung]]*aktuelleAnleihen[[#This Row],[Anteile]]*aktuelleAnleihen[[#This Row],[Coupon]]/aktuelleAnleihen[[#This Row],[Aktueller Wechselkurs]]*($AC$1-aktuelleAnleihen[[#This Row],[Letzte Zinszahlung]])/365</f>
        <v>11.634082191780823</v>
      </c>
      <c r="W316" s="4">
        <v>24.854600000000001</v>
      </c>
      <c r="X316" s="120" t="s">
        <v>65</v>
      </c>
      <c r="Y316" s="120" t="s">
        <v>44</v>
      </c>
      <c r="Z316" s="1" t="s">
        <v>252</v>
      </c>
      <c r="AA316" s="1" t="s">
        <v>253</v>
      </c>
      <c r="AB316" s="3">
        <f>SUMIF('Zinszahlungen Anleihen'!K:K,aktuelleAnleihen[[#This Row],[ISIN]],'Zinszahlungen Anleihen'!D:D)</f>
        <v>48.255000000000003</v>
      </c>
      <c r="AE316" s="9"/>
      <c r="AF316" s="1"/>
      <c r="AI316" s="3"/>
      <c r="AJ316" s="1"/>
      <c r="AM316" s="10"/>
      <c r="AN316" s="1"/>
      <c r="AP316" s="7"/>
      <c r="AQ316" s="1"/>
    </row>
    <row r="317" spans="1:43" x14ac:dyDescent="0.2">
      <c r="A317" s="1" t="s">
        <v>760</v>
      </c>
      <c r="B317" s="1" t="s">
        <v>1</v>
      </c>
      <c r="C317" s="7">
        <v>6.5000000000000002E-2</v>
      </c>
      <c r="D317" s="7">
        <v>1.0127999999999999</v>
      </c>
      <c r="E317" s="7">
        <f>aktuelleAnleihen[[#This Row],[Aktueller Kurs]]-aktuelleAnleihen[[#This Row],[Kaufkurs]]</f>
        <v>8.0000000000000071E-3</v>
      </c>
      <c r="F317" s="8">
        <f>aktuelleAnleihen[[#This Row],[Stückelung]]*aktuelleAnleihen[[#This Row],[Aktueller Kurs]]*aktuelleAnleihen[[#This Row],[Anteile]]/aktuelleAnleihen[[#This Row],[Aktueller Wechselkurs]]+aktuelleAnleihen[[#This Row],[Stückzinsen]]</f>
        <v>2033.7917808219177</v>
      </c>
      <c r="G317" s="8">
        <f>aktuelleAnleihen[[#This Row],[Kursdifferenz]]*aktuelleAnleihen[[#This Row],[Anteile]]*aktuelleAnleihen[[#This Row],[Stückelung]]/aktuelleAnleihen[[#This Row],[Wechselkurs am Kauftag]]</f>
        <v>16.000000000000014</v>
      </c>
      <c r="H317" s="8">
        <f>aktuelleAnleihen[[#This Row],[Stückzinsen]]-aktuelleAnleihen[[#This Row],[Stückzinsen am Kauftag]]+aktuelleAnleihen[[#This Row],[Zinszahlungen]]</f>
        <v>23.32878082191781</v>
      </c>
      <c r="I317" s="8">
        <f>aktuelleAnleihen[[#This Row],[Gewinn gesamt]]-aktuelleAnleihen[[#This Row],[Gewinn aus Kursänderung]]-aktuelleAnleihen[[#This Row],[Gewinn aus Zinsen]]</f>
        <v>-3.6237679523765109E-13</v>
      </c>
      <c r="J317" s="7">
        <f>aktuelleAnleihen[[#This Row],[Gewinn gesamt]]/aktuelleAnleihen[[#This Row],[Kaufpreis]]</f>
        <v>1.9096619274984527E-2</v>
      </c>
      <c r="K317" s="3">
        <f>aktuelleAnleihen[[#This Row],[Verkaufspreis]]-aktuelleAnleihen[[#This Row],[Kaufpreis]]+aktuelleAnleihen[[#This Row],[Zinszahlungen]]</f>
        <v>39.328780821917462</v>
      </c>
      <c r="L317" s="4">
        <v>2059.4630000000002</v>
      </c>
      <c r="M317" s="7">
        <v>1.0047999999999999</v>
      </c>
      <c r="N317" s="61">
        <v>1</v>
      </c>
      <c r="O317" s="1">
        <v>1</v>
      </c>
      <c r="P317" s="1" t="s">
        <v>925</v>
      </c>
      <c r="Q317" s="30">
        <v>45385</v>
      </c>
      <c r="R317" s="1">
        <v>2</v>
      </c>
      <c r="S317" s="1">
        <v>1000</v>
      </c>
      <c r="T317" s="9">
        <v>45427</v>
      </c>
      <c r="U317" s="1">
        <v>2</v>
      </c>
      <c r="V317" s="62">
        <f>aktuelleAnleihen[[#This Row],[Stückelung]]*aktuelleAnleihen[[#This Row],[Anteile]]*aktuelleAnleihen[[#This Row],[Coupon]]/aktuelleAnleihen[[#This Row],[Aktueller Wechselkurs]]*($AC$1-aktuelleAnleihen[[#This Row],[Letzte Zinszahlung]])/365</f>
        <v>8.1917808219178081</v>
      </c>
      <c r="W317" s="4">
        <v>49.863</v>
      </c>
      <c r="X317" s="120" t="s">
        <v>56</v>
      </c>
      <c r="Y317" s="120" t="s">
        <v>57</v>
      </c>
      <c r="Z317" s="1" t="s">
        <v>761</v>
      </c>
      <c r="AA317" s="1" t="s">
        <v>762</v>
      </c>
      <c r="AB317" s="3">
        <f>SUMIF('Zinszahlungen Anleihen'!K:K,aktuelleAnleihen[[#This Row],[ISIN]],'Zinszahlungen Anleihen'!D:D)</f>
        <v>65</v>
      </c>
      <c r="AE317" s="9"/>
      <c r="AF317" s="1"/>
      <c r="AI317" s="3"/>
      <c r="AJ317" s="1"/>
      <c r="AM317" s="10"/>
      <c r="AN317" s="1"/>
      <c r="AP317" s="7"/>
      <c r="AQ317" s="1"/>
    </row>
    <row r="318" spans="1:43" x14ac:dyDescent="0.2">
      <c r="A318" s="1" t="s">
        <v>563</v>
      </c>
      <c r="B318" s="1" t="s">
        <v>0</v>
      </c>
      <c r="C318" s="7">
        <v>7.4999999999999997E-2</v>
      </c>
      <c r="D318" s="7">
        <v>1.0203</v>
      </c>
      <c r="E318" s="7">
        <f>aktuelleAnleihen[[#This Row],[Aktueller Kurs]]-aktuelleAnleihen[[#This Row],[Kaufkurs]]</f>
        <v>8.0999999999999961E-3</v>
      </c>
      <c r="F318" s="8">
        <f>aktuelleAnleihen[[#This Row],[Stückelung]]*aktuelleAnleihen[[#This Row],[Aktueller Kurs]]*aktuelleAnleihen[[#This Row],[Anteile]]/aktuelleAnleihen[[#This Row],[Aktueller Wechselkurs]]+aktuelleAnleihen[[#This Row],[Stückzinsen]]</f>
        <v>2042.2438356164382</v>
      </c>
      <c r="G318" s="8">
        <f>aktuelleAnleihen[[#This Row],[Kursdifferenz]]*aktuelleAnleihen[[#This Row],[Anteile]]*aktuelleAnleihen[[#This Row],[Stückelung]]/aktuelleAnleihen[[#This Row],[Wechselkurs am Kauftag]]</f>
        <v>16.199999999999992</v>
      </c>
      <c r="H318" s="8">
        <f>aktuelleAnleihen[[#This Row],[Stückzinsen]]-aktuelleAnleihen[[#This Row],[Stückzinsen am Kauftag]]+aktuelleAnleihen[[#This Row],[Zinszahlungen]]</f>
        <v>26.506835616438359</v>
      </c>
      <c r="I318" s="8">
        <f>aktuelleAnleihen[[#This Row],[Gewinn gesamt]]-aktuelleAnleihen[[#This Row],[Gewinn aus Kursänderung]]-aktuelleAnleihen[[#This Row],[Gewinn aus Zinsen]]</f>
        <v>6.0396132539608516E-14</v>
      </c>
      <c r="J318" s="7">
        <f>aktuelleAnleihen[[#This Row],[Gewinn gesamt]]/aktuelleAnleihen[[#This Row],[Kaufpreis]]</f>
        <v>2.0586200977104008E-2</v>
      </c>
      <c r="K318" s="3">
        <f>aktuelleAnleihen[[#This Row],[Verkaufspreis]]-aktuelleAnleihen[[#This Row],[Kaufpreis]]+aktuelleAnleihen[[#This Row],[Zinszahlungen]]</f>
        <v>42.706835616438411</v>
      </c>
      <c r="L318" s="4">
        <v>2074.5369999999998</v>
      </c>
      <c r="M318" s="7">
        <v>1.0122</v>
      </c>
      <c r="N318" s="61">
        <v>1</v>
      </c>
      <c r="O318" s="1">
        <v>1</v>
      </c>
      <c r="P318" s="1" t="s">
        <v>925</v>
      </c>
      <c r="Q318" s="30">
        <v>45385</v>
      </c>
      <c r="R318" s="1">
        <v>2</v>
      </c>
      <c r="S318" s="1">
        <v>1000</v>
      </c>
      <c r="T318" s="9">
        <v>45446</v>
      </c>
      <c r="U318" s="1">
        <v>2</v>
      </c>
      <c r="V318" s="62">
        <f>aktuelleAnleihen[[#This Row],[Stückelung]]*aktuelleAnleihen[[#This Row],[Anteile]]*aktuelleAnleihen[[#This Row],[Coupon]]/aktuelleAnleihen[[#This Row],[Aktueller Wechselkurs]]*($AC$1-aktuelleAnleihen[[#This Row],[Letzte Zinszahlung]])/365</f>
        <v>1.6438356164383561</v>
      </c>
      <c r="W318" s="4">
        <v>50.137</v>
      </c>
      <c r="X318" s="120" t="s">
        <v>170</v>
      </c>
      <c r="Y318" s="120" t="s">
        <v>44</v>
      </c>
      <c r="Z318" s="1" t="s">
        <v>564</v>
      </c>
      <c r="AA318" s="1" t="s">
        <v>565</v>
      </c>
      <c r="AB318" s="3">
        <f>SUMIF('Zinszahlungen Anleihen'!K:K,aktuelleAnleihen[[#This Row],[ISIN]],'Zinszahlungen Anleihen'!D:D)</f>
        <v>75</v>
      </c>
      <c r="AE318" s="9"/>
      <c r="AF318" s="1"/>
      <c r="AI318" s="3"/>
      <c r="AJ318" s="1"/>
      <c r="AM318" s="10"/>
      <c r="AN318" s="1"/>
      <c r="AP318" s="7"/>
      <c r="AQ318" s="1"/>
    </row>
    <row r="319" spans="1:43" x14ac:dyDescent="0.2">
      <c r="A319" s="1" t="s">
        <v>1288</v>
      </c>
      <c r="B319" s="1" t="s">
        <v>10</v>
      </c>
      <c r="C319" s="7">
        <v>9.1249999999999998E-2</v>
      </c>
      <c r="D319" s="7">
        <v>1.0688</v>
      </c>
      <c r="E319" s="7">
        <f>aktuelleAnleihen[[#This Row],[Aktueller Kurs]]-aktuelleAnleihen[[#This Row],[Kaufkurs]]</f>
        <v>8.69999999999993E-3</v>
      </c>
      <c r="F319" s="8">
        <f>aktuelleAnleihen[[#This Row],[Stückelung]]*aktuelleAnleihen[[#This Row],[Aktueller Kurs]]*aktuelleAnleihen[[#This Row],[Anteile]]/aktuelleAnleihen[[#This Row],[Aktueller Wechselkurs]]+aktuelleAnleihen[[#This Row],[Stückzinsen]]</f>
        <v>2028.8311449820953</v>
      </c>
      <c r="G319" s="8">
        <f>aktuelleAnleihen[[#This Row],[Kursdifferenz]]*aktuelleAnleihen[[#This Row],[Anteile]]*aktuelleAnleihen[[#This Row],[Stückelung]]/aktuelleAnleihen[[#This Row],[Wechselkurs am Kauftag]]</f>
        <v>16.226802200876488</v>
      </c>
      <c r="H319" s="8">
        <f>aktuelleAnleihen[[#This Row],[Stückzinsen]]-aktuelleAnleihen[[#This Row],[Stückzinsen am Kauftag]]+aktuelleAnleihen[[#This Row],[Zinszahlungen]]</f>
        <v>16.683131806078414</v>
      </c>
      <c r="I319" s="8">
        <f>aktuelleAnleihen[[#This Row],[Gewinn gesamt]]-aktuelleAnleihen[[#This Row],[Gewinn aus Kursänderung]]-aktuelleAnleihen[[#This Row],[Gewinn aus Zinsen]]</f>
        <v>-30.750389024859462</v>
      </c>
      <c r="J319" s="7">
        <f>aktuelleAnleihen[[#This Row],[Gewinn gesamt]]/aktuelleAnleihen[[#This Row],[Kaufpreis]]</f>
        <v>1.0655623644676524E-3</v>
      </c>
      <c r="K319" s="3">
        <f>aktuelleAnleihen[[#This Row],[Verkaufspreis]]-aktuelleAnleihen[[#This Row],[Kaufpreis]]+aktuelleAnleihen[[#This Row],[Zinszahlungen]]</f>
        <v>2.15954498209544</v>
      </c>
      <c r="L319" s="4">
        <v>2026.6715999999999</v>
      </c>
      <c r="M319" s="7">
        <v>1.0601</v>
      </c>
      <c r="N319" s="61">
        <v>1.0723</v>
      </c>
      <c r="O319" s="1">
        <v>1.0891</v>
      </c>
      <c r="P319" s="1" t="s">
        <v>887</v>
      </c>
      <c r="Q319" s="30">
        <v>45412</v>
      </c>
      <c r="R319" s="1">
        <v>2</v>
      </c>
      <c r="S319" s="1">
        <v>1000</v>
      </c>
      <c r="T319" s="9">
        <v>45306</v>
      </c>
      <c r="U319" s="1">
        <v>2</v>
      </c>
      <c r="V319" s="62">
        <f>aktuelleAnleihen[[#This Row],[Stückelung]]*aktuelleAnleihen[[#This Row],[Anteile]]*aktuelleAnleihen[[#This Row],[Coupon]]/aktuelleAnleihen[[#This Row],[Aktueller Wechselkurs]]*($AC$1-aktuelleAnleihen[[#This Row],[Letzte Zinszahlung]])/365</f>
        <v>66.109631806078411</v>
      </c>
      <c r="W319" s="4">
        <v>49.426499999999997</v>
      </c>
      <c r="X319" s="120" t="s">
        <v>981</v>
      </c>
      <c r="Y319" s="120" t="s">
        <v>39</v>
      </c>
      <c r="Z319" s="1" t="s">
        <v>1289</v>
      </c>
      <c r="AA319" s="1" t="s">
        <v>1290</v>
      </c>
      <c r="AB319" s="3">
        <f>SUMIF('Zinszahlungen Anleihen'!K:K,aktuelleAnleihen[[#This Row],[ISIN]],'Zinszahlungen Anleihen'!D:D)</f>
        <v>0</v>
      </c>
      <c r="AE319" s="9"/>
      <c r="AF319" s="1"/>
      <c r="AI319" s="3"/>
      <c r="AJ319" s="1"/>
      <c r="AM319" s="10"/>
      <c r="AN319" s="1"/>
      <c r="AP319" s="7"/>
      <c r="AQ319" s="1"/>
    </row>
    <row r="320" spans="1:43" x14ac:dyDescent="0.2">
      <c r="A320" s="1" t="s">
        <v>1477</v>
      </c>
      <c r="B320" s="1" t="s">
        <v>10</v>
      </c>
      <c r="C320" s="7">
        <v>8.5000000000000006E-2</v>
      </c>
      <c r="D320" s="7">
        <v>1.0429000000000002</v>
      </c>
      <c r="E320" s="7">
        <f>aktuelleAnleihen[[#This Row],[Aktueller Kurs]]-aktuelleAnleihen[[#This Row],[Kaufkurs]]</f>
        <v>8.7000000000001521E-3</v>
      </c>
      <c r="F320" s="8">
        <f>aktuelleAnleihen[[#This Row],[Stückelung]]*aktuelleAnleihen[[#This Row],[Aktueller Kurs]]*aktuelleAnleihen[[#This Row],[Anteile]]/aktuelleAnleihen[[#This Row],[Aktueller Wechselkurs]]+aktuelleAnleihen[[#This Row],[Stückzinsen]]</f>
        <v>1946.8053929158552</v>
      </c>
      <c r="G320" s="8">
        <f>aktuelleAnleihen[[#This Row],[Kursdifferenz]]*aktuelleAnleihen[[#This Row],[Anteile]]*aktuelleAnleihen[[#This Row],[Stückelung]]/aktuelleAnleihen[[#This Row],[Wechselkurs am Kauftag]]</f>
        <v>16.226802200876904</v>
      </c>
      <c r="H320" s="8">
        <f>aktuelleAnleihen[[#This Row],[Stückzinsen]]-aktuelleAnleihen[[#This Row],[Stückzinsen am Kauftag]]+aktuelleAnleihen[[#This Row],[Zinszahlungen]]</f>
        <v>16.009487066988825</v>
      </c>
      <c r="I320" s="8">
        <f>aktuelleAnleihen[[#This Row],[Gewinn gesamt]]-aktuelleAnleihen[[#This Row],[Gewinn aus Kursänderung]]-aktuelleAnleihen[[#This Row],[Gewinn aus Zinsen]]</f>
        <v>-30.005296352010461</v>
      </c>
      <c r="J320" s="7">
        <f>aktuelleAnleihen[[#This Row],[Gewinn gesamt]]/aktuelleAnleihen[[#This Row],[Kaufpreis]]</f>
        <v>1.1472911069153578E-3</v>
      </c>
      <c r="K320" s="3">
        <f>aktuelleAnleihen[[#This Row],[Verkaufspreis]]-aktuelleAnleihen[[#This Row],[Kaufpreis]]+aktuelleAnleihen[[#This Row],[Zinszahlungen]]</f>
        <v>2.2309929158552677</v>
      </c>
      <c r="L320" s="4">
        <v>1944.5744</v>
      </c>
      <c r="M320" s="7">
        <v>1.0342</v>
      </c>
      <c r="N320" s="61">
        <v>1.0723</v>
      </c>
      <c r="O320" s="1">
        <v>1.0891</v>
      </c>
      <c r="P320" s="1" t="s">
        <v>887</v>
      </c>
      <c r="Q320" s="30">
        <v>45412</v>
      </c>
      <c r="R320" s="1">
        <v>2</v>
      </c>
      <c r="S320" s="1">
        <v>1000</v>
      </c>
      <c r="T320" s="9">
        <v>45376</v>
      </c>
      <c r="U320" s="1">
        <v>2</v>
      </c>
      <c r="V320" s="62">
        <f>aktuelleAnleihen[[#This Row],[Stückelung]]*aktuelleAnleihen[[#This Row],[Anteile]]*aktuelleAnleihen[[#This Row],[Coupon]]/aktuelleAnleihen[[#This Row],[Aktueller Wechselkurs]]*($AC$1-aktuelleAnleihen[[#This Row],[Letzte Zinszahlung]])/365</f>
        <v>31.646087066988827</v>
      </c>
      <c r="W320" s="4">
        <v>15.6366</v>
      </c>
      <c r="X320" s="120" t="s">
        <v>1004</v>
      </c>
      <c r="Y320" s="120" t="s">
        <v>39</v>
      </c>
      <c r="Z320" s="1" t="s">
        <v>1478</v>
      </c>
      <c r="AA320" s="1" t="s">
        <v>1479</v>
      </c>
      <c r="AB320" s="3">
        <f>SUMIF('Zinszahlungen Anleihen'!K:K,aktuelleAnleihen[[#This Row],[ISIN]],'Zinszahlungen Anleihen'!D:D)</f>
        <v>0</v>
      </c>
      <c r="AE320" s="9"/>
      <c r="AF320" s="1"/>
      <c r="AI320" s="3"/>
      <c r="AJ320" s="1"/>
      <c r="AM320" s="10"/>
      <c r="AN320" s="1"/>
      <c r="AP320" s="7"/>
      <c r="AQ320" s="1"/>
    </row>
    <row r="321" spans="1:43" x14ac:dyDescent="0.2">
      <c r="A321" s="1" t="s">
        <v>1592</v>
      </c>
      <c r="B321" s="1" t="s">
        <v>4</v>
      </c>
      <c r="C321" s="7">
        <v>8.3750000000000005E-2</v>
      </c>
      <c r="D321" s="7">
        <v>1.0628</v>
      </c>
      <c r="E321" s="7">
        <f>aktuelleAnleihen[[#This Row],[Aktueller Kurs]]-aktuelleAnleihen[[#This Row],[Kaufkurs]]</f>
        <v>8.799999999999919E-3</v>
      </c>
      <c r="F321" s="8">
        <f>aktuelleAnleihen[[#This Row],[Stückelung]]*aktuelleAnleihen[[#This Row],[Aktueller Kurs]]*aktuelleAnleihen[[#This Row],[Anteile]]/aktuelleAnleihen[[#This Row],[Aktueller Wechselkurs]]+aktuelleAnleihen[[#This Row],[Stückzinsen]]</f>
        <v>1964.7654277818935</v>
      </c>
      <c r="G321" s="8">
        <f>aktuelleAnleihen[[#This Row],[Kursdifferenz]]*aktuelleAnleihen[[#This Row],[Anteile]]*aktuelleAnleihen[[#This Row],[Stückelung]]/aktuelleAnleihen[[#This Row],[Wechselkurs am Kauftag]]</f>
        <v>16.413317168702637</v>
      </c>
      <c r="H321" s="8">
        <f>aktuelleAnleihen[[#This Row],[Stückzinsen]]-aktuelleAnleihen[[#This Row],[Stückzinsen am Kauftag]]+aktuelleAnleihen[[#This Row],[Zinszahlungen]]</f>
        <v>16.032304610001191</v>
      </c>
      <c r="I321" s="8">
        <f>aktuelleAnleihen[[#This Row],[Gewinn gesamt]]-aktuelleAnleihen[[#This Row],[Gewinn aus Kursänderung]]-aktuelleAnleihen[[#This Row],[Gewinn aus Zinsen]]</f>
        <v>-30.577875960365407</v>
      </c>
      <c r="J321" s="7">
        <f>aktuelleAnleihen[[#This Row],[Gewinn gesamt]]/aktuelleAnleihen[[#This Row],[Kaufpreis]]</f>
        <v>9.1522017291313673E-4</v>
      </c>
      <c r="K321" s="3">
        <f>aktuelleAnleihen[[#This Row],[Verkaufspreis]]-aktuelleAnleihen[[#This Row],[Kaufpreis]]+aktuelleAnleihen[[#This Row],[Zinszahlungen]]</f>
        <v>1.8677458183384203</v>
      </c>
      <c r="L321" s="4">
        <v>2040.7611999999999</v>
      </c>
      <c r="M321" s="7">
        <v>1.054</v>
      </c>
      <c r="N321" s="61">
        <v>1.0723</v>
      </c>
      <c r="O321" s="1">
        <v>1.0891</v>
      </c>
      <c r="P321" s="1" t="s">
        <v>887</v>
      </c>
      <c r="Q321" s="30">
        <v>45412</v>
      </c>
      <c r="R321" s="1">
        <v>2</v>
      </c>
      <c r="S321" s="1">
        <v>1000</v>
      </c>
      <c r="T321" s="9">
        <v>45419</v>
      </c>
      <c r="U321" s="1">
        <v>2</v>
      </c>
      <c r="V321" s="62">
        <f>aktuelleAnleihen[[#This Row],[Stückelung]]*aktuelleAnleihen[[#This Row],[Anteile]]*aktuelleAnleihen[[#This Row],[Coupon]]/aktuelleAnleihen[[#This Row],[Aktueller Wechselkurs]]*($AC$1-aktuelleAnleihen[[#This Row],[Letzte Zinszahlung]])/365</f>
        <v>13.062186573556399</v>
      </c>
      <c r="W321" s="4">
        <v>74.8934</v>
      </c>
      <c r="X321" s="120" t="s">
        <v>1593</v>
      </c>
      <c r="Y321" s="120" t="s">
        <v>39</v>
      </c>
      <c r="Z321" s="1" t="s">
        <v>1594</v>
      </c>
      <c r="AA321" s="1" t="s">
        <v>1595</v>
      </c>
      <c r="AB321" s="3">
        <f>SUMIF('Zinszahlungen Anleihen'!K:K,aktuelleAnleihen[[#This Row],[ISIN]],'Zinszahlungen Anleihen'!D:D)</f>
        <v>77.863518036444788</v>
      </c>
      <c r="AE321" s="9"/>
      <c r="AF321" s="1"/>
      <c r="AI321" s="3"/>
      <c r="AJ321" s="1"/>
      <c r="AM321" s="10"/>
      <c r="AN321" s="1"/>
      <c r="AP321" s="7"/>
      <c r="AQ321" s="1"/>
    </row>
    <row r="322" spans="1:43" x14ac:dyDescent="0.2">
      <c r="A322" s="1" t="s">
        <v>1278</v>
      </c>
      <c r="B322" s="1" t="s">
        <v>0</v>
      </c>
      <c r="C322" s="7">
        <v>9.1300000000000006E-2</v>
      </c>
      <c r="D322" s="7">
        <v>0.93049999999999999</v>
      </c>
      <c r="E322" s="7">
        <f>aktuelleAnleihen[[#This Row],[Aktueller Kurs]]-aktuelleAnleihen[[#This Row],[Kaufkurs]]</f>
        <v>8.80000000000003E-3</v>
      </c>
      <c r="F322" s="8">
        <f>aktuelleAnleihen[[#This Row],[Stückelung]]*aktuelleAnleihen[[#This Row],[Aktueller Kurs]]*aktuelleAnleihen[[#This Row],[Anteile]]/aktuelleAnleihen[[#This Row],[Aktueller Wechselkurs]]+aktuelleAnleihen[[#This Row],[Stückzinsen]]</f>
        <v>1778.5709703751875</v>
      </c>
      <c r="G322" s="8">
        <f>aktuelleAnleihen[[#This Row],[Kursdifferenz]]*aktuelleAnleihen[[#This Row],[Anteile]]*aktuelleAnleihen[[#This Row],[Stückelung]]/aktuelleAnleihen[[#This Row],[Wechselkurs am Kauftag]]</f>
        <v>16.413317168702843</v>
      </c>
      <c r="H322" s="8">
        <f>aktuelleAnleihen[[#This Row],[Stückzinsen]]-aktuelleAnleihen[[#This Row],[Stückzinsen am Kauftag]]+aktuelleAnleihen[[#This Row],[Zinszahlungen]]</f>
        <v>16.634726054188285</v>
      </c>
      <c r="I322" s="8">
        <f>aktuelleAnleihen[[#This Row],[Gewinn gesamt]]-aktuelleAnleihen[[#This Row],[Gewinn aus Kursänderung]]-aktuelleAnleihen[[#This Row],[Gewinn aus Zinsen]]</f>
        <v>-26.771472847703652</v>
      </c>
      <c r="J322" s="7">
        <f>aktuelleAnleihen[[#This Row],[Gewinn gesamt]]/aktuelleAnleihen[[#This Row],[Kaufpreis]]</f>
        <v>3.5414942208176446E-3</v>
      </c>
      <c r="K322" s="3">
        <f>aktuelleAnleihen[[#This Row],[Verkaufspreis]]-aktuelleAnleihen[[#This Row],[Kaufpreis]]+aktuelleAnleihen[[#This Row],[Zinszahlungen]]</f>
        <v>6.2765703751874753</v>
      </c>
      <c r="L322" s="4">
        <v>1772.2944</v>
      </c>
      <c r="M322" s="7">
        <v>0.92169999999999996</v>
      </c>
      <c r="N322" s="61">
        <v>1.0723</v>
      </c>
      <c r="O322" s="1">
        <v>1.0891</v>
      </c>
      <c r="P322" s="1" t="s">
        <v>887</v>
      </c>
      <c r="Q322" s="30">
        <v>45412</v>
      </c>
      <c r="R322" s="1">
        <v>2</v>
      </c>
      <c r="S322" s="1">
        <v>1000</v>
      </c>
      <c r="T322" s="9">
        <v>45298</v>
      </c>
      <c r="U322" s="1">
        <v>2</v>
      </c>
      <c r="V322" s="62">
        <f>aktuelleAnleihen[[#This Row],[Stückelung]]*aktuelleAnleihen[[#This Row],[Anteile]]*aktuelleAnleihen[[#This Row],[Coupon]]/aktuelleAnleihen[[#This Row],[Aktueller Wechselkurs]]*($AC$1-aktuelleAnleihen[[#This Row],[Letzte Zinszahlung]])/365</f>
        <v>69.820626054188281</v>
      </c>
      <c r="W322" s="4">
        <v>53.185899999999997</v>
      </c>
      <c r="X322" s="120" t="s">
        <v>1274</v>
      </c>
      <c r="Y322" s="120" t="s">
        <v>52</v>
      </c>
      <c r="Z322" s="1" t="s">
        <v>1279</v>
      </c>
      <c r="AA322" s="1" t="s">
        <v>1280</v>
      </c>
      <c r="AB322" s="3">
        <f>SUMIF('Zinszahlungen Anleihen'!K:K,aktuelleAnleihen[[#This Row],[ISIN]],'Zinszahlungen Anleihen'!D:D)</f>
        <v>0</v>
      </c>
      <c r="AE322" s="9"/>
      <c r="AF322" s="1"/>
      <c r="AI322" s="3"/>
      <c r="AJ322" s="1"/>
      <c r="AM322" s="10"/>
      <c r="AN322" s="1"/>
      <c r="AP322" s="7"/>
      <c r="AQ322" s="1"/>
    </row>
    <row r="323" spans="1:43" x14ac:dyDescent="0.2">
      <c r="A323" s="1" t="s">
        <v>1711</v>
      </c>
      <c r="B323" s="1" t="s">
        <v>1</v>
      </c>
      <c r="C323" s="7">
        <v>0.08</v>
      </c>
      <c r="D323" s="7">
        <v>1.012</v>
      </c>
      <c r="E323" s="7">
        <f>aktuelleAnleihen[[#This Row],[Aktueller Kurs]]-aktuelleAnleihen[[#This Row],[Kaufkurs]]</f>
        <v>9.000000000000119E-3</v>
      </c>
      <c r="F323" s="8">
        <f>aktuelleAnleihen[[#This Row],[Stückelung]]*aktuelleAnleihen[[#This Row],[Aktueller Kurs]]*aktuelleAnleihen[[#This Row],[Anteile]]/aktuelleAnleihen[[#This Row],[Aktueller Wechselkurs]]+aktuelleAnleihen[[#This Row],[Stückzinsen]]</f>
        <v>1916.3743344699594</v>
      </c>
      <c r="G323" s="8">
        <f>aktuelleAnleihen[[#This Row],[Kursdifferenz]]*aktuelleAnleihen[[#This Row],[Anteile]]*aktuelleAnleihen[[#This Row],[Stückelung]]/aktuelleAnleihen[[#This Row],[Wechselkurs am Kauftag]]</f>
        <v>16.786347104355347</v>
      </c>
      <c r="H323" s="8">
        <f>aktuelleAnleihen[[#This Row],[Stückzinsen]]-aktuelleAnleihen[[#This Row],[Stückzinsen am Kauftag]]+aktuelleAnleihen[[#This Row],[Zinszahlungen]]</f>
        <v>14.626329254644098</v>
      </c>
      <c r="I323" s="8">
        <f>aktuelleAnleihen[[#This Row],[Gewinn gesamt]]-aktuelleAnleihen[[#This Row],[Gewinn aus Kursänderung]]-aktuelleAnleihen[[#This Row],[Gewinn aus Zinsen]]</f>
        <v>-29.116241889040023</v>
      </c>
      <c r="J323" s="7">
        <f>aktuelleAnleihen[[#This Row],[Gewinn gesamt]]/aktuelleAnleihen[[#This Row],[Kaufpreis]]</f>
        <v>1.1997601926020994E-3</v>
      </c>
      <c r="K323" s="3">
        <f>aktuelleAnleihen[[#This Row],[Verkaufspreis]]-aktuelleAnleihen[[#This Row],[Kaufpreis]]+aktuelleAnleihen[[#This Row],[Zinszahlungen]]</f>
        <v>2.2964344699594221</v>
      </c>
      <c r="L323" s="4">
        <v>1914.0779</v>
      </c>
      <c r="M323" s="7">
        <v>1.0029999999999999</v>
      </c>
      <c r="N323" s="61">
        <v>1.0723</v>
      </c>
      <c r="O323" s="1">
        <v>1.0891</v>
      </c>
      <c r="P323" s="1" t="s">
        <v>887</v>
      </c>
      <c r="Q323" s="30">
        <v>45412</v>
      </c>
      <c r="R323" s="1">
        <v>2</v>
      </c>
      <c r="S323" s="1">
        <v>1000</v>
      </c>
      <c r="T323" s="9">
        <v>45306</v>
      </c>
      <c r="U323" s="1">
        <v>2</v>
      </c>
      <c r="V323" s="62">
        <f>aktuelleAnleihen[[#This Row],[Stückelung]]*aktuelleAnleihen[[#This Row],[Anteile]]*aktuelleAnleihen[[#This Row],[Coupon]]/aktuelleAnleihen[[#This Row],[Aktueller Wechselkurs]]*($AC$1-aktuelleAnleihen[[#This Row],[Letzte Zinszahlung]])/365</f>
        <v>57.959129254644097</v>
      </c>
      <c r="W323" s="4">
        <v>43.332799999999999</v>
      </c>
      <c r="X323" s="120" t="s">
        <v>276</v>
      </c>
      <c r="Y323" s="120" t="s">
        <v>109</v>
      </c>
      <c r="Z323" s="1" t="s">
        <v>1712</v>
      </c>
      <c r="AA323" s="1" t="s">
        <v>1713</v>
      </c>
      <c r="AB323" s="3">
        <f>SUMIF('Zinszahlungen Anleihen'!K:K,aktuelleAnleihen[[#This Row],[ISIN]],'Zinszahlungen Anleihen'!D:D)</f>
        <v>0</v>
      </c>
      <c r="AE323" s="9"/>
      <c r="AF323" s="1"/>
      <c r="AI323" s="3"/>
      <c r="AJ323" s="1"/>
      <c r="AM323" s="10"/>
      <c r="AN323" s="1"/>
      <c r="AP323" s="7"/>
      <c r="AQ323" s="1"/>
    </row>
    <row r="324" spans="1:43" x14ac:dyDescent="0.2">
      <c r="A324" s="1" t="s">
        <v>1696</v>
      </c>
      <c r="B324" s="1" t="s">
        <v>4</v>
      </c>
      <c r="C324" s="7">
        <v>8.0500000000000002E-2</v>
      </c>
      <c r="D324" s="7">
        <v>1.1086</v>
      </c>
      <c r="E324" s="7">
        <f>aktuelleAnleihen[[#This Row],[Aktueller Kurs]]-aktuelleAnleihen[[#This Row],[Kaufkurs]]</f>
        <v>9.000000000000119E-3</v>
      </c>
      <c r="F324" s="8">
        <f>aktuelleAnleihen[[#This Row],[Stückelung]]*aktuelleAnleihen[[#This Row],[Aktueller Kurs]]*aktuelleAnleihen[[#This Row],[Anteile]]/aktuelleAnleihen[[#This Row],[Aktueller Wechselkurs]]+aktuelleAnleihen[[#This Row],[Stückzinsen]]</f>
        <v>2057.274889534277</v>
      </c>
      <c r="G324" s="8">
        <f>aktuelleAnleihen[[#This Row],[Kursdifferenz]]*aktuelleAnleihen[[#This Row],[Anteile]]*aktuelleAnleihen[[#This Row],[Stückelung]]/aktuelleAnleihen[[#This Row],[Wechselkurs am Kauftag]]</f>
        <v>16.786347104355347</v>
      </c>
      <c r="H324" s="8">
        <f>aktuelleAnleihen[[#This Row],[Stückzinsen]]-aktuelleAnleihen[[#This Row],[Stückzinsen am Kauftag]]+aktuelleAnleihen[[#This Row],[Zinszahlungen]]</f>
        <v>15.295205639317622</v>
      </c>
      <c r="I324" s="8">
        <f>aktuelleAnleihen[[#This Row],[Gewinn gesamt]]-aktuelleAnleihen[[#This Row],[Gewinn aus Kursänderung]]-aktuelleAnleihen[[#This Row],[Gewinn aus Zinsen]]</f>
        <v>-31.895563209396155</v>
      </c>
      <c r="J324" s="7">
        <f>aktuelleAnleihen[[#This Row],[Gewinn gesamt]]/aktuelleAnleihen[[#This Row],[Kaufpreis]]</f>
        <v>9.0413950644920629E-5</v>
      </c>
      <c r="K324" s="3">
        <f>aktuelleAnleihen[[#This Row],[Verkaufspreis]]-aktuelleAnleihen[[#This Row],[Kaufpreis]]+aktuelleAnleihen[[#This Row],[Zinszahlungen]]</f>
        <v>0.18598953427681408</v>
      </c>
      <c r="L324" s="4">
        <v>2057.0889000000002</v>
      </c>
      <c r="M324" s="7">
        <v>1.0995999999999999</v>
      </c>
      <c r="N324" s="61">
        <v>1.0723</v>
      </c>
      <c r="O324" s="1">
        <v>1.0891</v>
      </c>
      <c r="P324" s="1" t="s">
        <v>887</v>
      </c>
      <c r="Q324" s="30">
        <v>45412</v>
      </c>
      <c r="R324" s="1">
        <v>2</v>
      </c>
      <c r="S324" s="1">
        <v>1000</v>
      </c>
      <c r="T324" s="9">
        <v>45397</v>
      </c>
      <c r="U324" s="1">
        <v>2</v>
      </c>
      <c r="V324" s="62">
        <f>aktuelleAnleihen[[#This Row],[Stückelung]]*aktuelleAnleihen[[#This Row],[Anteile]]*aktuelleAnleihen[[#This Row],[Coupon]]/aktuelleAnleihen[[#This Row],[Aktueller Wechselkurs]]*($AC$1-aktuelleAnleihen[[#This Row],[Letzte Zinszahlung]])/365</f>
        <v>21.465505639317623</v>
      </c>
      <c r="W324" s="4">
        <v>6.1703000000000001</v>
      </c>
      <c r="X324" s="120" t="s">
        <v>276</v>
      </c>
      <c r="Y324" s="120" t="s">
        <v>39</v>
      </c>
      <c r="Z324" s="1" t="s">
        <v>1697</v>
      </c>
      <c r="AA324" s="1" t="s">
        <v>1698</v>
      </c>
      <c r="AB324" s="3">
        <f>SUMIF('Zinszahlungen Anleihen'!K:K,aktuelleAnleihen[[#This Row],[ISIN]],'Zinszahlungen Anleihen'!D:D)</f>
        <v>0</v>
      </c>
      <c r="AE324" s="9"/>
      <c r="AF324" s="1"/>
      <c r="AI324" s="3"/>
      <c r="AJ324" s="1"/>
      <c r="AM324" s="10"/>
      <c r="AN324" s="1"/>
      <c r="AP324" s="7"/>
      <c r="AQ324" s="1"/>
    </row>
    <row r="325" spans="1:43" x14ac:dyDescent="0.2">
      <c r="A325" s="1" t="s">
        <v>1340</v>
      </c>
      <c r="B325" s="1" t="s">
        <v>2</v>
      </c>
      <c r="C325" s="7">
        <v>8.8749999999999996E-2</v>
      </c>
      <c r="D325" s="7">
        <v>1.0241</v>
      </c>
      <c r="E325" s="7">
        <f>aktuelleAnleihen[[#This Row],[Aktueller Kurs]]-aktuelleAnleihen[[#This Row],[Kaufkurs]]</f>
        <v>9.000000000000119E-3</v>
      </c>
      <c r="F325" s="8">
        <f>aktuelleAnleihen[[#This Row],[Stückelung]]*aktuelleAnleihen[[#This Row],[Aktueller Kurs]]*aktuelleAnleihen[[#This Row],[Anteile]]/aktuelleAnleihen[[#This Row],[Aktueller Wechselkurs]]+aktuelleAnleihen[[#This Row],[Stückzinsen]]</f>
        <v>1945.8268294922411</v>
      </c>
      <c r="G325" s="8">
        <f>aktuelleAnleihen[[#This Row],[Kursdifferenz]]*aktuelleAnleihen[[#This Row],[Anteile]]*aktuelleAnleihen[[#This Row],[Stückelung]]/aktuelleAnleihen[[#This Row],[Wechselkurs am Kauftag]]</f>
        <v>16.786347104355347</v>
      </c>
      <c r="H325" s="8">
        <f>aktuelleAnleihen[[#This Row],[Stückzinsen]]-aktuelleAnleihen[[#This Row],[Stückzinsen am Kauftag]]+aktuelleAnleihen[[#This Row],[Zinszahlungen]]</f>
        <v>16.212142475438434</v>
      </c>
      <c r="I325" s="8">
        <f>aktuelleAnleihen[[#This Row],[Gewinn gesamt]]-aktuelleAnleihen[[#This Row],[Gewinn aus Kursänderung]]-aktuelleAnleihen[[#This Row],[Gewinn aus Zinsen]]</f>
        <v>-29.464460087552592</v>
      </c>
      <c r="J325" s="7">
        <f>aktuelleAnleihen[[#This Row],[Gewinn gesamt]]/aktuelleAnleihen[[#This Row],[Kaufpreis]]</f>
        <v>1.8195142834495338E-3</v>
      </c>
      <c r="K325" s="3">
        <f>aktuelleAnleihen[[#This Row],[Verkaufspreis]]-aktuelleAnleihen[[#This Row],[Kaufpreis]]+aktuelleAnleihen[[#This Row],[Zinszahlungen]]</f>
        <v>3.5340294922411886</v>
      </c>
      <c r="L325" s="4">
        <v>1942.2927999999999</v>
      </c>
      <c r="M325" s="7">
        <v>1.0150999999999999</v>
      </c>
      <c r="N325" s="61">
        <v>1.0723</v>
      </c>
      <c r="O325" s="1">
        <v>1.0891</v>
      </c>
      <c r="P325" s="1" t="s">
        <v>887</v>
      </c>
      <c r="Q325" s="30">
        <v>45412</v>
      </c>
      <c r="R325" s="1">
        <v>2</v>
      </c>
      <c r="S325" s="1">
        <v>1000</v>
      </c>
      <c r="T325" s="9">
        <v>45304</v>
      </c>
      <c r="U325" s="1">
        <v>2</v>
      </c>
      <c r="V325" s="62">
        <f>aktuelleAnleihen[[#This Row],[Stückelung]]*aktuelleAnleihen[[#This Row],[Anteile]]*aktuelleAnleihen[[#This Row],[Coupon]]/aktuelleAnleihen[[#This Row],[Aktueller Wechselkurs]]*($AC$1-aktuelleAnleihen[[#This Row],[Letzte Zinszahlung]])/365</f>
        <v>65.191442475438436</v>
      </c>
      <c r="W325" s="4">
        <v>48.979300000000002</v>
      </c>
      <c r="X325" s="120" t="s">
        <v>1070</v>
      </c>
      <c r="Y325" s="120" t="s">
        <v>109</v>
      </c>
      <c r="Z325" s="1" t="s">
        <v>1341</v>
      </c>
      <c r="AA325" s="1" t="s">
        <v>1342</v>
      </c>
      <c r="AB325" s="3">
        <f>SUMIF('Zinszahlungen Anleihen'!K:K,aktuelleAnleihen[[#This Row],[ISIN]],'Zinszahlungen Anleihen'!D:D)</f>
        <v>0</v>
      </c>
      <c r="AE325" s="9"/>
      <c r="AF325" s="1"/>
      <c r="AI325" s="3"/>
      <c r="AJ325" s="1"/>
      <c r="AM325" s="10"/>
      <c r="AN325" s="1"/>
      <c r="AP325" s="7"/>
      <c r="AQ325" s="1"/>
    </row>
    <row r="326" spans="1:43" x14ac:dyDescent="0.2">
      <c r="A326" s="1" t="s">
        <v>175</v>
      </c>
      <c r="B326" s="1" t="s">
        <v>0</v>
      </c>
      <c r="C326" s="7">
        <v>0.13250000000000001</v>
      </c>
      <c r="D326" s="7">
        <v>1.159</v>
      </c>
      <c r="E326" s="7">
        <f>aktuelleAnleihen[[#This Row],[Aktueller Kurs]]-aktuelleAnleihen[[#This Row],[Kaufkurs]]</f>
        <v>8.3999999999999631E-3</v>
      </c>
      <c r="F326" s="8">
        <f>aktuelleAnleihen[[#This Row],[Stückelung]]*aktuelleAnleihen[[#This Row],[Aktueller Kurs]]*aktuelleAnleihen[[#This Row],[Anteile]]/aktuelleAnleihen[[#This Row],[Aktueller Wechselkurs]]+aktuelleAnleihen[[#This Row],[Stückzinsen]]</f>
        <v>2348.4931506849316</v>
      </c>
      <c r="G326" s="8">
        <f>aktuelleAnleihen[[#This Row],[Kursdifferenz]]*aktuelleAnleihen[[#This Row],[Anteile]]*aktuelleAnleihen[[#This Row],[Stückelung]]/aktuelleAnleihen[[#This Row],[Wechselkurs am Kauftag]]</f>
        <v>16.799999999999926</v>
      </c>
      <c r="H326" s="8">
        <f>aktuelleAnleihen[[#This Row],[Stückzinsen]]-aktuelleAnleihen[[#This Row],[Stückzinsen am Kauftag]]+aktuelleAnleihen[[#This Row],[Zinszahlungen]]</f>
        <v>46.828750684931506</v>
      </c>
      <c r="I326" s="8">
        <f>aktuelleAnleihen[[#This Row],[Gewinn gesamt]]-aktuelleAnleihen[[#This Row],[Gewinn aus Kursänderung]]-aktuelleAnleihen[[#This Row],[Gewinn aus Zinsen]]</f>
        <v>2.4158453015843406E-13</v>
      </c>
      <c r="J326" s="7">
        <f>aktuelleAnleihen[[#This Row],[Gewinn gesamt]]/aktuelleAnleihen[[#This Row],[Kaufpreis]]</f>
        <v>2.6321538732402807E-2</v>
      </c>
      <c r="K326" s="3">
        <f>aktuelleAnleihen[[#This Row],[Verkaufspreis]]-aktuelleAnleihen[[#This Row],[Kaufpreis]]+aktuelleAnleihen[[#This Row],[Zinszahlungen]]</f>
        <v>63.628750684931674</v>
      </c>
      <c r="L326" s="4">
        <v>2417.3643999999999</v>
      </c>
      <c r="M326" s="7">
        <v>1.1506000000000001</v>
      </c>
      <c r="N326" s="61">
        <v>1</v>
      </c>
      <c r="O326" s="1">
        <v>1</v>
      </c>
      <c r="P326" s="1" t="s">
        <v>925</v>
      </c>
      <c r="Q326" s="30">
        <v>45385</v>
      </c>
      <c r="R326" s="1">
        <v>2</v>
      </c>
      <c r="S326" s="1">
        <v>1000</v>
      </c>
      <c r="T326" s="9">
        <v>45408</v>
      </c>
      <c r="U326" s="1">
        <v>2</v>
      </c>
      <c r="V326" s="62">
        <f>aktuelleAnleihen[[#This Row],[Stückelung]]*aktuelleAnleihen[[#This Row],[Anteile]]*aktuelleAnleihen[[#This Row],[Coupon]]/aktuelleAnleihen[[#This Row],[Aktueller Wechselkurs]]*($AC$1-aktuelleAnleihen[[#This Row],[Letzte Zinszahlung]])/365</f>
        <v>30.493150684931507</v>
      </c>
      <c r="W326" s="4">
        <v>116.1644</v>
      </c>
      <c r="X326" s="120" t="s">
        <v>176</v>
      </c>
      <c r="Y326" s="120" t="s">
        <v>44</v>
      </c>
      <c r="Z326" s="1" t="s">
        <v>177</v>
      </c>
      <c r="AA326" s="1" t="s">
        <v>178</v>
      </c>
      <c r="AB326" s="3">
        <f>SUMIF('Zinszahlungen Anleihen'!K:K,aktuelleAnleihen[[#This Row],[ISIN]],'Zinszahlungen Anleihen'!D:D)</f>
        <v>132.5</v>
      </c>
      <c r="AE326" s="9"/>
      <c r="AF326" s="1"/>
      <c r="AI326" s="3"/>
      <c r="AJ326" s="1"/>
      <c r="AM326" s="10"/>
      <c r="AN326" s="1"/>
      <c r="AP326" s="7"/>
      <c r="AQ326" s="1"/>
    </row>
    <row r="327" spans="1:43" x14ac:dyDescent="0.2">
      <c r="A327" s="1" t="s">
        <v>619</v>
      </c>
      <c r="B327" s="1" t="s">
        <v>0</v>
      </c>
      <c r="C327" s="7">
        <v>7.2499999999999995E-2</v>
      </c>
      <c r="D327" s="7">
        <v>0.99050000000000005</v>
      </c>
      <c r="E327" s="7">
        <f>aktuelleAnleihen[[#This Row],[Aktueller Kurs]]-aktuelleAnleihen[[#This Row],[Kaufkurs]]</f>
        <v>8.4000000000000741E-3</v>
      </c>
      <c r="F327" s="8">
        <f>aktuelleAnleihen[[#This Row],[Stückelung]]*aktuelleAnleihen[[#This Row],[Aktueller Kurs]]*aktuelleAnleihen[[#This Row],[Anteile]]/aktuelleAnleihen[[#This Row],[Aktueller Wechselkurs]]+aktuelleAnleihen[[#This Row],[Stückzinsen]]</f>
        <v>2031.8493150684931</v>
      </c>
      <c r="G327" s="8">
        <f>aktuelleAnleihen[[#This Row],[Kursdifferenz]]*aktuelleAnleihen[[#This Row],[Anteile]]*aktuelleAnleihen[[#This Row],[Stückelung]]/aktuelleAnleihen[[#This Row],[Wechselkurs am Kauftag]]</f>
        <v>16.800000000000146</v>
      </c>
      <c r="H327" s="8">
        <f>aktuelleAnleihen[[#This Row],[Stückzinsen]]-aktuelleAnleihen[[#This Row],[Stückzinsen am Kauftag]]+aktuelleAnleihen[[#This Row],[Zinszahlungen]]</f>
        <v>25.821915068493148</v>
      </c>
      <c r="I327" s="8">
        <f>aktuelleAnleihen[[#This Row],[Gewinn gesamt]]-aktuelleAnleihen[[#This Row],[Gewinn aus Kursänderung]]-aktuelleAnleihen[[#This Row],[Gewinn aus Zinsen]]</f>
        <v>-2.1316282072803006E-13</v>
      </c>
      <c r="J327" s="7">
        <f>aktuelleAnleihen[[#This Row],[Gewinn gesamt]]/aktuelleAnleihen[[#This Row],[Kaufpreis]]</f>
        <v>2.1426366371432991E-2</v>
      </c>
      <c r="K327" s="3">
        <f>aktuelleAnleihen[[#This Row],[Verkaufspreis]]-aktuelleAnleihen[[#This Row],[Kaufpreis]]+aktuelleAnleihen[[#This Row],[Zinszahlungen]]</f>
        <v>42.621915068493081</v>
      </c>
      <c r="L327" s="4">
        <v>1989.2274</v>
      </c>
      <c r="M327" s="7">
        <v>0.98209999999999997</v>
      </c>
      <c r="N327" s="61">
        <v>1</v>
      </c>
      <c r="O327" s="1">
        <v>1</v>
      </c>
      <c r="P327" s="1" t="s">
        <v>925</v>
      </c>
      <c r="Q327" s="30">
        <v>45385</v>
      </c>
      <c r="R327" s="1">
        <v>2</v>
      </c>
      <c r="S327" s="1">
        <v>1000</v>
      </c>
      <c r="T327" s="9">
        <v>45322</v>
      </c>
      <c r="U327" s="1">
        <v>2</v>
      </c>
      <c r="V327" s="62">
        <f>aktuelleAnleihen[[#This Row],[Stückelung]]*aktuelleAnleihen[[#This Row],[Anteile]]*aktuelleAnleihen[[#This Row],[Coupon]]/aktuelleAnleihen[[#This Row],[Aktueller Wechselkurs]]*($AC$1-aktuelleAnleihen[[#This Row],[Letzte Zinszahlung]])/365</f>
        <v>50.849315068493148</v>
      </c>
      <c r="W327" s="4">
        <v>25.0274</v>
      </c>
      <c r="X327" s="120" t="s">
        <v>284</v>
      </c>
      <c r="Y327" s="120" t="s">
        <v>57</v>
      </c>
      <c r="Z327" s="1" t="s">
        <v>620</v>
      </c>
      <c r="AA327" s="1" t="s">
        <v>621</v>
      </c>
      <c r="AB327" s="3">
        <f>SUMIF('Zinszahlungen Anleihen'!K:K,aktuelleAnleihen[[#This Row],[ISIN]],'Zinszahlungen Anleihen'!D:D)</f>
        <v>0</v>
      </c>
      <c r="AE327" s="9"/>
      <c r="AF327" s="1"/>
      <c r="AI327" s="3"/>
      <c r="AJ327" s="1"/>
      <c r="AM327" s="10"/>
      <c r="AN327" s="1"/>
      <c r="AP327" s="7"/>
      <c r="AQ327" s="1"/>
    </row>
    <row r="328" spans="1:43" x14ac:dyDescent="0.2">
      <c r="A328" s="1" t="s">
        <v>1650</v>
      </c>
      <c r="B328" s="1" t="s">
        <v>0</v>
      </c>
      <c r="C328" s="7">
        <v>8.2500000000000004E-2</v>
      </c>
      <c r="D328" s="7">
        <v>1.0185999999999999</v>
      </c>
      <c r="E328" s="7">
        <f>aktuelleAnleihen[[#This Row],[Aktueller Kurs]]-aktuelleAnleihen[[#This Row],[Kaufkurs]]</f>
        <v>9.099999999999886E-3</v>
      </c>
      <c r="F328" s="8">
        <f>aktuelleAnleihen[[#This Row],[Stückelung]]*aktuelleAnleihen[[#This Row],[Aktueller Kurs]]*aktuelleAnleihen[[#This Row],[Anteile]]/aktuelleAnleihen[[#This Row],[Aktueller Wechselkurs]]+aktuelleAnleihen[[#This Row],[Stückzinsen]]</f>
        <v>1917.8534997478123</v>
      </c>
      <c r="G328" s="8">
        <f>aktuelleAnleihen[[#This Row],[Kursdifferenz]]*aktuelleAnleihen[[#This Row],[Anteile]]*aktuelleAnleihen[[#This Row],[Stückelung]]/aktuelleAnleihen[[#This Row],[Wechselkurs am Kauftag]]</f>
        <v>16.97286207218108</v>
      </c>
      <c r="H328" s="8">
        <f>aktuelleAnleihen[[#This Row],[Stückzinsen]]-aktuelleAnleihen[[#This Row],[Stückzinsen am Kauftag]]+aktuelleAnleihen[[#This Row],[Zinszahlungen]]</f>
        <v>15.278495368049271</v>
      </c>
      <c r="I328" s="8">
        <f>aktuelleAnleihen[[#This Row],[Gewinn gesamt]]-aktuelleAnleihen[[#This Row],[Gewinn aus Kursänderung]]-aktuelleAnleihen[[#This Row],[Gewinn aus Zinsen]]</f>
        <v>-29.306157692418111</v>
      </c>
      <c r="J328" s="7">
        <f>aktuelleAnleihen[[#This Row],[Gewinn gesamt]]/aktuelleAnleihen[[#This Row],[Kaufpreis]]</f>
        <v>1.5380369638651832E-3</v>
      </c>
      <c r="K328" s="3">
        <f>aktuelleAnleihen[[#This Row],[Verkaufspreis]]-aktuelleAnleihen[[#This Row],[Kaufpreis]]+aktuelleAnleihen[[#This Row],[Zinszahlungen]]</f>
        <v>2.9451997478122394</v>
      </c>
      <c r="L328" s="4">
        <v>1914.9083000000001</v>
      </c>
      <c r="M328" s="7">
        <v>1.0095000000000001</v>
      </c>
      <c r="N328" s="61">
        <v>1.0723</v>
      </c>
      <c r="O328" s="1">
        <v>1.0891</v>
      </c>
      <c r="P328" s="1" t="s">
        <v>887</v>
      </c>
      <c r="Q328" s="30">
        <v>45412</v>
      </c>
      <c r="R328" s="1">
        <v>2</v>
      </c>
      <c r="S328" s="1">
        <v>1000</v>
      </c>
      <c r="T328" s="9">
        <v>45336</v>
      </c>
      <c r="U328" s="1">
        <v>2</v>
      </c>
      <c r="V328" s="62">
        <f>aktuelleAnleihen[[#This Row],[Stückelung]]*aktuelleAnleihen[[#This Row],[Anteile]]*aktuelleAnleihen[[#This Row],[Coupon]]/aktuelleAnleihen[[#This Row],[Aktueller Wechselkurs]]*($AC$1-aktuelleAnleihen[[#This Row],[Letzte Zinszahlung]])/365</f>
        <v>47.318195368049274</v>
      </c>
      <c r="W328" s="4">
        <v>32.039700000000003</v>
      </c>
      <c r="X328" s="120" t="s">
        <v>1004</v>
      </c>
      <c r="Y328" s="120" t="s">
        <v>61</v>
      </c>
      <c r="Z328" s="1" t="s">
        <v>1651</v>
      </c>
      <c r="AA328" s="1" t="s">
        <v>1652</v>
      </c>
      <c r="AB328" s="3">
        <f>SUMIF('Zinszahlungen Anleihen'!K:K,aktuelleAnleihen[[#This Row],[ISIN]],'Zinszahlungen Anleihen'!D:D)</f>
        <v>0</v>
      </c>
      <c r="AE328" s="9"/>
      <c r="AF328" s="1"/>
      <c r="AI328" s="3"/>
      <c r="AJ328" s="1"/>
      <c r="AM328" s="10"/>
      <c r="AN328" s="1"/>
      <c r="AP328" s="7"/>
      <c r="AQ328" s="1"/>
    </row>
    <row r="329" spans="1:43" x14ac:dyDescent="0.2">
      <c r="A329" s="1" t="s">
        <v>1702</v>
      </c>
      <c r="B329" s="1" t="s">
        <v>0</v>
      </c>
      <c r="C329" s="7">
        <v>0.08</v>
      </c>
      <c r="D329" s="7">
        <v>1.0779000000000001</v>
      </c>
      <c r="E329" s="7">
        <f>aktuelleAnleihen[[#This Row],[Aktueller Kurs]]-aktuelleAnleihen[[#This Row],[Kaufkurs]]</f>
        <v>9.300000000000086E-3</v>
      </c>
      <c r="F329" s="8">
        <f>aktuelleAnleihen[[#This Row],[Stückelung]]*aktuelleAnleihen[[#This Row],[Aktueller Kurs]]*aktuelleAnleihen[[#This Row],[Anteile]]/aktuelleAnleihen[[#This Row],[Aktueller Wechselkurs]]+aktuelleAnleihen[[#This Row],[Stückzinsen]]</f>
        <v>1995.1298231667975</v>
      </c>
      <c r="G329" s="8">
        <f>aktuelleAnleihen[[#This Row],[Kursdifferenz]]*aktuelleAnleihen[[#This Row],[Anteile]]*aktuelleAnleihen[[#This Row],[Stückelung]]/aktuelleAnleihen[[#This Row],[Wechselkurs am Kauftag]]</f>
        <v>17.34589200783379</v>
      </c>
      <c r="H329" s="8">
        <f>aktuelleAnleihen[[#This Row],[Stückzinsen]]-aktuelleAnleihen[[#This Row],[Stückzinsen am Kauftag]]+aktuelleAnleihen[[#This Row],[Zinszahlungen]]</f>
        <v>15.288464173132775</v>
      </c>
      <c r="I329" s="8">
        <f>aktuelleAnleihen[[#This Row],[Gewinn gesamt]]-aktuelleAnleihen[[#This Row],[Gewinn aus Kursänderung]]-aktuelleAnleihen[[#This Row],[Gewinn aus Zinsen]]</f>
        <v>-31.012233014169226</v>
      </c>
      <c r="J329" s="7">
        <f>aktuelleAnleihen[[#This Row],[Gewinn gesamt]]/aktuelleAnleihen[[#This Row],[Kaufpreis]]</f>
        <v>8.137029853445447E-4</v>
      </c>
      <c r="K329" s="3">
        <f>aktuelleAnleihen[[#This Row],[Verkaufspreis]]-aktuelleAnleihen[[#This Row],[Kaufpreis]]+aktuelleAnleihen[[#This Row],[Zinszahlungen]]</f>
        <v>1.622123166797337</v>
      </c>
      <c r="L329" s="4">
        <v>1993.5077000000001</v>
      </c>
      <c r="M329" s="7">
        <v>1.0686</v>
      </c>
      <c r="N329" s="61">
        <v>1.0723</v>
      </c>
      <c r="O329" s="1">
        <v>1.0891</v>
      </c>
      <c r="P329" s="1" t="s">
        <v>887</v>
      </c>
      <c r="Q329" s="30">
        <v>45412</v>
      </c>
      <c r="R329" s="1">
        <v>2</v>
      </c>
      <c r="S329" s="1">
        <v>1000</v>
      </c>
      <c r="T329" s="9">
        <v>45411</v>
      </c>
      <c r="U329" s="1">
        <v>2</v>
      </c>
      <c r="V329" s="62">
        <f>aktuelleAnleihen[[#This Row],[Stückelung]]*aktuelleAnleihen[[#This Row],[Anteile]]*aktuelleAnleihen[[#This Row],[Coupon]]/aktuelleAnleihen[[#This Row],[Aktueller Wechselkurs]]*($AC$1-aktuelleAnleihen[[#This Row],[Letzte Zinszahlung]])/365</f>
        <v>15.697264173132774</v>
      </c>
      <c r="W329" s="4">
        <v>0.4088</v>
      </c>
      <c r="X329" s="120" t="s">
        <v>276</v>
      </c>
      <c r="Y329" s="120" t="s">
        <v>61</v>
      </c>
      <c r="Z329" s="1" t="s">
        <v>1703</v>
      </c>
      <c r="AA329" s="1" t="s">
        <v>1704</v>
      </c>
      <c r="AB329" s="3">
        <f>SUMIF('Zinszahlungen Anleihen'!K:K,aktuelleAnleihen[[#This Row],[ISIN]],'Zinszahlungen Anleihen'!D:D)</f>
        <v>0</v>
      </c>
      <c r="AE329" s="9"/>
      <c r="AF329" s="1"/>
      <c r="AI329" s="3"/>
      <c r="AJ329" s="1"/>
      <c r="AM329" s="10"/>
      <c r="AN329" s="1"/>
      <c r="AP329" s="7"/>
      <c r="AQ329" s="1"/>
    </row>
    <row r="330" spans="1:43" x14ac:dyDescent="0.2">
      <c r="A330" s="1" t="s">
        <v>787</v>
      </c>
      <c r="B330" s="1" t="s">
        <v>0</v>
      </c>
      <c r="C330" s="7">
        <v>6.3750000000000001E-2</v>
      </c>
      <c r="D330" s="7">
        <v>1.0099</v>
      </c>
      <c r="E330" s="7">
        <f>aktuelleAnleihen[[#This Row],[Aktueller Kurs]]-aktuelleAnleihen[[#This Row],[Kaufkurs]]</f>
        <v>8.69999999999993E-3</v>
      </c>
      <c r="F330" s="8">
        <f>aktuelleAnleihen[[#This Row],[Stückelung]]*aktuelleAnleihen[[#This Row],[Aktueller Kurs]]*aktuelleAnleihen[[#This Row],[Anteile]]/aktuelleAnleihen[[#This Row],[Aktueller Wechselkurs]]+aktuelleAnleihen[[#This Row],[Stückzinsen]]</f>
        <v>2050.1904109589041</v>
      </c>
      <c r="G330" s="8">
        <f>aktuelleAnleihen[[#This Row],[Kursdifferenz]]*aktuelleAnleihen[[#This Row],[Anteile]]*aktuelleAnleihen[[#This Row],[Stückelung]]/aktuelleAnleihen[[#This Row],[Wechselkurs am Kauftag]]</f>
        <v>17.39999999999986</v>
      </c>
      <c r="H330" s="8">
        <f>aktuelleAnleihen[[#This Row],[Stückzinsen]]-aktuelleAnleihen[[#This Row],[Stückzinsen am Kauftag]]+aktuelleAnleihen[[#This Row],[Zinszahlungen]]</f>
        <v>22.70551095890411</v>
      </c>
      <c r="I330" s="8">
        <f>aktuelleAnleihen[[#This Row],[Gewinn gesamt]]-aktuelleAnleihen[[#This Row],[Gewinn aus Kursänderung]]-aktuelleAnleihen[[#This Row],[Gewinn aus Zinsen]]</f>
        <v>3.5527136788005009E-14</v>
      </c>
      <c r="J330" s="7">
        <f>aktuelleAnleihen[[#This Row],[Gewinn gesamt]]/aktuelleAnleihen[[#This Row],[Kaufpreis]]</f>
        <v>1.9952147771919487E-2</v>
      </c>
      <c r="K330" s="3">
        <f>aktuelleAnleihen[[#This Row],[Verkaufspreis]]-aktuelleAnleihen[[#This Row],[Kaufpreis]]+aktuelleAnleihen[[#This Row],[Zinszahlungen]]</f>
        <v>40.105510958904006</v>
      </c>
      <c r="L330" s="4">
        <v>2010.0849000000001</v>
      </c>
      <c r="M330" s="7">
        <v>1.0012000000000001</v>
      </c>
      <c r="N330" s="61">
        <v>1</v>
      </c>
      <c r="O330" s="1">
        <v>1</v>
      </c>
      <c r="P330" s="1" t="s">
        <v>925</v>
      </c>
      <c r="Q330" s="30">
        <v>45385</v>
      </c>
      <c r="R330" s="1">
        <v>2</v>
      </c>
      <c r="S330" s="1">
        <v>1000</v>
      </c>
      <c r="T330" s="9">
        <v>45363</v>
      </c>
      <c r="U330" s="1">
        <v>2</v>
      </c>
      <c r="V330" s="62">
        <f>aktuelleAnleihen[[#This Row],[Stückelung]]*aktuelleAnleihen[[#This Row],[Anteile]]*aktuelleAnleihen[[#This Row],[Coupon]]/aktuelleAnleihen[[#This Row],[Aktueller Wechselkurs]]*($AC$1-aktuelleAnleihen[[#This Row],[Letzte Zinszahlung]])/365</f>
        <v>30.390410958904109</v>
      </c>
      <c r="W330" s="4">
        <v>7.6848999999999998</v>
      </c>
      <c r="X330" s="120" t="s">
        <v>51</v>
      </c>
      <c r="Y330" s="120" t="s">
        <v>57</v>
      </c>
      <c r="Z330" s="1" t="s">
        <v>788</v>
      </c>
      <c r="AA330" s="1" t="s">
        <v>789</v>
      </c>
      <c r="AB330" s="3">
        <f>SUMIF('Zinszahlungen Anleihen'!K:K,aktuelleAnleihen[[#This Row],[ISIN]],'Zinszahlungen Anleihen'!D:D)</f>
        <v>0</v>
      </c>
      <c r="AE330" s="9"/>
      <c r="AF330" s="1"/>
      <c r="AI330" s="3"/>
      <c r="AJ330" s="1"/>
      <c r="AM330" s="10"/>
      <c r="AN330" s="1"/>
      <c r="AP330" s="7"/>
      <c r="AQ330" s="1"/>
    </row>
    <row r="331" spans="1:43" x14ac:dyDescent="0.2">
      <c r="A331" s="1" t="s">
        <v>1249</v>
      </c>
      <c r="B331" s="1" t="s">
        <v>0</v>
      </c>
      <c r="C331" s="7">
        <v>9.2499999999999999E-2</v>
      </c>
      <c r="D331" s="7">
        <v>1.0167999999999999</v>
      </c>
      <c r="E331" s="7">
        <f>aktuelleAnleihen[[#This Row],[Aktueller Kurs]]-aktuelleAnleihen[[#This Row],[Kaufkurs]]</f>
        <v>9.5999999999998309E-3</v>
      </c>
      <c r="F331" s="8">
        <f>aktuelleAnleihen[[#This Row],[Stückelung]]*aktuelleAnleihen[[#This Row],[Aktueller Kurs]]*aktuelleAnleihen[[#This Row],[Anteile]]/aktuelleAnleihen[[#This Row],[Aktueller Wechselkurs]]+aktuelleAnleihen[[#This Row],[Stückzinsen]]</f>
        <v>1877.0028790895587</v>
      </c>
      <c r="G331" s="8">
        <f>aktuelleAnleihen[[#This Row],[Kursdifferenz]]*aktuelleAnleihen[[#This Row],[Anteile]]*aktuelleAnleihen[[#This Row],[Stückelung]]/aktuelleAnleihen[[#This Row],[Wechselkurs am Kauftag]]</f>
        <v>17.905436911311817</v>
      </c>
      <c r="H331" s="8">
        <f>aktuelleAnleihen[[#This Row],[Stückzinsen]]-aktuelleAnleihen[[#This Row],[Stückzinsen am Kauftag]]+aktuelleAnleihen[[#This Row],[Zinszahlungen]]</f>
        <v>16.878252436254044</v>
      </c>
      <c r="I331" s="8">
        <f>aktuelleAnleihen[[#This Row],[Gewinn gesamt]]-aktuelleAnleihen[[#This Row],[Gewinn aus Kursänderung]]-aktuelleAnleihen[[#This Row],[Gewinn aus Zinsen]]</f>
        <v>-29.254314121852467</v>
      </c>
      <c r="J331" s="7">
        <f>aktuelleAnleihen[[#This Row],[Gewinn gesamt]]/aktuelleAnleihen[[#This Row],[Kaufpreis]]</f>
        <v>2.826055261558681E-3</v>
      </c>
      <c r="K331" s="3">
        <f>aktuelleAnleihen[[#This Row],[Verkaufspreis]]-aktuelleAnleihen[[#This Row],[Kaufpreis]]+aktuelleAnleihen[[#This Row],[Zinszahlungen]]</f>
        <v>5.5293752257133946</v>
      </c>
      <c r="L331" s="4">
        <v>1956.5700999999999</v>
      </c>
      <c r="M331" s="7">
        <v>1.0072000000000001</v>
      </c>
      <c r="N331" s="61">
        <v>1.0723</v>
      </c>
      <c r="O331" s="1">
        <v>1.0891</v>
      </c>
      <c r="P331" s="1" t="s">
        <v>887</v>
      </c>
      <c r="Q331" s="30">
        <v>45412</v>
      </c>
      <c r="R331" s="1">
        <v>2</v>
      </c>
      <c r="S331" s="1">
        <v>1000</v>
      </c>
      <c r="T331" s="9">
        <v>45429</v>
      </c>
      <c r="U331" s="1">
        <v>2</v>
      </c>
      <c r="V331" s="62">
        <f>aktuelleAnleihen[[#This Row],[Stückelung]]*aktuelleAnleihen[[#This Row],[Anteile]]*aktuelleAnleihen[[#This Row],[Coupon]]/aktuelleAnleihen[[#This Row],[Aktueller Wechselkurs]]*($AC$1-aktuelleAnleihen[[#This Row],[Letzte Zinszahlung]])/365</f>
        <v>9.7730563000994906</v>
      </c>
      <c r="W331" s="4">
        <v>77.991399999999999</v>
      </c>
      <c r="X331" s="120" t="s">
        <v>102</v>
      </c>
      <c r="Y331" s="120" t="s">
        <v>1533</v>
      </c>
      <c r="Z331" s="1" t="s">
        <v>1534</v>
      </c>
      <c r="AA331" s="1" t="s">
        <v>1535</v>
      </c>
      <c r="AB331" s="3">
        <f>SUMIF('Zinszahlungen Anleihen'!K:K,aktuelleAnleihen[[#This Row],[ISIN]],'Zinszahlungen Anleihen'!D:D)</f>
        <v>85.09659613615456</v>
      </c>
      <c r="AE331" s="9"/>
      <c r="AF331" s="1"/>
      <c r="AI331" s="3"/>
      <c r="AJ331" s="1"/>
      <c r="AM331" s="10"/>
      <c r="AN331" s="1"/>
      <c r="AP331" s="7"/>
      <c r="AQ331" s="1"/>
    </row>
    <row r="332" spans="1:43" x14ac:dyDescent="0.2">
      <c r="A332" s="1" t="s">
        <v>714</v>
      </c>
      <c r="B332" s="1" t="s">
        <v>1</v>
      </c>
      <c r="C332" s="7">
        <v>6.7500000000000004E-2</v>
      </c>
      <c r="D332" s="7">
        <v>1.0547</v>
      </c>
      <c r="E332" s="7">
        <f>aktuelleAnleihen[[#This Row],[Aktueller Kurs]]-aktuelleAnleihen[[#This Row],[Kaufkurs]]</f>
        <v>8.999999999999897E-3</v>
      </c>
      <c r="F332" s="8">
        <f>aktuelleAnleihen[[#This Row],[Stückelung]]*aktuelleAnleihen[[#This Row],[Aktueller Kurs]]*aktuelleAnleihen[[#This Row],[Anteile]]/aktuelleAnleihen[[#This Row],[Aktueller Wechselkurs]]+aktuelleAnleihen[[#This Row],[Stückzinsen]]</f>
        <v>2227.3863013698633</v>
      </c>
      <c r="G332" s="8">
        <f>aktuelleAnleihen[[#This Row],[Kursdifferenz]]*aktuelleAnleihen[[#This Row],[Anteile]]*aktuelleAnleihen[[#This Row],[Stückelung]]/aktuelleAnleihen[[#This Row],[Wechselkurs am Kauftag]]</f>
        <v>17.999999999999794</v>
      </c>
      <c r="H332" s="8">
        <f>aktuelleAnleihen[[#This Row],[Stückzinsen]]-aktuelleAnleihen[[#This Row],[Stückzinsen am Kauftag]]+aktuelleAnleihen[[#This Row],[Zinszahlungen]]</f>
        <v>24.041101369863014</v>
      </c>
      <c r="I332" s="8">
        <f>aktuelleAnleihen[[#This Row],[Gewinn gesamt]]-aktuelleAnleihen[[#This Row],[Gewinn aus Kursänderung]]-aktuelleAnleihen[[#This Row],[Gewinn aus Zinsen]]</f>
        <v>2.9132252166164108E-13</v>
      </c>
      <c r="J332" s="7">
        <f>aktuelleAnleihen[[#This Row],[Gewinn gesamt]]/aktuelleAnleihen[[#This Row],[Kaufpreis]]</f>
        <v>1.923773936029104E-2</v>
      </c>
      <c r="K332" s="3">
        <f>aktuelleAnleihen[[#This Row],[Verkaufspreis]]-aktuelleAnleihen[[#This Row],[Kaufpreis]]+aktuelleAnleihen[[#This Row],[Zinszahlungen]]</f>
        <v>42.0411013698631</v>
      </c>
      <c r="L332" s="4">
        <v>2185.3452000000002</v>
      </c>
      <c r="M332" s="7">
        <v>1.0457000000000001</v>
      </c>
      <c r="N332" s="61">
        <v>1</v>
      </c>
      <c r="O332" s="1">
        <v>1</v>
      </c>
      <c r="P332" s="1" t="s">
        <v>925</v>
      </c>
      <c r="Q332" s="30">
        <v>45385</v>
      </c>
      <c r="R332" s="1">
        <v>2</v>
      </c>
      <c r="S332" s="1">
        <v>1000</v>
      </c>
      <c r="T332" s="9">
        <v>45131</v>
      </c>
      <c r="U332" s="1">
        <v>1</v>
      </c>
      <c r="V332" s="62">
        <f>aktuelleAnleihen[[#This Row],[Stückelung]]*aktuelleAnleihen[[#This Row],[Anteile]]*aktuelleAnleihen[[#This Row],[Coupon]]/aktuelleAnleihen[[#This Row],[Aktueller Wechselkurs]]*($AC$1-aktuelleAnleihen[[#This Row],[Letzte Zinszahlung]])/365</f>
        <v>117.98630136986301</v>
      </c>
      <c r="W332" s="4">
        <v>93.9452</v>
      </c>
      <c r="X332" s="120" t="s">
        <v>35</v>
      </c>
      <c r="Y332" s="120" t="s">
        <v>61</v>
      </c>
      <c r="Z332" s="1" t="s">
        <v>715</v>
      </c>
      <c r="AA332" s="1" t="s">
        <v>716</v>
      </c>
      <c r="AB332" s="3">
        <f>SUMIF('Zinszahlungen Anleihen'!K:K,aktuelleAnleihen[[#This Row],[ISIN]],'Zinszahlungen Anleihen'!D:D)</f>
        <v>0</v>
      </c>
      <c r="AE332" s="9"/>
      <c r="AF332" s="1"/>
      <c r="AI332" s="3"/>
      <c r="AJ332" s="1"/>
      <c r="AM332" s="10"/>
      <c r="AN332" s="1"/>
      <c r="AP332" s="7"/>
      <c r="AQ332" s="1"/>
    </row>
    <row r="333" spans="1:43" x14ac:dyDescent="0.2">
      <c r="A333" s="1" t="s">
        <v>233</v>
      </c>
      <c r="B333" s="1" t="s">
        <v>0</v>
      </c>
      <c r="C333" s="7">
        <v>0.1</v>
      </c>
      <c r="D333" s="7">
        <v>1.1012999999999999</v>
      </c>
      <c r="E333" s="7">
        <f>aktuelleAnleihen[[#This Row],[Aktueller Kurs]]-aktuelleAnleihen[[#This Row],[Kaufkurs]]</f>
        <v>8.999999999999897E-3</v>
      </c>
      <c r="F333" s="8">
        <f>aktuelleAnleihen[[#This Row],[Stückelung]]*aktuelleAnleihen[[#This Row],[Aktueller Kurs]]*aktuelleAnleihen[[#This Row],[Anteile]]/aktuelleAnleihen[[#This Row],[Aktueller Wechselkurs]]+aktuelleAnleihen[[#This Row],[Stückzinsen]]</f>
        <v>2303.421917808219</v>
      </c>
      <c r="G333" s="8">
        <f>aktuelleAnleihen[[#This Row],[Kursdifferenz]]*aktuelleAnleihen[[#This Row],[Anteile]]*aktuelleAnleihen[[#This Row],[Stückelung]]/aktuelleAnleihen[[#This Row],[Wechselkurs am Kauftag]]</f>
        <v>17.999999999999794</v>
      </c>
      <c r="H333" s="8">
        <f>aktuelleAnleihen[[#This Row],[Stückzinsen]]-aktuelleAnleihen[[#This Row],[Stückzinsen am Kauftag]]+aktuelleAnleihen[[#This Row],[Zinszahlungen]]</f>
        <v>35.616417808219182</v>
      </c>
      <c r="I333" s="8">
        <f>aktuelleAnleihen[[#This Row],[Gewinn gesamt]]-aktuelleAnleihen[[#This Row],[Gewinn aus Kursänderung]]-aktuelleAnleihen[[#This Row],[Gewinn aus Zinsen]]</f>
        <v>0</v>
      </c>
      <c r="J333" s="7">
        <f>aktuelleAnleihen[[#This Row],[Gewinn gesamt]]/aktuelleAnleihen[[#This Row],[Kaufpreis]]</f>
        <v>2.3831579133493545E-2</v>
      </c>
      <c r="K333" s="3">
        <f>aktuelleAnleihen[[#This Row],[Verkaufspreis]]-aktuelleAnleihen[[#This Row],[Kaufpreis]]+aktuelleAnleihen[[#This Row],[Zinszahlungen]]</f>
        <v>53.616417808219012</v>
      </c>
      <c r="L333" s="4">
        <v>2249.8054999999999</v>
      </c>
      <c r="M333" s="7">
        <v>1.0923</v>
      </c>
      <c r="N333" s="61">
        <v>1</v>
      </c>
      <c r="O333" s="1">
        <v>1</v>
      </c>
      <c r="P333" s="1" t="s">
        <v>925</v>
      </c>
      <c r="Q333" s="30">
        <v>45385</v>
      </c>
      <c r="R333" s="1">
        <v>2</v>
      </c>
      <c r="S333" s="1">
        <v>1000</v>
      </c>
      <c r="T333" s="9">
        <v>45266</v>
      </c>
      <c r="U333" s="1">
        <v>1</v>
      </c>
      <c r="V333" s="62">
        <f>aktuelleAnleihen[[#This Row],[Stückelung]]*aktuelleAnleihen[[#This Row],[Anteile]]*aktuelleAnleihen[[#This Row],[Coupon]]/aktuelleAnleihen[[#This Row],[Aktueller Wechselkurs]]*($AC$1-aktuelleAnleihen[[#This Row],[Letzte Zinszahlung]])/365</f>
        <v>100.82191780821918</v>
      </c>
      <c r="W333" s="4">
        <v>65.205500000000001</v>
      </c>
      <c r="X333" s="120" t="s">
        <v>80</v>
      </c>
      <c r="Y333" s="120" t="s">
        <v>61</v>
      </c>
      <c r="Z333" s="1" t="s">
        <v>234</v>
      </c>
      <c r="AA333" s="1" t="s">
        <v>235</v>
      </c>
      <c r="AB333" s="3">
        <f>SUMIF('Zinszahlungen Anleihen'!K:K,aktuelleAnleihen[[#This Row],[ISIN]],'Zinszahlungen Anleihen'!D:D)</f>
        <v>0</v>
      </c>
      <c r="AE333" s="9"/>
      <c r="AF333" s="1"/>
      <c r="AI333" s="3"/>
      <c r="AJ333" s="1"/>
      <c r="AM333" s="10"/>
      <c r="AN333" s="1"/>
      <c r="AP333" s="7"/>
      <c r="AQ333" s="1"/>
    </row>
    <row r="334" spans="1:43" x14ac:dyDescent="0.2">
      <c r="A334" s="1" t="s">
        <v>705</v>
      </c>
      <c r="B334" s="1" t="s">
        <v>11</v>
      </c>
      <c r="C334" s="7">
        <v>6.7500000000000004E-2</v>
      </c>
      <c r="D334" s="7">
        <v>1.07</v>
      </c>
      <c r="E334" s="7">
        <f>aktuelleAnleihen[[#This Row],[Aktueller Kurs]]-aktuelleAnleihen[[#This Row],[Kaufkurs]]</f>
        <v>9.000000000000119E-3</v>
      </c>
      <c r="F334" s="8">
        <f>aktuelleAnleihen[[#This Row],[Stückelung]]*aktuelleAnleihen[[#This Row],[Aktueller Kurs]]*aktuelleAnleihen[[#This Row],[Anteile]]/aktuelleAnleihen[[#This Row],[Aktueller Wechselkurs]]+aktuelleAnleihen[[#This Row],[Stückzinsen]]</f>
        <v>2194</v>
      </c>
      <c r="G334" s="8">
        <f>aktuelleAnleihen[[#This Row],[Kursdifferenz]]*aktuelleAnleihen[[#This Row],[Anteile]]*aktuelleAnleihen[[#This Row],[Stückelung]]/aktuelleAnleihen[[#This Row],[Wechselkurs am Kauftag]]</f>
        <v>18.000000000000238</v>
      </c>
      <c r="H334" s="8">
        <f>aktuelleAnleihen[[#This Row],[Stückzinsen]]-aktuelleAnleihen[[#This Row],[Stückzinsen am Kauftag]]+aktuelleAnleihen[[#This Row],[Zinszahlungen]]</f>
        <v>24.0411</v>
      </c>
      <c r="I334" s="8">
        <f>aktuelleAnleihen[[#This Row],[Gewinn gesamt]]-aktuelleAnleihen[[#This Row],[Gewinn aus Kursänderung]]-aktuelleAnleihen[[#This Row],[Gewinn aus Zinsen]]</f>
        <v>-3.2329694477084558E-13</v>
      </c>
      <c r="J334" s="7">
        <f>aktuelleAnleihen[[#This Row],[Gewinn gesamt]]/aktuelleAnleihen[[#This Row],[Kaufpreis]]</f>
        <v>1.9536200249921091E-2</v>
      </c>
      <c r="K334" s="3">
        <f>aktuelleAnleihen[[#This Row],[Verkaufspreis]]-aktuelleAnleihen[[#This Row],[Kaufpreis]]+aktuelleAnleihen[[#This Row],[Zinszahlungen]]</f>
        <v>42.041099999999915</v>
      </c>
      <c r="L334" s="4">
        <v>2151.9589000000001</v>
      </c>
      <c r="M334" s="7">
        <v>1.0609999999999999</v>
      </c>
      <c r="N334" s="61">
        <v>1</v>
      </c>
      <c r="O334" s="1">
        <v>1</v>
      </c>
      <c r="P334" s="1" t="s">
        <v>925</v>
      </c>
      <c r="Q334" s="30">
        <v>45385</v>
      </c>
      <c r="R334" s="1">
        <v>2</v>
      </c>
      <c r="S334" s="1">
        <v>1000</v>
      </c>
      <c r="T334" s="9">
        <v>45304</v>
      </c>
      <c r="U334" s="1">
        <v>1</v>
      </c>
      <c r="V334" s="62">
        <f>aktuelleAnleihen[[#This Row],[Stückelung]]*aktuelleAnleihen[[#This Row],[Anteile]]*aktuelleAnleihen[[#This Row],[Coupon]]/aktuelleAnleihen[[#This Row],[Aktueller Wechselkurs]]*($AC$1-aktuelleAnleihen[[#This Row],[Letzte Zinszahlung]])/365</f>
        <v>54</v>
      </c>
      <c r="W334" s="4">
        <v>29.9589</v>
      </c>
      <c r="X334" s="120" t="s">
        <v>56</v>
      </c>
      <c r="Y334" s="120" t="s">
        <v>81</v>
      </c>
      <c r="Z334" s="1" t="s">
        <v>706</v>
      </c>
      <c r="AA334" s="1" t="s">
        <v>707</v>
      </c>
      <c r="AB334" s="3">
        <f>SUMIF('Zinszahlungen Anleihen'!K:K,aktuelleAnleihen[[#This Row],[ISIN]],'Zinszahlungen Anleihen'!D:D)</f>
        <v>0</v>
      </c>
      <c r="AE334" s="9"/>
      <c r="AF334" s="1"/>
      <c r="AI334" s="3"/>
      <c r="AJ334" s="1"/>
      <c r="AM334" s="10"/>
      <c r="AN334" s="1"/>
      <c r="AP334" s="7"/>
      <c r="AQ334" s="1"/>
    </row>
    <row r="335" spans="1:43" x14ac:dyDescent="0.2">
      <c r="A335" s="1" t="s">
        <v>994</v>
      </c>
      <c r="B335" s="1" t="s">
        <v>11</v>
      </c>
      <c r="C335" s="7">
        <v>0.1225</v>
      </c>
      <c r="D335" s="7">
        <v>1.2969499999999998</v>
      </c>
      <c r="E335" s="7">
        <f>aktuelleAnleihen[[#This Row],[Aktueller Kurs]]-aktuelleAnleihen[[#This Row],[Kaufkurs]]</f>
        <v>9.7499999999999254E-3</v>
      </c>
      <c r="F335" s="8">
        <f>aktuelleAnleihen[[#This Row],[Stückelung]]*aktuelleAnleihen[[#This Row],[Aktueller Kurs]]*aktuelleAnleihen[[#This Row],[Anteile]]/aktuelleAnleihen[[#This Row],[Aktueller Wechselkurs]]+aktuelleAnleihen[[#This Row],[Stückzinsen]]</f>
        <v>2439.0089592638383</v>
      </c>
      <c r="G335" s="8">
        <f>aktuelleAnleihen[[#This Row],[Kursdifferenz]]*aktuelleAnleihen[[#This Row],[Anteile]]*aktuelleAnleihen[[#This Row],[Stückelung]]/aktuelleAnleihen[[#This Row],[Wechselkurs am Kauftag]]</f>
        <v>18.185209363051246</v>
      </c>
      <c r="H335" s="8">
        <f>aktuelleAnleihen[[#This Row],[Stückzinsen]]-aktuelleAnleihen[[#This Row],[Stückzinsen am Kauftag]]+aktuelleAnleihen[[#This Row],[Zinszahlungen]]</f>
        <v>22.889054516799725</v>
      </c>
      <c r="I335" s="8">
        <f>aktuelleAnleihen[[#This Row],[Gewinn gesamt]]-aktuelleAnleihen[[#This Row],[Gewinn aus Kursänderung]]-aktuelleAnleihen[[#This Row],[Gewinn aus Zinsen]]</f>
        <v>-37.314604616012645</v>
      </c>
      <c r="J335" s="7">
        <f>aktuelleAnleihen[[#This Row],[Gewinn gesamt]]/aktuelleAnleihen[[#This Row],[Kaufpreis]]</f>
        <v>1.5438498488997943E-3</v>
      </c>
      <c r="K335" s="3">
        <f>aktuelleAnleihen[[#This Row],[Verkaufspreis]]-aktuelleAnleihen[[#This Row],[Kaufpreis]]+aktuelleAnleihen[[#This Row],[Zinszahlungen]]</f>
        <v>3.7596592638383299</v>
      </c>
      <c r="L335" s="4">
        <v>2435.2492999999999</v>
      </c>
      <c r="M335" s="7">
        <v>1.2871999999999999</v>
      </c>
      <c r="N335" s="61">
        <v>1.0723</v>
      </c>
      <c r="O335" s="1">
        <v>1.0891</v>
      </c>
      <c r="P335" s="1" t="s">
        <v>887</v>
      </c>
      <c r="Q335" s="30">
        <v>45412</v>
      </c>
      <c r="R335" s="1">
        <v>2</v>
      </c>
      <c r="S335" s="1">
        <v>1000</v>
      </c>
      <c r="T335" s="9">
        <v>45357</v>
      </c>
      <c r="U335" s="1">
        <v>2</v>
      </c>
      <c r="V335" s="62">
        <f>aktuelleAnleihen[[#This Row],[Stückelung]]*aktuelleAnleihen[[#This Row],[Anteile]]*aktuelleAnleihen[[#This Row],[Coupon]]/aktuelleAnleihen[[#This Row],[Aktueller Wechselkurs]]*($AC$1-aktuelleAnleihen[[#This Row],[Letzte Zinszahlung]])/365</f>
        <v>57.317654516799728</v>
      </c>
      <c r="W335" s="4">
        <v>34.428600000000003</v>
      </c>
      <c r="X335" s="120" t="s">
        <v>995</v>
      </c>
      <c r="Y335" s="120" t="s">
        <v>39</v>
      </c>
      <c r="Z335" s="1" t="s">
        <v>996</v>
      </c>
      <c r="AA335" s="1" t="s">
        <v>997</v>
      </c>
      <c r="AB335" s="3">
        <f>SUMIF('Zinszahlungen Anleihen'!K:K,aktuelleAnleihen[[#This Row],[ISIN]],'Zinszahlungen Anleihen'!D:D)</f>
        <v>0</v>
      </c>
      <c r="AE335" s="9"/>
      <c r="AF335" s="1"/>
      <c r="AI335" s="3"/>
      <c r="AJ335" s="1"/>
      <c r="AM335" s="10"/>
      <c r="AN335" s="1"/>
      <c r="AP335" s="7"/>
      <c r="AQ335" s="1"/>
    </row>
    <row r="336" spans="1:43" x14ac:dyDescent="0.2">
      <c r="A336" s="1" t="s">
        <v>1273</v>
      </c>
      <c r="B336" s="1" t="s">
        <v>11</v>
      </c>
      <c r="C336" s="7">
        <v>8.2500000000000004E-2</v>
      </c>
      <c r="D336" s="7">
        <v>0.78700000000000003</v>
      </c>
      <c r="E336" s="7">
        <f>aktuelleAnleihen[[#This Row],[Aktueller Kurs]]-aktuelleAnleihen[[#This Row],[Kaufkurs]]</f>
        <v>9.8000000000000309E-3</v>
      </c>
      <c r="F336" s="8">
        <f>aktuelleAnleihen[[#This Row],[Stückelung]]*aktuelleAnleihen[[#This Row],[Aktueller Kurs]]*aktuelleAnleihen[[#This Row],[Anteile]]/aktuelleAnleihen[[#This Row],[Aktueller Wechselkurs]]+aktuelleAnleihen[[#This Row],[Stückzinsen]]</f>
        <v>1474.7001105600577</v>
      </c>
      <c r="G336" s="8">
        <f>aktuelleAnleihen[[#This Row],[Kursdifferenz]]*aktuelleAnleihen[[#This Row],[Anteile]]*aktuelleAnleihen[[#This Row],[Stückelung]]/aktuelleAnleihen[[#This Row],[Wechselkurs am Kauftag]]</f>
        <v>18.278466846964527</v>
      </c>
      <c r="H336" s="8">
        <f>aktuelleAnleihen[[#This Row],[Stückzinsen]]-aktuelleAnleihen[[#This Row],[Stückzinsen am Kauftag]]+aktuelleAnleihen[[#This Row],[Zinszahlungen]]</f>
        <v>15.55810413273244</v>
      </c>
      <c r="I336" s="8">
        <f>aktuelleAnleihen[[#This Row],[Gewinn gesamt]]-aktuelleAnleihen[[#This Row],[Gewinn aus Kursänderung]]-aktuelleAnleihen[[#This Row],[Gewinn aus Zinsen]]</f>
        <v>-22.642760419639238</v>
      </c>
      <c r="J336" s="7">
        <f>aktuelleAnleihen[[#This Row],[Gewinn gesamt]]/aktuelleAnleihen[[#This Row],[Kaufpreis]]</f>
        <v>7.6486247855972519E-3</v>
      </c>
      <c r="K336" s="3">
        <f>aktuelleAnleihen[[#This Row],[Verkaufspreis]]-aktuelleAnleihen[[#This Row],[Kaufpreis]]+aktuelleAnleihen[[#This Row],[Zinszahlungen]]</f>
        <v>11.193810560057727</v>
      </c>
      <c r="L336" s="4">
        <v>1463.5063</v>
      </c>
      <c r="M336" s="7">
        <v>0.7772</v>
      </c>
      <c r="N336" s="61">
        <v>1.0723</v>
      </c>
      <c r="O336" s="1">
        <v>1.0891</v>
      </c>
      <c r="P336" s="1" t="s">
        <v>887</v>
      </c>
      <c r="Q336" s="30">
        <v>45412</v>
      </c>
      <c r="R336" s="1">
        <v>2</v>
      </c>
      <c r="S336" s="1">
        <v>1000</v>
      </c>
      <c r="T336" s="9">
        <v>45379</v>
      </c>
      <c r="U336" s="1">
        <v>2</v>
      </c>
      <c r="V336" s="62">
        <f>aktuelleAnleihen[[#This Row],[Stückelung]]*aktuelleAnleihen[[#This Row],[Anteile]]*aktuelleAnleihen[[#This Row],[Coupon]]/aktuelleAnleihen[[#This Row],[Aktueller Wechselkurs]]*($AC$1-aktuelleAnleihen[[#This Row],[Letzte Zinszahlung]])/365</f>
        <v>29.470104132732441</v>
      </c>
      <c r="W336" s="4">
        <v>13.912000000000001</v>
      </c>
      <c r="X336" s="120" t="s">
        <v>1274</v>
      </c>
      <c r="Y336" s="120" t="s">
        <v>61</v>
      </c>
      <c r="Z336" s="1" t="s">
        <v>1485</v>
      </c>
      <c r="AA336" s="1" t="s">
        <v>1486</v>
      </c>
      <c r="AB336" s="3">
        <f>SUMIF('Zinszahlungen Anleihen'!K:K,aktuelleAnleihen[[#This Row],[ISIN]],'Zinszahlungen Anleihen'!D:D)</f>
        <v>0</v>
      </c>
      <c r="AE336" s="9"/>
      <c r="AF336" s="1"/>
      <c r="AI336" s="3"/>
      <c r="AJ336" s="1"/>
      <c r="AM336" s="10"/>
      <c r="AN336" s="1"/>
      <c r="AP336" s="7"/>
      <c r="AQ336" s="1"/>
    </row>
    <row r="337" spans="1:43" x14ac:dyDescent="0.2">
      <c r="A337" s="1" t="s">
        <v>1585</v>
      </c>
      <c r="B337" s="1" t="s">
        <v>11</v>
      </c>
      <c r="C337" s="7">
        <v>8.3750000000000005E-2</v>
      </c>
      <c r="D337" s="7">
        <v>0.95009999999999994</v>
      </c>
      <c r="E337" s="7">
        <f>aktuelleAnleihen[[#This Row],[Aktueller Kurs]]-aktuelleAnleihen[[#This Row],[Kaufkurs]]</f>
        <v>9.8999999999999089E-3</v>
      </c>
      <c r="F337" s="8">
        <f>aktuelleAnleihen[[#This Row],[Stückelung]]*aktuelleAnleihen[[#This Row],[Aktueller Kurs]]*aktuelleAnleihen[[#This Row],[Anteile]]/aktuelleAnleihen[[#This Row],[Aktueller Wechselkurs]]+aktuelleAnleihen[[#This Row],[Stückzinsen]]</f>
        <v>1771.7104609436219</v>
      </c>
      <c r="G337" s="8">
        <f>aktuelleAnleihen[[#This Row],[Kursdifferenz]]*aktuelleAnleihen[[#This Row],[Anteile]]*aktuelleAnleihen[[#This Row],[Stückelung]]/aktuelleAnleihen[[#This Row],[Wechselkurs am Kauftag]]</f>
        <v>18.46498181479047</v>
      </c>
      <c r="H337" s="8">
        <f>aktuelleAnleihen[[#This Row],[Stückzinsen]]-aktuelleAnleihen[[#This Row],[Stückzinsen am Kauftag]]+aktuelleAnleihen[[#This Row],[Zinszahlungen]]</f>
        <v>15.840094861535791</v>
      </c>
      <c r="I337" s="8">
        <f>aktuelleAnleihen[[#This Row],[Gewinn gesamt]]-aktuelleAnleihen[[#This Row],[Gewinn aus Kursänderung]]-aktuelleAnleihen[[#This Row],[Gewinn aus Zinsen]]</f>
        <v>-27.335415732704384</v>
      </c>
      <c r="J337" s="7">
        <f>aktuelleAnleihen[[#This Row],[Gewinn gesamt]]/aktuelleAnleihen[[#This Row],[Kaufpreis]]</f>
        <v>3.9493963893291722E-3</v>
      </c>
      <c r="K337" s="3">
        <f>aktuelleAnleihen[[#This Row],[Verkaufspreis]]-aktuelleAnleihen[[#This Row],[Kaufpreis]]+aktuelleAnleihen[[#This Row],[Zinszahlungen]]</f>
        <v>6.969660943621875</v>
      </c>
      <c r="L337" s="4">
        <v>1764.7408</v>
      </c>
      <c r="M337" s="7">
        <v>0.94020000000000004</v>
      </c>
      <c r="N337" s="61">
        <v>1.0723</v>
      </c>
      <c r="O337" s="1">
        <v>1.0891</v>
      </c>
      <c r="P337" s="1" t="s">
        <v>887</v>
      </c>
      <c r="Q337" s="30">
        <v>45412</v>
      </c>
      <c r="R337" s="1">
        <v>2</v>
      </c>
      <c r="S337" s="1">
        <v>1000</v>
      </c>
      <c r="T337" s="9">
        <v>45386</v>
      </c>
      <c r="U337" s="1">
        <v>2</v>
      </c>
      <c r="V337" s="62">
        <f>aktuelleAnleihen[[#This Row],[Stückelung]]*aktuelleAnleihen[[#This Row],[Anteile]]*aktuelleAnleihen[[#This Row],[Coupon]]/aktuelleAnleihen[[#This Row],[Aktueller Wechselkurs]]*($AC$1-aktuelleAnleihen[[#This Row],[Letzte Zinszahlung]])/365</f>
        <v>26.967094861535791</v>
      </c>
      <c r="W337" s="4">
        <v>11.127000000000001</v>
      </c>
      <c r="X337" s="120" t="s">
        <v>1586</v>
      </c>
      <c r="Y337" s="120" t="s">
        <v>39</v>
      </c>
      <c r="Z337" s="1" t="s">
        <v>1587</v>
      </c>
      <c r="AA337" s="1" t="s">
        <v>1588</v>
      </c>
      <c r="AB337" s="3">
        <f>SUMIF('Zinszahlungen Anleihen'!K:K,aktuelleAnleihen[[#This Row],[ISIN]],'Zinszahlungen Anleihen'!D:D)</f>
        <v>0</v>
      </c>
      <c r="AE337" s="9"/>
      <c r="AF337" s="1"/>
      <c r="AI337" s="3"/>
      <c r="AJ337" s="1"/>
      <c r="AM337" s="10"/>
      <c r="AN337" s="1"/>
      <c r="AP337" s="7"/>
      <c r="AQ337" s="1"/>
    </row>
    <row r="338" spans="1:43" x14ac:dyDescent="0.2">
      <c r="A338" s="1" t="s">
        <v>1438</v>
      </c>
      <c r="B338" s="1" t="s">
        <v>2</v>
      </c>
      <c r="C338" s="7">
        <v>8.5000000000000006E-2</v>
      </c>
      <c r="D338" s="7">
        <v>1.0610999999999999</v>
      </c>
      <c r="E338" s="7">
        <f>aktuelleAnleihen[[#This Row],[Aktueller Kurs]]-aktuelleAnleihen[[#This Row],[Kaufkurs]]</f>
        <v>9.9000000000000199E-3</v>
      </c>
      <c r="F338" s="8">
        <f>aktuelleAnleihen[[#This Row],[Stückelung]]*aktuelleAnleihen[[#This Row],[Aktueller Kurs]]*aktuelleAnleihen[[#This Row],[Anteile]]/aktuelleAnleihen[[#This Row],[Aktueller Wechselkurs]]+aktuelleAnleihen[[#This Row],[Stückzinsen]]</f>
        <v>1958.4173434644415</v>
      </c>
      <c r="G338" s="8">
        <f>aktuelleAnleihen[[#This Row],[Kursdifferenz]]*aktuelleAnleihen[[#This Row],[Anteile]]*aktuelleAnleihen[[#This Row],[Stückelung]]/aktuelleAnleihen[[#This Row],[Wechselkurs am Kauftag]]</f>
        <v>18.464981814790672</v>
      </c>
      <c r="H338" s="8">
        <f>aktuelleAnleihen[[#This Row],[Stückzinsen]]-aktuelleAnleihen[[#This Row],[Stückzinsen am Kauftag]]+aktuelleAnleihen[[#This Row],[Zinszahlungen]]</f>
        <v>15.879558922870672</v>
      </c>
      <c r="I338" s="8">
        <f>aktuelleAnleihen[[#This Row],[Gewinn gesamt]]-aktuelleAnleihen[[#This Row],[Gewinn aus Kursänderung]]-aktuelleAnleihen[[#This Row],[Gewinn aus Zinsen]]</f>
        <v>-30.528984330629552</v>
      </c>
      <c r="J338" s="7">
        <f>aktuelleAnleihen[[#This Row],[Gewinn gesamt]]/aktuelleAnleihen[[#This Row],[Kaufpreis]]</f>
        <v>1.8766430070502264E-3</v>
      </c>
      <c r="K338" s="3">
        <f>aktuelleAnleihen[[#This Row],[Verkaufspreis]]-aktuelleAnleihen[[#This Row],[Kaufpreis]]+aktuelleAnleihen[[#This Row],[Zinszahlungen]]</f>
        <v>3.8155564070317922</v>
      </c>
      <c r="L338" s="4">
        <v>2033.1818000000001</v>
      </c>
      <c r="M338" s="7">
        <v>1.0511999999999999</v>
      </c>
      <c r="N338" s="61">
        <v>1.0723</v>
      </c>
      <c r="O338" s="1">
        <v>1.0891</v>
      </c>
      <c r="P338" s="1" t="s">
        <v>887</v>
      </c>
      <c r="Q338" s="30">
        <v>45412</v>
      </c>
      <c r="R338" s="1">
        <v>2</v>
      </c>
      <c r="S338" s="1">
        <v>1000</v>
      </c>
      <c r="T338" s="9">
        <v>45427</v>
      </c>
      <c r="U338" s="1">
        <v>2</v>
      </c>
      <c r="V338" s="62">
        <f>aktuelleAnleihen[[#This Row],[Stückelung]]*aktuelleAnleihen[[#This Row],[Anteile]]*aktuelleAnleihen[[#This Row],[Coupon]]/aktuelleAnleihen[[#This Row],[Aktueller Wechselkurs]]*($AC$1-aktuelleAnleihen[[#This Row],[Letzte Zinszahlung]])/365</f>
        <v>9.8359459802803126</v>
      </c>
      <c r="W338" s="4">
        <v>72.5364</v>
      </c>
      <c r="X338" s="120" t="s">
        <v>1096</v>
      </c>
      <c r="Y338" s="120" t="s">
        <v>39</v>
      </c>
      <c r="Z338" s="1" t="s">
        <v>1439</v>
      </c>
      <c r="AA338" s="1" t="s">
        <v>1440</v>
      </c>
      <c r="AB338" s="3">
        <f>SUMIF('Zinszahlungen Anleihen'!K:K,aktuelleAnleihen[[#This Row],[ISIN]],'Zinszahlungen Anleihen'!D:D)</f>
        <v>78.580012942590358</v>
      </c>
      <c r="AE338" s="9"/>
      <c r="AF338" s="1"/>
      <c r="AI338" s="3"/>
      <c r="AJ338" s="1"/>
      <c r="AM338" s="10"/>
      <c r="AN338" s="1"/>
      <c r="AP338" s="7"/>
      <c r="AQ338" s="1"/>
    </row>
    <row r="339" spans="1:43" x14ac:dyDescent="0.2">
      <c r="A339" s="1" t="s">
        <v>1582</v>
      </c>
      <c r="B339" s="1" t="s">
        <v>0</v>
      </c>
      <c r="C339" s="7">
        <v>8.3750000000000005E-2</v>
      </c>
      <c r="D339" s="7">
        <v>1.0075000000000001</v>
      </c>
      <c r="E339" s="7">
        <f>aktuelleAnleihen[[#This Row],[Aktueller Kurs]]-aktuelleAnleihen[[#This Row],[Kaufkurs]]</f>
        <v>1.0000000000000009E-2</v>
      </c>
      <c r="F339" s="8">
        <f>aktuelleAnleihen[[#This Row],[Stückelung]]*aktuelleAnleihen[[#This Row],[Aktueller Kurs]]*aktuelleAnleihen[[#This Row],[Anteile]]/aktuelleAnleihen[[#This Row],[Aktueller Wechselkurs]]+aktuelleAnleihen[[#This Row],[Stückzinsen]]</f>
        <v>1872.9049875289768</v>
      </c>
      <c r="G339" s="8">
        <f>aktuelleAnleihen[[#This Row],[Kursdifferenz]]*aktuelleAnleihen[[#This Row],[Anteile]]*aktuelleAnleihen[[#This Row],[Stückelung]]/aktuelleAnleihen[[#This Row],[Wechselkurs am Kauftag]]</f>
        <v>18.651496782616821</v>
      </c>
      <c r="H339" s="8">
        <f>aktuelleAnleihen[[#This Row],[Stückzinsen]]-aktuelleAnleihen[[#This Row],[Stückzinsen am Kauftag]]+aktuelleAnleihen[[#This Row],[Zinszahlungen]]</f>
        <v>15.906086289420823</v>
      </c>
      <c r="I339" s="8">
        <f>aktuelleAnleihen[[#This Row],[Gewinn gesamt]]-aktuelleAnleihen[[#This Row],[Gewinn aus Kursänderung]]-aktuelleAnleihen[[#This Row],[Gewinn aus Zinsen]]</f>
        <v>-28.986795543060865</v>
      </c>
      <c r="J339" s="7">
        <f>aktuelleAnleihen[[#This Row],[Gewinn gesamt]]/aktuelleAnleihen[[#This Row],[Kaufpreis]]</f>
        <v>2.9832836184207302E-3</v>
      </c>
      <c r="K339" s="3">
        <f>aktuelleAnleihen[[#This Row],[Verkaufspreis]]-aktuelleAnleihen[[#This Row],[Kaufpreis]]+aktuelleAnleihen[[#This Row],[Zinszahlungen]]</f>
        <v>5.5707875289767799</v>
      </c>
      <c r="L339" s="4">
        <v>1867.3342</v>
      </c>
      <c r="M339" s="7">
        <v>0.99750000000000005</v>
      </c>
      <c r="N339" s="61">
        <v>1.0723</v>
      </c>
      <c r="O339" s="1">
        <v>1.0891</v>
      </c>
      <c r="P339" s="1" t="s">
        <v>887</v>
      </c>
      <c r="Q339" s="30">
        <v>45412</v>
      </c>
      <c r="R339" s="1">
        <v>2</v>
      </c>
      <c r="S339" s="1">
        <v>1000</v>
      </c>
      <c r="T339" s="9">
        <v>45396</v>
      </c>
      <c r="U339" s="1">
        <v>4</v>
      </c>
      <c r="V339" s="62">
        <f>aktuelleAnleihen[[#This Row],[Stückelung]]*aktuelleAnleihen[[#This Row],[Anteile]]*aktuelleAnleihen[[#This Row],[Coupon]]/aktuelleAnleihen[[#This Row],[Aktueller Wechselkurs]]*($AC$1-aktuelleAnleihen[[#This Row],[Letzte Zinszahlung]])/365</f>
        <v>22.753486289420824</v>
      </c>
      <c r="W339" s="4">
        <v>6.8474000000000004</v>
      </c>
      <c r="X339" s="120" t="s">
        <v>1020</v>
      </c>
      <c r="Y339" s="120" t="s">
        <v>1011</v>
      </c>
      <c r="Z339" s="1" t="s">
        <v>1583</v>
      </c>
      <c r="AA339" s="1" t="s">
        <v>1584</v>
      </c>
      <c r="AB339" s="3">
        <f>SUMIF('Zinszahlungen Anleihen'!K:K,aktuelleAnleihen[[#This Row],[ISIN]],'Zinszahlungen Anleihen'!D:D)</f>
        <v>0</v>
      </c>
      <c r="AE339" s="9"/>
      <c r="AF339" s="1"/>
      <c r="AI339" s="3"/>
      <c r="AJ339" s="1"/>
      <c r="AM339" s="10"/>
      <c r="AN339" s="1"/>
      <c r="AP339" s="7"/>
      <c r="AQ339" s="1"/>
    </row>
    <row r="340" spans="1:43" x14ac:dyDescent="0.2">
      <c r="A340" s="1" t="s">
        <v>1614</v>
      </c>
      <c r="B340" s="1" t="s">
        <v>1</v>
      </c>
      <c r="C340" s="7">
        <v>8.2500000000000004E-2</v>
      </c>
      <c r="D340" s="7">
        <v>1.0450999999999999</v>
      </c>
      <c r="E340" s="7">
        <f>aktuelleAnleihen[[#This Row],[Aktueller Kurs]]-aktuelleAnleihen[[#This Row],[Kaufkurs]]</f>
        <v>1.0099999999999998E-2</v>
      </c>
      <c r="F340" s="8">
        <f>aktuelleAnleihen[[#This Row],[Stückelung]]*aktuelleAnleihen[[#This Row],[Aktueller Kurs]]*aktuelleAnleihen[[#This Row],[Anteile]]/aktuelleAnleihen[[#This Row],[Aktueller Wechselkurs]]+aktuelleAnleihen[[#This Row],[Stückzinsen]]</f>
        <v>1941.1981490309327</v>
      </c>
      <c r="G340" s="8">
        <f>aktuelleAnleihen[[#This Row],[Kursdifferenz]]*aktuelleAnleihen[[#This Row],[Anteile]]*aktuelleAnleihen[[#This Row],[Stückelung]]/aktuelleAnleihen[[#This Row],[Wechselkurs am Kauftag]]</f>
        <v>18.83801175044297</v>
      </c>
      <c r="H340" s="8">
        <f>aktuelleAnleihen[[#This Row],[Stückzinsen]]-aktuelleAnleihen[[#This Row],[Stückzinsen am Kauftag]]+aktuelleAnleihen[[#This Row],[Zinszahlungen]]</f>
        <v>15.675210127250978</v>
      </c>
      <c r="I340" s="8">
        <f>aktuelleAnleihen[[#This Row],[Gewinn gesamt]]-aktuelleAnleihen[[#This Row],[Gewinn aus Kursänderung]]-aktuelleAnleihen[[#This Row],[Gewinn aus Zinsen]]</f>
        <v>-30.068572846761324</v>
      </c>
      <c r="J340" s="7">
        <f>aktuelleAnleihen[[#This Row],[Gewinn gesamt]]/aktuelleAnleihen[[#This Row],[Kaufpreis]]</f>
        <v>2.294896604515042E-3</v>
      </c>
      <c r="K340" s="3">
        <f>aktuelleAnleihen[[#This Row],[Verkaufspreis]]-aktuelleAnleihen[[#This Row],[Kaufpreis]]+aktuelleAnleihen[[#This Row],[Zinszahlungen]]</f>
        <v>4.4446490309326236</v>
      </c>
      <c r="L340" s="4">
        <v>1936.7535</v>
      </c>
      <c r="M340" s="7">
        <v>1.0349999999999999</v>
      </c>
      <c r="N340" s="61">
        <v>1.0723</v>
      </c>
      <c r="O340" s="1">
        <v>1.0891</v>
      </c>
      <c r="P340" s="1" t="s">
        <v>887</v>
      </c>
      <c r="Q340" s="30">
        <v>45412</v>
      </c>
      <c r="R340" s="1">
        <v>2</v>
      </c>
      <c r="S340" s="1">
        <v>1000</v>
      </c>
      <c r="T340" s="9">
        <v>45397</v>
      </c>
      <c r="U340" s="1">
        <v>2</v>
      </c>
      <c r="V340" s="62">
        <f>aktuelleAnleihen[[#This Row],[Stückelung]]*aktuelleAnleihen[[#This Row],[Anteile]]*aktuelleAnleihen[[#This Row],[Coupon]]/aktuelleAnleihen[[#This Row],[Aktueller Wechselkurs]]*($AC$1-aktuelleAnleihen[[#This Row],[Letzte Zinszahlung]])/365</f>
        <v>21.998810127250977</v>
      </c>
      <c r="W340" s="4">
        <v>6.3235999999999999</v>
      </c>
      <c r="X340" s="120" t="s">
        <v>276</v>
      </c>
      <c r="Y340" s="120" t="s">
        <v>61</v>
      </c>
      <c r="Z340" s="1" t="s">
        <v>1615</v>
      </c>
      <c r="AA340" s="1" t="s">
        <v>1616</v>
      </c>
      <c r="AB340" s="3">
        <f>SUMIF('Zinszahlungen Anleihen'!K:K,aktuelleAnleihen[[#This Row],[ISIN]],'Zinszahlungen Anleihen'!D:D)</f>
        <v>0</v>
      </c>
      <c r="AE340" s="9"/>
      <c r="AF340" s="1"/>
      <c r="AI340" s="3"/>
      <c r="AJ340" s="1"/>
      <c r="AM340" s="10"/>
      <c r="AN340" s="1"/>
      <c r="AP340" s="7"/>
      <c r="AQ340" s="1"/>
    </row>
    <row r="341" spans="1:43" x14ac:dyDescent="0.2">
      <c r="A341" s="1" t="s">
        <v>333</v>
      </c>
      <c r="B341" s="1" t="s">
        <v>0</v>
      </c>
      <c r="C341" s="7">
        <v>8.9009999999999992E-2</v>
      </c>
      <c r="D341" s="7">
        <v>1.012</v>
      </c>
      <c r="E341" s="7">
        <f>aktuelleAnleihen[[#This Row],[Aktueller Kurs]]-aktuelleAnleihen[[#This Row],[Kaufkurs]]</f>
        <v>9.7000000000000419E-3</v>
      </c>
      <c r="F341" s="8">
        <f>aktuelleAnleihen[[#This Row],[Stückelung]]*aktuelleAnleihen[[#This Row],[Aktueller Kurs]]*aktuelleAnleihen[[#This Row],[Anteile]]/aktuelleAnleihen[[#This Row],[Aktueller Wechselkurs]]+aktuelleAnleihen[[#This Row],[Stückzinsen]]</f>
        <v>2035.217698630137</v>
      </c>
      <c r="G341" s="8">
        <f>aktuelleAnleihen[[#This Row],[Kursdifferenz]]*aktuelleAnleihen[[#This Row],[Anteile]]*aktuelleAnleihen[[#This Row],[Stückelung]]/aktuelleAnleihen[[#This Row],[Wechselkurs am Kauftag]]</f>
        <v>19.400000000000084</v>
      </c>
      <c r="H341" s="8">
        <f>aktuelleAnleihen[[#This Row],[Stückzinsen]]-aktuelleAnleihen[[#This Row],[Stückzinsen am Kauftag]]+aktuelleAnleihen[[#This Row],[Zinszahlungen]]</f>
        <v>32.31189863013698</v>
      </c>
      <c r="I341" s="8">
        <f>aktuelleAnleihen[[#This Row],[Gewinn gesamt]]-aktuelleAnleihen[[#This Row],[Gewinn aus Kursänderung]]-aktuelleAnleihen[[#This Row],[Gewinn aus Zinsen]]</f>
        <v>-1.2079226507921703E-13</v>
      </c>
      <c r="J341" s="7">
        <f>aktuelleAnleihen[[#This Row],[Gewinn gesamt]]/aktuelleAnleihen[[#This Row],[Kaufpreis]]</f>
        <v>2.5498828028991238E-2</v>
      </c>
      <c r="K341" s="3">
        <f>aktuelleAnleihen[[#This Row],[Verkaufspreis]]-aktuelleAnleihen[[#This Row],[Kaufpreis]]+aktuelleAnleihen[[#This Row],[Zinszahlungen]]</f>
        <v>51.711898630136943</v>
      </c>
      <c r="L341" s="4">
        <v>2028.0108</v>
      </c>
      <c r="M341" s="7">
        <v>1.0023</v>
      </c>
      <c r="N341" s="61">
        <v>1</v>
      </c>
      <c r="O341" s="1">
        <v>1</v>
      </c>
      <c r="P341" s="1" t="s">
        <v>925</v>
      </c>
      <c r="Q341" s="30">
        <v>45385</v>
      </c>
      <c r="R341" s="1">
        <v>2</v>
      </c>
      <c r="S341" s="1">
        <v>1000</v>
      </c>
      <c r="T341" s="9">
        <v>45427</v>
      </c>
      <c r="U341" s="1">
        <v>4</v>
      </c>
      <c r="V341" s="62">
        <f>aktuelleAnleihen[[#This Row],[Stückelung]]*aktuelleAnleihen[[#This Row],[Anteile]]*aktuelleAnleihen[[#This Row],[Coupon]]/aktuelleAnleihen[[#This Row],[Aktueller Wechselkurs]]*($AC$1-aktuelleAnleihen[[#This Row],[Letzte Zinszahlung]])/365</f>
        <v>11.217698630136985</v>
      </c>
      <c r="W341" s="4">
        <v>23.410799999999998</v>
      </c>
      <c r="X341" s="120" t="s">
        <v>35</v>
      </c>
      <c r="Y341" s="120" t="s">
        <v>81</v>
      </c>
      <c r="Z341" s="1" t="s">
        <v>334</v>
      </c>
      <c r="AA341" s="1" t="s">
        <v>335</v>
      </c>
      <c r="AB341" s="3">
        <f>SUMIF('Zinszahlungen Anleihen'!K:K,aktuelleAnleihen[[#This Row],[ISIN]],'Zinszahlungen Anleihen'!D:D)</f>
        <v>44.504999999999995</v>
      </c>
      <c r="AE341" s="9"/>
      <c r="AF341" s="1"/>
      <c r="AI341" s="3"/>
      <c r="AJ341" s="1"/>
      <c r="AM341" s="10"/>
      <c r="AN341" s="1"/>
      <c r="AP341" s="7"/>
      <c r="AQ341" s="1"/>
    </row>
    <row r="342" spans="1:43" x14ac:dyDescent="0.2">
      <c r="A342" s="1" t="s">
        <v>1723</v>
      </c>
      <c r="B342" s="1" t="s">
        <v>0</v>
      </c>
      <c r="C342" s="7">
        <v>0.08</v>
      </c>
      <c r="D342" s="7">
        <v>1.0048999999999999</v>
      </c>
      <c r="E342" s="7">
        <f>aktuelleAnleihen[[#This Row],[Aktueller Kurs]]-aktuelleAnleihen[[#This Row],[Kaufkurs]]</f>
        <v>1.0499999999999954E-2</v>
      </c>
      <c r="F342" s="8">
        <f>aktuelleAnleihen[[#This Row],[Stückelung]]*aktuelleAnleihen[[#This Row],[Aktueller Kurs]]*aktuelleAnleihen[[#This Row],[Anteile]]/aktuelleAnleihen[[#This Row],[Aktueller Wechselkurs]]+aktuelleAnleihen[[#This Row],[Stückzinsen]]</f>
        <v>1873.1489994880776</v>
      </c>
      <c r="G342" s="8">
        <f>aktuelleAnleihen[[#This Row],[Kursdifferenz]]*aktuelleAnleihen[[#This Row],[Anteile]]*aktuelleAnleihen[[#This Row],[Stückelung]]/aktuelleAnleihen[[#This Row],[Wechselkurs am Kauftag]]</f>
        <v>19.584071621747558</v>
      </c>
      <c r="H342" s="8">
        <f>aktuelleAnleihen[[#This Row],[Stückzinsen]]-aktuelleAnleihen[[#This Row],[Stückzinsen am Kauftag]]+aktuelleAnleihen[[#This Row],[Zinszahlungen]]</f>
        <v>15.099282767850292</v>
      </c>
      <c r="I342" s="8">
        <f>aktuelleAnleihen[[#This Row],[Gewinn gesamt]]-aktuelleAnleihen[[#This Row],[Gewinn aus Kursänderung]]-aktuelleAnleihen[[#This Row],[Gewinn aus Zinsen]]</f>
        <v>-28.911954901520275</v>
      </c>
      <c r="J342" s="7">
        <f>aktuelleAnleihen[[#This Row],[Gewinn gesamt]]/aktuelleAnleihen[[#This Row],[Kaufpreis]]</f>
        <v>3.0906440604608178E-3</v>
      </c>
      <c r="K342" s="3">
        <f>aktuelleAnleihen[[#This Row],[Verkaufspreis]]-aktuelleAnleihen[[#This Row],[Kaufpreis]]+aktuelleAnleihen[[#This Row],[Zinszahlungen]]</f>
        <v>5.7713994880775772</v>
      </c>
      <c r="L342" s="4">
        <v>1867.3776</v>
      </c>
      <c r="M342" s="7">
        <v>0.99439999999999995</v>
      </c>
      <c r="N342" s="61">
        <v>1.0723</v>
      </c>
      <c r="O342" s="1">
        <v>1.0891</v>
      </c>
      <c r="P342" s="1" t="s">
        <v>887</v>
      </c>
      <c r="Q342" s="30">
        <v>45412</v>
      </c>
      <c r="R342" s="1">
        <v>2</v>
      </c>
      <c r="S342" s="1">
        <v>1000</v>
      </c>
      <c r="T342" s="9">
        <v>45381</v>
      </c>
      <c r="U342" s="1">
        <v>4</v>
      </c>
      <c r="V342" s="62">
        <f>aktuelleAnleihen[[#This Row],[Stückelung]]*aktuelleAnleihen[[#This Row],[Anteile]]*aktuelleAnleihen[[#This Row],[Coupon]]/aktuelleAnleihen[[#This Row],[Aktueller Wechselkurs]]*($AC$1-aktuelleAnleihen[[#This Row],[Letzte Zinszahlung]])/365</f>
        <v>27.772082767850293</v>
      </c>
      <c r="W342" s="4">
        <v>12.672800000000001</v>
      </c>
      <c r="X342" s="120" t="s">
        <v>65</v>
      </c>
      <c r="Y342" s="120" t="s">
        <v>61</v>
      </c>
      <c r="Z342" s="1" t="s">
        <v>1724</v>
      </c>
      <c r="AA342" s="1" t="s">
        <v>1725</v>
      </c>
      <c r="AB342" s="3">
        <f>SUMIF('Zinszahlungen Anleihen'!K:K,aktuelleAnleihen[[#This Row],[ISIN]],'Zinszahlungen Anleihen'!D:D)</f>
        <v>0</v>
      </c>
      <c r="AE342" s="9"/>
      <c r="AF342" s="1"/>
      <c r="AI342" s="3"/>
      <c r="AJ342" s="1"/>
      <c r="AM342" s="10"/>
      <c r="AN342" s="1"/>
      <c r="AP342" s="7"/>
      <c r="AQ342" s="1"/>
    </row>
    <row r="343" spans="1:43" x14ac:dyDescent="0.2">
      <c r="A343" s="1" t="s">
        <v>576</v>
      </c>
      <c r="B343" s="1" t="s">
        <v>6</v>
      </c>
      <c r="C343" s="7">
        <v>7.4999999999999997E-2</v>
      </c>
      <c r="D343" s="7">
        <v>1.0210999999999999</v>
      </c>
      <c r="E343" s="7">
        <f>aktuelleAnleihen[[#This Row],[Aktueller Kurs]]-aktuelleAnleihen[[#This Row],[Kaufkurs]]</f>
        <v>9.7999999999998089E-3</v>
      </c>
      <c r="F343" s="8">
        <f>aktuelleAnleihen[[#This Row],[Stückelung]]*aktuelleAnleihen[[#This Row],[Aktueller Kurs]]*aktuelleAnleihen[[#This Row],[Anteile]]/aktuelleAnleihen[[#This Row],[Aktueller Wechselkurs]]+aktuelleAnleihen[[#This Row],[Stückzinsen]]</f>
        <v>2057.8164383561643</v>
      </c>
      <c r="G343" s="8">
        <f>aktuelleAnleihen[[#This Row],[Kursdifferenz]]*aktuelleAnleihen[[#This Row],[Anteile]]*aktuelleAnleihen[[#This Row],[Stückelung]]/aktuelleAnleihen[[#This Row],[Wechselkurs am Kauftag]]</f>
        <v>19.599999999999618</v>
      </c>
      <c r="H343" s="8">
        <f>aktuelleAnleihen[[#This Row],[Stückzinsen]]-aktuelleAnleihen[[#This Row],[Stückzinsen am Kauftag]]+aktuelleAnleihen[[#This Row],[Zinszahlungen]]</f>
        <v>26.50683835616438</v>
      </c>
      <c r="I343" s="8">
        <f>aktuelleAnleihen[[#This Row],[Gewinn gesamt]]-aktuelleAnleihen[[#This Row],[Gewinn aus Kursänderung]]-aktuelleAnleihen[[#This Row],[Gewinn aus Zinsen]]</f>
        <v>1.9184653865522705E-13</v>
      </c>
      <c r="J343" s="7">
        <f>aktuelleAnleihen[[#This Row],[Gewinn gesamt]]/aktuelleAnleihen[[#This Row],[Kaufpreis]]</f>
        <v>2.2095474308530611E-2</v>
      </c>
      <c r="K343" s="3">
        <f>aktuelleAnleihen[[#This Row],[Verkaufspreis]]-aktuelleAnleihen[[#This Row],[Kaufpreis]]+aktuelleAnleihen[[#This Row],[Zinszahlungen]]</f>
        <v>46.106838356164189</v>
      </c>
      <c r="L343" s="4">
        <v>2086.7096000000001</v>
      </c>
      <c r="M343" s="7">
        <v>1.0113000000000001</v>
      </c>
      <c r="N343" s="61">
        <v>1</v>
      </c>
      <c r="O343" s="1">
        <v>1</v>
      </c>
      <c r="P343" s="1" t="s">
        <v>925</v>
      </c>
      <c r="Q343" s="30">
        <v>45385</v>
      </c>
      <c r="R343" s="1">
        <v>2</v>
      </c>
      <c r="S343" s="1">
        <v>1000</v>
      </c>
      <c r="T343" s="9">
        <v>45412</v>
      </c>
      <c r="U343" s="1">
        <v>2</v>
      </c>
      <c r="V343" s="62">
        <f>aktuelleAnleihen[[#This Row],[Stückelung]]*aktuelleAnleihen[[#This Row],[Anteile]]*aktuelleAnleihen[[#This Row],[Coupon]]/aktuelleAnleihen[[#This Row],[Aktueller Wechselkurs]]*($AC$1-aktuelleAnleihen[[#This Row],[Letzte Zinszahlung]])/365</f>
        <v>15.616438356164384</v>
      </c>
      <c r="W343" s="4">
        <v>64.1096</v>
      </c>
      <c r="X343" s="120" t="s">
        <v>56</v>
      </c>
      <c r="Y343" s="120" t="s">
        <v>39</v>
      </c>
      <c r="Z343" s="1" t="s">
        <v>577</v>
      </c>
      <c r="AA343" s="1" t="s">
        <v>578</v>
      </c>
      <c r="AB343" s="3">
        <f>SUMIF('Zinszahlungen Anleihen'!K:K,aktuelleAnleihen[[#This Row],[ISIN]],'Zinszahlungen Anleihen'!D:D)</f>
        <v>75</v>
      </c>
      <c r="AE343" s="9"/>
      <c r="AF343" s="1"/>
      <c r="AI343" s="3"/>
      <c r="AJ343" s="1"/>
      <c r="AM343" s="10"/>
      <c r="AN343" s="1"/>
      <c r="AP343" s="7"/>
      <c r="AQ343" s="1"/>
    </row>
    <row r="344" spans="1:43" x14ac:dyDescent="0.2">
      <c r="A344" s="1" t="s">
        <v>1385</v>
      </c>
      <c r="B344" s="1" t="s">
        <v>1</v>
      </c>
      <c r="C344" s="7">
        <v>8.7499999999999994E-2</v>
      </c>
      <c r="D344" s="7">
        <v>1.0666500000000001</v>
      </c>
      <c r="E344" s="7">
        <f>aktuelleAnleihen[[#This Row],[Aktueller Kurs]]-aktuelleAnleihen[[#This Row],[Kaufkurs]]</f>
        <v>1.0550000000000059E-2</v>
      </c>
      <c r="F344" s="8">
        <f>aktuelleAnleihen[[#This Row],[Stückelung]]*aktuelleAnleihen[[#This Row],[Aktueller Kurs]]*aktuelleAnleihen[[#This Row],[Anteile]]/aktuelleAnleihen[[#This Row],[Aktueller Wechselkurs]]+aktuelleAnleihen[[#This Row],[Stückzinsen]]</f>
        <v>1968.8985375633772</v>
      </c>
      <c r="G344" s="8">
        <f>aktuelleAnleihen[[#This Row],[Kursdifferenz]]*aktuelleAnleihen[[#This Row],[Anteile]]*aktuelleAnleihen[[#This Row],[Stückelung]]/aktuelleAnleihen[[#This Row],[Wechselkurs am Kauftag]]</f>
        <v>19.677329105660839</v>
      </c>
      <c r="H344" s="8">
        <f>aktuelleAnleihen[[#This Row],[Stückzinsen]]-aktuelleAnleihen[[#This Row],[Stückzinsen am Kauftag]]+aktuelleAnleihen[[#This Row],[Zinszahlungen]]</f>
        <v>16.346528302955093</v>
      </c>
      <c r="I344" s="8">
        <f>aktuelleAnleihen[[#This Row],[Gewinn gesamt]]-aktuelleAnleihen[[#This Row],[Gewinn aus Kursänderung]]-aktuelleAnleihen[[#This Row],[Gewinn aus Zinsen]]</f>
        <v>-30.688530051395794</v>
      </c>
      <c r="J344" s="7">
        <f>aktuelleAnleihen[[#This Row],[Gewinn gesamt]]/aktuelleAnleihen[[#This Row],[Kaufpreis]]</f>
        <v>2.6096582820434328E-3</v>
      </c>
      <c r="K344" s="3">
        <f>aktuelleAnleihen[[#This Row],[Verkaufspreis]]-aktuelleAnleihen[[#This Row],[Kaufpreis]]+aktuelleAnleihen[[#This Row],[Zinszahlungen]]</f>
        <v>5.3353273572201374</v>
      </c>
      <c r="L344" s="4">
        <v>2044.4544000000001</v>
      </c>
      <c r="M344" s="7">
        <v>1.0561</v>
      </c>
      <c r="N344" s="61">
        <v>1.0723</v>
      </c>
      <c r="O344" s="1">
        <v>1.0891</v>
      </c>
      <c r="P344" s="1" t="s">
        <v>887</v>
      </c>
      <c r="Q344" s="30">
        <v>45412</v>
      </c>
      <c r="R344" s="1">
        <v>2</v>
      </c>
      <c r="S344" s="1">
        <v>1000</v>
      </c>
      <c r="T344" s="9">
        <v>45427</v>
      </c>
      <c r="U344" s="1">
        <v>2</v>
      </c>
      <c r="V344" s="62">
        <f>aktuelleAnleihen[[#This Row],[Stückelung]]*aktuelleAnleihen[[#This Row],[Anteile]]*aktuelleAnleihen[[#This Row],[Coupon]]/aktuelleAnleihen[[#This Row],[Aktueller Wechselkurs]]*($AC$1-aktuelleAnleihen[[#This Row],[Letzte Zinszahlung]])/365</f>
        <v>10.125238509112085</v>
      </c>
      <c r="W344" s="4">
        <v>74.669899999999998</v>
      </c>
      <c r="X344" s="120" t="s">
        <v>1096</v>
      </c>
      <c r="Y344" s="120" t="s">
        <v>39</v>
      </c>
      <c r="Z344" s="1" t="s">
        <v>1386</v>
      </c>
      <c r="AA344" s="1" t="s">
        <v>1387</v>
      </c>
      <c r="AB344" s="3">
        <f>SUMIF('Zinszahlungen Anleihen'!K:K,aktuelleAnleihen[[#This Row],[ISIN]],'Zinszahlungen Anleihen'!D:D)</f>
        <v>80.891189793843012</v>
      </c>
      <c r="AE344" s="9"/>
      <c r="AF344" s="1"/>
      <c r="AI344" s="3"/>
      <c r="AJ344" s="1"/>
      <c r="AM344" s="10"/>
      <c r="AN344" s="1"/>
      <c r="AP344" s="7"/>
      <c r="AQ344" s="1"/>
    </row>
    <row r="345" spans="1:43" x14ac:dyDescent="0.2">
      <c r="A345" s="1" t="s">
        <v>1641</v>
      </c>
      <c r="B345" s="1" t="s">
        <v>1</v>
      </c>
      <c r="C345" s="7">
        <v>8.2500000000000004E-2</v>
      </c>
      <c r="D345" s="7">
        <v>0.63450000000000006</v>
      </c>
      <c r="E345" s="7">
        <f>aktuelleAnleihen[[#This Row],[Aktueller Kurs]]-aktuelleAnleihen[[#This Row],[Kaufkurs]]</f>
        <v>1.0600000000000054E-2</v>
      </c>
      <c r="F345" s="8">
        <f>aktuelleAnleihen[[#This Row],[Stückelung]]*aktuelleAnleihen[[#This Row],[Aktueller Kurs]]*aktuelleAnleihen[[#This Row],[Anteile]]/aktuelleAnleihen[[#This Row],[Aktueller Wechselkurs]]+aktuelleAnleihen[[#This Row],[Stückzinsen]]</f>
        <v>1227.4430439611447</v>
      </c>
      <c r="G345" s="8">
        <f>aktuelleAnleihen[[#This Row],[Kursdifferenz]]*aktuelleAnleihen[[#This Row],[Anteile]]*aktuelleAnleihen[[#This Row],[Stückelung]]/aktuelleAnleihen[[#This Row],[Wechselkurs am Kauftag]]</f>
        <v>19.770586589573913</v>
      </c>
      <c r="H345" s="8">
        <f>aktuelleAnleihen[[#This Row],[Stückzinsen]]-aktuelleAnleihen[[#This Row],[Stückzinsen am Kauftag]]+aktuelleAnleihen[[#This Row],[Zinszahlungen]]</f>
        <v>15.044383379012203</v>
      </c>
      <c r="I345" s="8">
        <f>aktuelleAnleihen[[#This Row],[Gewinn gesamt]]-aktuelleAnleihen[[#This Row],[Gewinn aus Kursänderung]]-aktuelleAnleihen[[#This Row],[Gewinn aus Zinsen]]</f>
        <v>-18.255226007441411</v>
      </c>
      <c r="J345" s="7">
        <f>aktuelleAnleihen[[#This Row],[Gewinn gesamt]]/aktuelleAnleihen[[#This Row],[Kaufpreis]]</f>
        <v>1.3675755509341574E-2</v>
      </c>
      <c r="K345" s="3">
        <f>aktuelleAnleihen[[#This Row],[Verkaufspreis]]-aktuelleAnleihen[[#This Row],[Kaufpreis]]+aktuelleAnleihen[[#This Row],[Zinszahlungen]]</f>
        <v>16.559743961144704</v>
      </c>
      <c r="L345" s="4">
        <v>1210.8833</v>
      </c>
      <c r="M345" s="7">
        <v>0.62390000000000001</v>
      </c>
      <c r="N345" s="61">
        <v>1.0723</v>
      </c>
      <c r="O345" s="1">
        <v>1.0891</v>
      </c>
      <c r="P345" s="1" t="s">
        <v>887</v>
      </c>
      <c r="Q345" s="30">
        <v>45412</v>
      </c>
      <c r="R345" s="1">
        <v>2</v>
      </c>
      <c r="S345" s="1">
        <v>1000</v>
      </c>
      <c r="T345" s="9">
        <v>45300</v>
      </c>
      <c r="U345" s="1">
        <v>2</v>
      </c>
      <c r="V345" s="62">
        <f>aktuelleAnleihen[[#This Row],[Stückelung]]*aktuelleAnleihen[[#This Row],[Anteile]]*aktuelleAnleihen[[#This Row],[Coupon]]/aktuelleAnleihen[[#This Row],[Aktueller Wechselkurs]]*($AC$1-aktuelleAnleihen[[#This Row],[Letzte Zinszahlung]])/365</f>
        <v>62.260783379012203</v>
      </c>
      <c r="W345" s="4">
        <v>47.2164</v>
      </c>
      <c r="X345" s="120" t="s">
        <v>65</v>
      </c>
      <c r="Y345" s="120" t="s">
        <v>39</v>
      </c>
      <c r="Z345" s="1" t="s">
        <v>1642</v>
      </c>
      <c r="AA345" s="1" t="s">
        <v>1643</v>
      </c>
      <c r="AB345" s="3">
        <f>SUMIF('Zinszahlungen Anleihen'!K:K,aktuelleAnleihen[[#This Row],[ISIN]],'Zinszahlungen Anleihen'!D:D)</f>
        <v>0</v>
      </c>
      <c r="AE345" s="9"/>
      <c r="AF345" s="1"/>
      <c r="AI345" s="3"/>
      <c r="AJ345" s="1"/>
      <c r="AM345" s="10"/>
      <c r="AN345" s="1"/>
      <c r="AP345" s="7"/>
      <c r="AQ345" s="1"/>
    </row>
    <row r="346" spans="1:43" x14ac:dyDescent="0.2">
      <c r="A346" s="1" t="s">
        <v>423</v>
      </c>
      <c r="B346" s="1" t="s">
        <v>8</v>
      </c>
      <c r="C346" s="7">
        <v>8.134000000000001E-2</v>
      </c>
      <c r="D346" s="7">
        <v>1.008</v>
      </c>
      <c r="E346" s="7">
        <f>aktuelleAnleihen[[#This Row],[Aktueller Kurs]]-aktuelleAnleihen[[#This Row],[Kaufkurs]]</f>
        <v>1.0000000000000009E-2</v>
      </c>
      <c r="F346" s="8">
        <f>aktuelleAnleihen[[#This Row],[Stückelung]]*aktuelleAnleihen[[#This Row],[Aktueller Kurs]]*aktuelleAnleihen[[#This Row],[Anteile]]/aktuelleAnleihen[[#This Row],[Aktueller Wechselkurs]]+aktuelleAnleihen[[#This Row],[Stückzinsen]]</f>
        <v>2026.2510684931508</v>
      </c>
      <c r="G346" s="8">
        <f>aktuelleAnleihen[[#This Row],[Kursdifferenz]]*aktuelleAnleihen[[#This Row],[Anteile]]*aktuelleAnleihen[[#This Row],[Stückelung]]/aktuelleAnleihen[[#This Row],[Wechselkurs am Kauftag]]</f>
        <v>20.000000000000018</v>
      </c>
      <c r="H346" s="8">
        <f>aktuelleAnleihen[[#This Row],[Stückzinsen]]-aktuelleAnleihen[[#This Row],[Stückzinsen am Kauftag]]+aktuelleAnleihen[[#This Row],[Zinszahlungen]]</f>
        <v>29.527568493150689</v>
      </c>
      <c r="I346" s="8">
        <f>aktuelleAnleihen[[#This Row],[Gewinn gesamt]]-aktuelleAnleihen[[#This Row],[Gewinn aus Kursänderung]]-aktuelleAnleihen[[#This Row],[Gewinn aus Zinsen]]</f>
        <v>1.8829382497642655E-13</v>
      </c>
      <c r="J346" s="7">
        <f>aktuelleAnleihen[[#This Row],[Gewinn gesamt]]/aktuelleAnleihen[[#This Row],[Kaufpreis]]</f>
        <v>2.455027662830821E-2</v>
      </c>
      <c r="K346" s="3">
        <f>aktuelleAnleihen[[#This Row],[Verkaufspreis]]-aktuelleAnleihen[[#This Row],[Kaufpreis]]+aktuelleAnleihen[[#This Row],[Zinszahlungen]]</f>
        <v>49.527568493150895</v>
      </c>
      <c r="L346" s="4">
        <v>2017.3934999999999</v>
      </c>
      <c r="M346" s="7">
        <v>0.998</v>
      </c>
      <c r="N346" s="61">
        <v>1</v>
      </c>
      <c r="O346" s="1">
        <v>1</v>
      </c>
      <c r="P346" s="1" t="s">
        <v>925</v>
      </c>
      <c r="Q346" s="30">
        <v>45385</v>
      </c>
      <c r="R346" s="1">
        <v>2</v>
      </c>
      <c r="S346" s="1">
        <v>1000</v>
      </c>
      <c r="T346" s="9">
        <v>45427</v>
      </c>
      <c r="U346" s="1">
        <v>4</v>
      </c>
      <c r="V346" s="62">
        <f>aktuelleAnleihen[[#This Row],[Stückelung]]*aktuelleAnleihen[[#This Row],[Anteile]]*aktuelleAnleihen[[#This Row],[Coupon]]/aktuelleAnleihen[[#This Row],[Aktueller Wechselkurs]]*($AC$1-aktuelleAnleihen[[#This Row],[Letzte Zinszahlung]])/365</f>
        <v>10.251068493150687</v>
      </c>
      <c r="W346" s="4">
        <v>21.3935</v>
      </c>
      <c r="X346" s="120" t="s">
        <v>51</v>
      </c>
      <c r="Y346" s="120" t="s">
        <v>39</v>
      </c>
      <c r="Z346" s="1" t="s">
        <v>424</v>
      </c>
      <c r="AA346" s="1" t="s">
        <v>425</v>
      </c>
      <c r="AB346" s="3">
        <f>SUMIF('Zinszahlungen Anleihen'!K:K,aktuelleAnleihen[[#This Row],[ISIN]],'Zinszahlungen Anleihen'!D:D)</f>
        <v>40.67</v>
      </c>
      <c r="AE346" s="9"/>
      <c r="AF346" s="1"/>
      <c r="AI346" s="3"/>
      <c r="AJ346" s="1"/>
      <c r="AM346" s="10"/>
      <c r="AN346" s="1"/>
      <c r="AP346" s="7"/>
      <c r="AQ346" s="1"/>
    </row>
    <row r="347" spans="1:43" x14ac:dyDescent="0.2">
      <c r="A347" s="1" t="s">
        <v>311</v>
      </c>
      <c r="B347" s="1" t="s">
        <v>5</v>
      </c>
      <c r="C347" s="7">
        <v>9.1899999999999996E-2</v>
      </c>
      <c r="D347" s="7">
        <v>0.97430000000000005</v>
      </c>
      <c r="E347" s="7">
        <f>aktuelleAnleihen[[#This Row],[Aktueller Kurs]]-aktuelleAnleihen[[#This Row],[Kaufkurs]]</f>
        <v>1.0000000000000009E-2</v>
      </c>
      <c r="F347" s="8">
        <f>aktuelleAnleihen[[#This Row],[Stückelung]]*aktuelleAnleihen[[#This Row],[Aktueller Kurs]]*aktuelleAnleihen[[#This Row],[Anteile]]/aktuelleAnleihen[[#This Row],[Aktueller Wechselkurs]]+aktuelleAnleihen[[#This Row],[Stückzinsen]]</f>
        <v>1990.8991780821918</v>
      </c>
      <c r="G347" s="8">
        <f>aktuelleAnleihen[[#This Row],[Kursdifferenz]]*aktuelleAnleihen[[#This Row],[Anteile]]*aktuelleAnleihen[[#This Row],[Stückelung]]/aktuelleAnleihen[[#This Row],[Wechselkurs am Kauftag]]</f>
        <v>20.000000000000018</v>
      </c>
      <c r="H347" s="8">
        <f>aktuelleAnleihen[[#This Row],[Stückzinsen]]-aktuelleAnleihen[[#This Row],[Stückzinsen am Kauftag]]+aktuelleAnleihen[[#This Row],[Zinszahlungen]]</f>
        <v>32.731478082191778</v>
      </c>
      <c r="I347" s="8">
        <f>aktuelleAnleihen[[#This Row],[Gewinn gesamt]]-aktuelleAnleihen[[#This Row],[Gewinn aus Kursänderung]]-aktuelleAnleihen[[#This Row],[Gewinn aus Zinsen]]</f>
        <v>7.815970093361102E-14</v>
      </c>
      <c r="J347" s="7">
        <f>aktuelleAnleihen[[#This Row],[Gewinn gesamt]]/aktuelleAnleihen[[#This Row],[Kaufpreis]]</f>
        <v>2.7206870737858168E-2</v>
      </c>
      <c r="K347" s="3">
        <f>aktuelleAnleihen[[#This Row],[Verkaufspreis]]-aktuelleAnleihen[[#This Row],[Kaufpreis]]+aktuelleAnleihen[[#This Row],[Zinszahlungen]]</f>
        <v>52.73147808219187</v>
      </c>
      <c r="L347" s="4">
        <v>1938.1677</v>
      </c>
      <c r="M347" s="7">
        <v>0.96430000000000005</v>
      </c>
      <c r="N347" s="61">
        <v>1</v>
      </c>
      <c r="O347" s="1">
        <v>1</v>
      </c>
      <c r="P347" s="1" t="s">
        <v>925</v>
      </c>
      <c r="Q347" s="30">
        <v>45385</v>
      </c>
      <c r="R347" s="1">
        <v>2</v>
      </c>
      <c r="S347" s="1">
        <v>1000</v>
      </c>
      <c r="T347" s="9">
        <v>45366</v>
      </c>
      <c r="U347" s="1">
        <v>4</v>
      </c>
      <c r="V347" s="62">
        <f>aktuelleAnleihen[[#This Row],[Stückelung]]*aktuelleAnleihen[[#This Row],[Anteile]]*aktuelleAnleihen[[#This Row],[Coupon]]/aktuelleAnleihen[[#This Row],[Aktueller Wechselkurs]]*($AC$1-aktuelleAnleihen[[#This Row],[Letzte Zinszahlung]])/365</f>
        <v>42.29917808219178</v>
      </c>
      <c r="W347" s="4">
        <v>9.5677000000000003</v>
      </c>
      <c r="X347" s="120" t="s">
        <v>170</v>
      </c>
      <c r="Y347" s="120" t="s">
        <v>57</v>
      </c>
      <c r="Z347" s="1" t="s">
        <v>312</v>
      </c>
      <c r="AA347" s="1" t="s">
        <v>313</v>
      </c>
      <c r="AB347" s="3">
        <f>SUMIF('Zinszahlungen Anleihen'!K:K,aktuelleAnleihen[[#This Row],[ISIN]],'Zinszahlungen Anleihen'!D:D)</f>
        <v>0</v>
      </c>
      <c r="AE347" s="9"/>
      <c r="AF347" s="1"/>
      <c r="AI347" s="3"/>
      <c r="AJ347" s="1"/>
      <c r="AM347" s="10"/>
      <c r="AN347" s="1"/>
      <c r="AP347" s="7"/>
      <c r="AQ347" s="1"/>
    </row>
    <row r="348" spans="1:43" x14ac:dyDescent="0.2">
      <c r="A348" s="1" t="s">
        <v>200</v>
      </c>
      <c r="B348" s="1" t="s">
        <v>0</v>
      </c>
      <c r="C348" s="7">
        <v>0.10702</v>
      </c>
      <c r="D348" s="7">
        <v>1.01</v>
      </c>
      <c r="E348" s="7">
        <f>aktuelleAnleihen[[#This Row],[Aktueller Kurs]]-aktuelleAnleihen[[#This Row],[Kaufkurs]]</f>
        <v>1.0000000000000009E-2</v>
      </c>
      <c r="F348" s="8">
        <f>aktuelleAnleihen[[#This Row],[Stückelung]]*aktuelleAnleihen[[#This Row],[Aktueller Kurs]]*aktuelleAnleihen[[#This Row],[Anteile]]/aktuelleAnleihen[[#This Row],[Aktueller Wechselkurs]]+aktuelleAnleihen[[#This Row],[Stückzinsen]]</f>
        <v>2025.8641095890412</v>
      </c>
      <c r="G348" s="8">
        <f>aktuelleAnleihen[[#This Row],[Kursdifferenz]]*aktuelleAnleihen[[#This Row],[Anteile]]*aktuelleAnleihen[[#This Row],[Stückelung]]/aktuelleAnleihen[[#This Row],[Wechselkurs am Kauftag]]</f>
        <v>20.000000000000018</v>
      </c>
      <c r="H348" s="8">
        <f>aktuelleAnleihen[[#This Row],[Stückzinsen]]-aktuelleAnleihen[[#This Row],[Stückzinsen am Kauftag]]+aktuelleAnleihen[[#This Row],[Zinszahlungen]]</f>
        <v>38.849709589041098</v>
      </c>
      <c r="I348" s="8">
        <f>aktuelleAnleihen[[#This Row],[Gewinn gesamt]]-aktuelleAnleihen[[#This Row],[Gewinn aus Kursänderung]]-aktuelleAnleihen[[#This Row],[Gewinn aus Zinsen]]</f>
        <v>0</v>
      </c>
      <c r="J348" s="7">
        <f>aktuelleAnleihen[[#This Row],[Gewinn gesamt]]/aktuelleAnleihen[[#This Row],[Kaufpreis]]</f>
        <v>2.9125958384388306E-2</v>
      </c>
      <c r="K348" s="3">
        <f>aktuelleAnleihen[[#This Row],[Verkaufspreis]]-aktuelleAnleihen[[#This Row],[Kaufpreis]]+aktuelleAnleihen[[#This Row],[Zinszahlungen]]</f>
        <v>58.849709589041154</v>
      </c>
      <c r="L348" s="4">
        <v>2020.5244</v>
      </c>
      <c r="M348" s="7">
        <v>1</v>
      </c>
      <c r="N348" s="61">
        <v>1</v>
      </c>
      <c r="O348" s="1">
        <v>1</v>
      </c>
      <c r="P348" s="1" t="s">
        <v>925</v>
      </c>
      <c r="Q348" s="30">
        <v>45385</v>
      </c>
      <c r="R348" s="1">
        <v>2</v>
      </c>
      <c r="S348" s="1">
        <v>1000</v>
      </c>
      <c r="T348" s="9">
        <v>45440</v>
      </c>
      <c r="U348" s="1">
        <v>4</v>
      </c>
      <c r="V348" s="62">
        <f>aktuelleAnleihen[[#This Row],[Stückelung]]*aktuelleAnleihen[[#This Row],[Anteile]]*aktuelleAnleihen[[#This Row],[Coupon]]/aktuelleAnleihen[[#This Row],[Aktueller Wechselkurs]]*($AC$1-aktuelleAnleihen[[#This Row],[Letzte Zinszahlung]])/365</f>
        <v>5.8641095890410959</v>
      </c>
      <c r="W348" s="4">
        <v>20.5244</v>
      </c>
      <c r="X348" s="120" t="s">
        <v>35</v>
      </c>
      <c r="Y348" s="120" t="s">
        <v>57</v>
      </c>
      <c r="Z348" s="1" t="s">
        <v>201</v>
      </c>
      <c r="AA348" s="1" t="s">
        <v>202</v>
      </c>
      <c r="AB348" s="3">
        <f>SUMIF('Zinszahlungen Anleihen'!K:K,aktuelleAnleihen[[#This Row],[ISIN]],'Zinszahlungen Anleihen'!D:D)</f>
        <v>53.510000000000005</v>
      </c>
      <c r="AE348" s="9"/>
      <c r="AF348" s="1"/>
      <c r="AI348" s="3"/>
      <c r="AJ348" s="1"/>
      <c r="AM348" s="10"/>
      <c r="AN348" s="1"/>
      <c r="AP348" s="7"/>
      <c r="AQ348" s="1"/>
    </row>
    <row r="349" spans="1:43" x14ac:dyDescent="0.2">
      <c r="A349" s="1" t="s">
        <v>495</v>
      </c>
      <c r="B349" s="1" t="s">
        <v>6</v>
      </c>
      <c r="C349" s="7">
        <v>7.8750000000000001E-2</v>
      </c>
      <c r="D349" s="7">
        <v>1.0502100000000001</v>
      </c>
      <c r="E349" s="7">
        <f>aktuelleAnleihen[[#This Row],[Aktueller Kurs]]-aktuelleAnleihen[[#This Row],[Kaufkurs]]</f>
        <v>1.0210000000000052E-2</v>
      </c>
      <c r="F349" s="8">
        <f>aktuelleAnleihen[[#This Row],[Stückelung]]*aktuelleAnleihen[[#This Row],[Aktueller Kurs]]*aktuelleAnleihen[[#This Row],[Anteile]]/aktuelleAnleihen[[#This Row],[Aktueller Wechselkurs]]+aktuelleAnleihen[[#This Row],[Stückzinsen]]</f>
        <v>2175.9336986301369</v>
      </c>
      <c r="G349" s="8">
        <f>aktuelleAnleihen[[#This Row],[Kursdifferenz]]*aktuelleAnleihen[[#This Row],[Anteile]]*aktuelleAnleihen[[#This Row],[Stückelung]]/aktuelleAnleihen[[#This Row],[Wechselkurs am Kauftag]]</f>
        <v>20.420000000000105</v>
      </c>
      <c r="H349" s="8">
        <f>aktuelleAnleihen[[#This Row],[Stückzinsen]]-aktuelleAnleihen[[#This Row],[Stückzinsen am Kauftag]]+aktuelleAnleihen[[#This Row],[Zinszahlungen]]</f>
        <v>28.047898630136984</v>
      </c>
      <c r="I349" s="8">
        <f>aktuelleAnleihen[[#This Row],[Gewinn gesamt]]-aktuelleAnleihen[[#This Row],[Gewinn aus Kursänderung]]-aktuelleAnleihen[[#This Row],[Gewinn aus Zinsen]]</f>
        <v>-1.7408297026122455E-13</v>
      </c>
      <c r="J349" s="7">
        <f>aktuelleAnleihen[[#This Row],[Gewinn gesamt]]/aktuelleAnleihen[[#This Row],[Kaufpreis]]</f>
        <v>2.2781987202866866E-2</v>
      </c>
      <c r="K349" s="3">
        <f>aktuelleAnleihen[[#This Row],[Verkaufspreis]]-aktuelleAnleihen[[#This Row],[Kaufpreis]]+aktuelleAnleihen[[#This Row],[Zinszahlungen]]</f>
        <v>48.467898630136915</v>
      </c>
      <c r="L349" s="4">
        <v>2127.4657999999999</v>
      </c>
      <c r="M349" s="7">
        <v>1.04</v>
      </c>
      <c r="N349" s="61">
        <v>1</v>
      </c>
      <c r="O349" s="1">
        <v>1</v>
      </c>
      <c r="P349" s="1" t="s">
        <v>925</v>
      </c>
      <c r="Q349" s="30">
        <v>45385</v>
      </c>
      <c r="R349" s="1">
        <v>2</v>
      </c>
      <c r="S349" s="1">
        <v>1000</v>
      </c>
      <c r="T349" s="9">
        <v>45275</v>
      </c>
      <c r="U349" s="1">
        <v>2</v>
      </c>
      <c r="V349" s="62">
        <f>aktuelleAnleihen[[#This Row],[Stückelung]]*aktuelleAnleihen[[#This Row],[Anteile]]*aktuelleAnleihen[[#This Row],[Coupon]]/aktuelleAnleihen[[#This Row],[Aktueller Wechselkurs]]*($AC$1-aktuelleAnleihen[[#This Row],[Letzte Zinszahlung]])/365</f>
        <v>75.513698630136986</v>
      </c>
      <c r="W349" s="4">
        <v>47.465800000000002</v>
      </c>
      <c r="X349" s="120" t="s">
        <v>35</v>
      </c>
      <c r="Y349" s="120" t="s">
        <v>52</v>
      </c>
      <c r="Z349" s="1" t="s">
        <v>496</v>
      </c>
      <c r="AA349" s="1" t="s">
        <v>497</v>
      </c>
      <c r="AB349" s="3">
        <f>SUMIF('Zinszahlungen Anleihen'!K:K,aktuelleAnleihen[[#This Row],[ISIN]],'Zinszahlungen Anleihen'!D:D)</f>
        <v>0</v>
      </c>
      <c r="AE349" s="9"/>
      <c r="AF349" s="1"/>
      <c r="AI349" s="3"/>
      <c r="AJ349" s="1"/>
      <c r="AM349" s="10"/>
      <c r="AN349" s="1"/>
      <c r="AP349" s="7"/>
      <c r="AQ349" s="1"/>
    </row>
    <row r="350" spans="1:43" x14ac:dyDescent="0.2">
      <c r="A350" s="1" t="s">
        <v>983</v>
      </c>
      <c r="B350" s="1" t="s">
        <v>0</v>
      </c>
      <c r="C350" s="7">
        <v>0.08</v>
      </c>
      <c r="D350" s="7">
        <v>1.0407900000000001</v>
      </c>
      <c r="E350" s="7">
        <f>aktuelleAnleihen[[#This Row],[Aktueller Kurs]]-aktuelleAnleihen[[#This Row],[Kaufkurs]]</f>
        <v>1.0990000000000055E-2</v>
      </c>
      <c r="F350" s="8">
        <f>aktuelleAnleihen[[#This Row],[Stückelung]]*aktuelleAnleihen[[#This Row],[Aktueller Kurs]]*aktuelleAnleihen[[#This Row],[Anteile]]/aktuelleAnleihen[[#This Row],[Aktueller Wechselkurs]]+aktuelleAnleihen[[#This Row],[Stückzinsen]]</f>
        <v>1948.3139905640328</v>
      </c>
      <c r="G350" s="8">
        <f>aktuelleAnleihen[[#This Row],[Kursdifferenz]]*aktuelleAnleihen[[#This Row],[Anteile]]*aktuelleAnleihen[[#This Row],[Stückelung]]/aktuelleAnleihen[[#This Row],[Wechselkurs am Kauftag]]</f>
        <v>20.49799496409597</v>
      </c>
      <c r="H350" s="8">
        <f>aktuelleAnleihen[[#This Row],[Stückzinsen]]-aktuelleAnleihen[[#This Row],[Stückzinsen am Kauftag]]+aktuelleAnleihen[[#This Row],[Zinszahlungen]]</f>
        <v>14.954243690467063</v>
      </c>
      <c r="I350" s="8">
        <f>aktuelleAnleihen[[#This Row],[Gewinn gesamt]]-aktuelleAnleihen[[#This Row],[Gewinn aus Kursänderung]]-aktuelleAnleihen[[#This Row],[Gewinn aus Zinsen]]</f>
        <v>-29.944548090530205</v>
      </c>
      <c r="J350" s="7">
        <f>aktuelleAnleihen[[#This Row],[Gewinn gesamt]]/aktuelleAnleihen[[#This Row],[Kaufpreis]]</f>
        <v>2.8349149187095121E-3</v>
      </c>
      <c r="K350" s="3">
        <f>aktuelleAnleihen[[#This Row],[Verkaufspreis]]-aktuelleAnleihen[[#This Row],[Kaufpreis]]+aktuelleAnleihen[[#This Row],[Zinszahlungen]]</f>
        <v>5.5076905640328278</v>
      </c>
      <c r="L350" s="4">
        <v>1942.8063</v>
      </c>
      <c r="M350" s="7">
        <v>1.0298</v>
      </c>
      <c r="N350" s="61">
        <v>1.0723</v>
      </c>
      <c r="O350" s="1">
        <v>1.0891</v>
      </c>
      <c r="P350" s="1" t="s">
        <v>887</v>
      </c>
      <c r="Q350" s="30">
        <v>45412</v>
      </c>
      <c r="R350" s="1">
        <v>2</v>
      </c>
      <c r="S350" s="1">
        <v>1000</v>
      </c>
      <c r="T350" s="9">
        <v>45358</v>
      </c>
      <c r="U350" s="1">
        <v>2</v>
      </c>
      <c r="V350" s="62">
        <f>aktuelleAnleihen[[#This Row],[Stückelung]]*aktuelleAnleihen[[#This Row],[Anteile]]*aktuelleAnleihen[[#This Row],[Coupon]]/aktuelleAnleihen[[#This Row],[Aktueller Wechselkurs]]*($AC$1-aktuelleAnleihen[[#This Row],[Letzte Zinszahlung]])/365</f>
        <v>37.029443690467062</v>
      </c>
      <c r="W350" s="4">
        <v>22.075199999999999</v>
      </c>
      <c r="X350" s="120" t="s">
        <v>65</v>
      </c>
      <c r="Y350" s="120" t="s">
        <v>52</v>
      </c>
      <c r="Z350" s="1" t="s">
        <v>1489</v>
      </c>
      <c r="AA350" s="1" t="s">
        <v>1490</v>
      </c>
      <c r="AB350" s="3">
        <f>SUMIF('Zinszahlungen Anleihen'!K:K,aktuelleAnleihen[[#This Row],[ISIN]],'Zinszahlungen Anleihen'!D:D)</f>
        <v>0</v>
      </c>
      <c r="AE350" s="9"/>
      <c r="AF350" s="1"/>
      <c r="AI350" s="3"/>
      <c r="AJ350" s="1"/>
      <c r="AM350" s="10"/>
      <c r="AN350" s="1"/>
      <c r="AP350" s="7"/>
      <c r="AQ350" s="1"/>
    </row>
    <row r="351" spans="1:43" x14ac:dyDescent="0.2">
      <c r="A351" s="1" t="s">
        <v>1474</v>
      </c>
      <c r="B351" s="1" t="s">
        <v>2</v>
      </c>
      <c r="C351" s="7">
        <v>8.5000000000000006E-2</v>
      </c>
      <c r="D351" s="7">
        <v>0.77950000000000008</v>
      </c>
      <c r="E351" s="7">
        <f>aktuelleAnleihen[[#This Row],[Aktueller Kurs]]-aktuelleAnleihen[[#This Row],[Kaufkurs]]</f>
        <v>1.1000000000000121E-2</v>
      </c>
      <c r="F351" s="8">
        <f>aktuelleAnleihen[[#This Row],[Stückelung]]*aktuelleAnleihen[[#This Row],[Aktueller Kurs]]*aktuelleAnleihen[[#This Row],[Anteile]]/aktuelleAnleihen[[#This Row],[Aktueller Wechselkurs]]+aktuelleAnleihen[[#This Row],[Stückzinsen]]</f>
        <v>1450.701408603057</v>
      </c>
      <c r="G351" s="8">
        <f>aktuelleAnleihen[[#This Row],[Kursdifferenz]]*aktuelleAnleihen[[#This Row],[Anteile]]*aktuelleAnleihen[[#This Row],[Stückelung]]/aktuelleAnleihen[[#This Row],[Wechselkurs am Kauftag]]</f>
        <v>20.516646460878711</v>
      </c>
      <c r="H351" s="8">
        <f>aktuelleAnleihen[[#This Row],[Stückzinsen]]-aktuelleAnleihen[[#This Row],[Stückzinsen am Kauftag]]+aktuelleAnleihen[[#This Row],[Zinszahlungen]]</f>
        <v>16.203842135331044</v>
      </c>
      <c r="I351" s="8">
        <f>aktuelleAnleihen[[#This Row],[Gewinn gesamt]]-aktuelleAnleihen[[#This Row],[Gewinn aus Kursänderung]]-aktuelleAnleihen[[#This Row],[Gewinn aus Zinsen]]</f>
        <v>-22.427079993152695</v>
      </c>
      <c r="J351" s="7">
        <f>aktuelleAnleihen[[#This Row],[Gewinn gesamt]]/aktuelleAnleihen[[#This Row],[Kaufpreis]]</f>
        <v>9.9507999141309859E-3</v>
      </c>
      <c r="K351" s="3">
        <f>aktuelleAnleihen[[#This Row],[Verkaufspreis]]-aktuelleAnleihen[[#This Row],[Kaufpreis]]+aktuelleAnleihen[[#This Row],[Zinszahlungen]]</f>
        <v>14.29340860305706</v>
      </c>
      <c r="L351" s="4">
        <v>1436.4079999999999</v>
      </c>
      <c r="M351" s="7">
        <v>0.76849999999999996</v>
      </c>
      <c r="N351" s="61">
        <v>1.0723</v>
      </c>
      <c r="O351" s="1">
        <v>1.0891</v>
      </c>
      <c r="P351" s="1" t="s">
        <v>887</v>
      </c>
      <c r="Q351" s="30">
        <v>45412</v>
      </c>
      <c r="R351" s="1">
        <v>2</v>
      </c>
      <c r="S351" s="1">
        <v>1000</v>
      </c>
      <c r="T351" s="9">
        <v>45405</v>
      </c>
      <c r="U351" s="1">
        <v>2</v>
      </c>
      <c r="V351" s="62">
        <f>aktuelleAnleihen[[#This Row],[Stückelung]]*aktuelleAnleihen[[#This Row],[Anteile]]*aktuelleAnleihen[[#This Row],[Coupon]]/aktuelleAnleihen[[#This Row],[Aktueller Wechselkurs]]*($AC$1-aktuelleAnleihen[[#This Row],[Letzte Zinszahlung]])/365</f>
        <v>19.244242135331046</v>
      </c>
      <c r="W351" s="4">
        <v>3.0404</v>
      </c>
      <c r="X351" s="120" t="s">
        <v>51</v>
      </c>
      <c r="Y351" s="120" t="s">
        <v>52</v>
      </c>
      <c r="Z351" s="1" t="s">
        <v>1475</v>
      </c>
      <c r="AA351" s="1" t="s">
        <v>1476</v>
      </c>
      <c r="AB351" s="3">
        <f>SUMIF('Zinszahlungen Anleihen'!K:K,aktuelleAnleihen[[#This Row],[ISIN]],'Zinszahlungen Anleihen'!D:D)</f>
        <v>0</v>
      </c>
      <c r="AE351" s="9"/>
      <c r="AF351" s="1"/>
      <c r="AI351" s="3"/>
      <c r="AJ351" s="1"/>
      <c r="AM351" s="10"/>
      <c r="AN351" s="1"/>
      <c r="AP351" s="7"/>
      <c r="AQ351" s="1"/>
    </row>
    <row r="352" spans="1:43" x14ac:dyDescent="0.2">
      <c r="A352" s="1" t="s">
        <v>1088</v>
      </c>
      <c r="B352" s="1" t="s">
        <v>0</v>
      </c>
      <c r="C352" s="7">
        <v>0.10117</v>
      </c>
      <c r="D352" s="7">
        <v>1.0134999999999998</v>
      </c>
      <c r="E352" s="7">
        <f>aktuelleAnleihen[[#This Row],[Aktueller Kurs]]-aktuelleAnleihen[[#This Row],[Kaufkurs]]</f>
        <v>1.1099999999999888E-2</v>
      </c>
      <c r="F352" s="8">
        <f>aktuelleAnleihen[[#This Row],[Stückelung]]*aktuelleAnleihen[[#This Row],[Aktueller Kurs]]*aktuelleAnleihen[[#This Row],[Anteile]]/aktuelleAnleihen[[#This Row],[Aktueller Wechselkurs]]+aktuelleAnleihen[[#This Row],[Stückzinsen]]</f>
        <v>1929.8853018012862</v>
      </c>
      <c r="G352" s="8">
        <f>aktuelleAnleihen[[#This Row],[Kursdifferenz]]*aktuelleAnleihen[[#This Row],[Anteile]]*aktuelleAnleihen[[#This Row],[Stückelung]]/aktuelleAnleihen[[#This Row],[Wechselkurs am Kauftag]]</f>
        <v>20.703161428704444</v>
      </c>
      <c r="H352" s="8">
        <f>aktuelleAnleihen[[#This Row],[Stückzinsen]]-aktuelleAnleihen[[#This Row],[Stückzinsen am Kauftag]]+aktuelleAnleihen[[#This Row],[Zinszahlungen]]</f>
        <v>18.568628594050892</v>
      </c>
      <c r="I352" s="8">
        <f>aktuelleAnleihen[[#This Row],[Gewinn gesamt]]-aktuelleAnleihen[[#This Row],[Gewinn aus Kursänderung]]-aktuelleAnleihen[[#This Row],[Gewinn aus Zinsen]]</f>
        <v>-29.159488221469015</v>
      </c>
      <c r="J352" s="7">
        <f>aktuelleAnleihen[[#This Row],[Gewinn gesamt]]/aktuelleAnleihen[[#This Row],[Kaufpreis]]</f>
        <v>5.267446620661048E-3</v>
      </c>
      <c r="K352" s="3">
        <f>aktuelleAnleihen[[#This Row],[Verkaufspreis]]-aktuelleAnleihen[[#This Row],[Kaufpreis]]+aktuelleAnleihen[[#This Row],[Zinszahlungen]]</f>
        <v>10.112301801286321</v>
      </c>
      <c r="L352" s="4">
        <v>1919.7729999999999</v>
      </c>
      <c r="M352" s="7">
        <v>1.0024</v>
      </c>
      <c r="N352" s="61">
        <v>1.0723</v>
      </c>
      <c r="O352" s="1">
        <v>1.0891</v>
      </c>
      <c r="P352" s="1" t="s">
        <v>887</v>
      </c>
      <c r="Q352" s="30">
        <v>45412</v>
      </c>
      <c r="R352" s="1">
        <v>2</v>
      </c>
      <c r="S352" s="1">
        <v>1000</v>
      </c>
      <c r="T352" s="9">
        <v>45315</v>
      </c>
      <c r="U352" s="1">
        <v>2</v>
      </c>
      <c r="V352" s="62">
        <f>aktuelleAnleihen[[#This Row],[Stückelung]]*aktuelleAnleihen[[#This Row],[Anteile]]*aktuelleAnleihen[[#This Row],[Coupon]]/aktuelleAnleihen[[#This Row],[Aktueller Wechselkurs]]*($AC$1-aktuelleAnleihen[[#This Row],[Letzte Zinszahlung]])/365</f>
        <v>68.715528594050895</v>
      </c>
      <c r="W352" s="4">
        <v>50.146900000000002</v>
      </c>
      <c r="X352" s="120" t="s">
        <v>1004</v>
      </c>
      <c r="Y352" s="120" t="s">
        <v>52</v>
      </c>
      <c r="Z352" s="1" t="s">
        <v>1089</v>
      </c>
      <c r="AA352" s="1" t="s">
        <v>1090</v>
      </c>
      <c r="AB352" s="3">
        <f>SUMIF('Zinszahlungen Anleihen'!K:K,aktuelleAnleihen[[#This Row],[ISIN]],'Zinszahlungen Anleihen'!D:D)</f>
        <v>0</v>
      </c>
      <c r="AE352" s="9"/>
      <c r="AF352" s="1"/>
      <c r="AI352" s="3"/>
      <c r="AJ352" s="1"/>
      <c r="AM352" s="10"/>
      <c r="AN352" s="1"/>
      <c r="AP352" s="7"/>
      <c r="AQ352" s="1"/>
    </row>
    <row r="353" spans="1:43" x14ac:dyDescent="0.2">
      <c r="A353" s="1" t="s">
        <v>1677</v>
      </c>
      <c r="B353" s="1" t="s">
        <v>7</v>
      </c>
      <c r="C353" s="7">
        <v>8.1250000000000003E-2</v>
      </c>
      <c r="D353" s="7">
        <v>1.0215000000000001</v>
      </c>
      <c r="E353" s="7">
        <f>aktuelleAnleihen[[#This Row],[Aktueller Kurs]]-aktuelleAnleihen[[#This Row],[Kaufkurs]]</f>
        <v>1.110000000000011E-2</v>
      </c>
      <c r="F353" s="8">
        <f>aktuelleAnleihen[[#This Row],[Stückelung]]*aktuelleAnleihen[[#This Row],[Aktueller Kurs]]*aktuelleAnleihen[[#This Row],[Anteile]]/aktuelleAnleihen[[#This Row],[Aktueller Wechselkurs]]+aktuelleAnleihen[[#This Row],[Stückzinsen]]</f>
        <v>1947.3978137031586</v>
      </c>
      <c r="G353" s="8">
        <f>aktuelleAnleihen[[#This Row],[Kursdifferenz]]*aktuelleAnleihen[[#This Row],[Anteile]]*aktuelleAnleihen[[#This Row],[Stückelung]]/aktuelleAnleihen[[#This Row],[Wechselkurs am Kauftag]]</f>
        <v>20.703161428704856</v>
      </c>
      <c r="H353" s="8">
        <f>aktuelleAnleihen[[#This Row],[Stückzinsen]]-aktuelleAnleihen[[#This Row],[Stückzinsen am Kauftag]]+aktuelleAnleihen[[#This Row],[Zinszahlungen]]</f>
        <v>14.656311205683217</v>
      </c>
      <c r="I353" s="8">
        <f>aktuelleAnleihen[[#This Row],[Gewinn gesamt]]-aktuelleAnleihen[[#This Row],[Gewinn aus Kursänderung]]-aktuelleAnleihen[[#This Row],[Gewinn aus Zinsen]]</f>
        <v>-29.389558931229391</v>
      </c>
      <c r="J353" s="7">
        <f>aktuelleAnleihen[[#This Row],[Gewinn gesamt]]/aktuelleAnleihen[[#This Row],[Kaufpreis]]</f>
        <v>3.0750118009320263E-3</v>
      </c>
      <c r="K353" s="3">
        <f>aktuelleAnleihen[[#This Row],[Verkaufspreis]]-aktuelleAnleihen[[#This Row],[Kaufpreis]]+aktuelleAnleihen[[#This Row],[Zinszahlungen]]</f>
        <v>5.9699137031586815</v>
      </c>
      <c r="L353" s="4">
        <v>1941.4278999999999</v>
      </c>
      <c r="M353" s="7">
        <v>1.0104</v>
      </c>
      <c r="N353" s="61">
        <v>1.0723</v>
      </c>
      <c r="O353" s="1">
        <v>1.0891</v>
      </c>
      <c r="P353" s="1" t="s">
        <v>887</v>
      </c>
      <c r="Q353" s="30">
        <v>45412</v>
      </c>
      <c r="R353" s="1">
        <v>2</v>
      </c>
      <c r="S353" s="1">
        <v>1000</v>
      </c>
      <c r="T353" s="9">
        <v>45275</v>
      </c>
      <c r="U353" s="1">
        <v>2</v>
      </c>
      <c r="V353" s="62">
        <f>aktuelleAnleihen[[#This Row],[Stückelung]]*aktuelleAnleihen[[#This Row],[Anteile]]*aktuelleAnleihen[[#This Row],[Coupon]]/aktuelleAnleihen[[#This Row],[Aktueller Wechselkurs]]*($AC$1-aktuelleAnleihen[[#This Row],[Letzte Zinszahlung]])/365</f>
        <v>71.537011205683214</v>
      </c>
      <c r="W353" s="4">
        <v>56.880699999999997</v>
      </c>
      <c r="X353" s="120" t="s">
        <v>276</v>
      </c>
      <c r="Y353" s="120" t="s">
        <v>109</v>
      </c>
      <c r="Z353" s="1" t="s">
        <v>1678</v>
      </c>
      <c r="AA353" s="1" t="s">
        <v>1679</v>
      </c>
      <c r="AB353" s="3">
        <f>SUMIF('Zinszahlungen Anleihen'!K:K,aktuelleAnleihen[[#This Row],[ISIN]],'Zinszahlungen Anleihen'!D:D)</f>
        <v>0</v>
      </c>
      <c r="AE353" s="9"/>
      <c r="AF353" s="1"/>
      <c r="AI353" s="3"/>
      <c r="AJ353" s="1"/>
      <c r="AM353" s="10"/>
      <c r="AN353" s="1"/>
      <c r="AP353" s="7"/>
      <c r="AQ353" s="1"/>
    </row>
    <row r="354" spans="1:43" x14ac:dyDescent="0.2">
      <c r="A354" s="1" t="s">
        <v>1337</v>
      </c>
      <c r="B354" s="1" t="s">
        <v>2</v>
      </c>
      <c r="C354" s="7">
        <v>8.8749999999999996E-2</v>
      </c>
      <c r="D354" s="7">
        <v>1.00875</v>
      </c>
      <c r="E354" s="7">
        <f>aktuelleAnleihen[[#This Row],[Aktueller Kurs]]-aktuelleAnleihen[[#This Row],[Kaufkurs]]</f>
        <v>1.1249999999999982E-2</v>
      </c>
      <c r="F354" s="8">
        <f>aktuelleAnleihen[[#This Row],[Stückelung]]*aktuelleAnleihen[[#This Row],[Aktueller Kurs]]*aktuelleAnleihen[[#This Row],[Anteile]]/aktuelleAnleihen[[#This Row],[Aktueller Wechselkurs]]+aktuelleAnleihen[[#This Row],[Stückzinsen]]</f>
        <v>1853.3400080247234</v>
      </c>
      <c r="G354" s="8">
        <f>aktuelleAnleihen[[#This Row],[Kursdifferenz]]*aktuelleAnleihen[[#This Row],[Anteile]]*aktuelleAnleihen[[#This Row],[Stückelung]]/aktuelleAnleihen[[#This Row],[Wechselkurs am Kauftag]]</f>
        <v>20.982933880443873</v>
      </c>
      <c r="H354" s="8">
        <f>aktuelleAnleihen[[#This Row],[Stückzinsen]]-aktuelleAnleihen[[#This Row],[Stückzinsen am Kauftag]]+aktuelleAnleihen[[#This Row],[Zinszahlungen]]</f>
        <v>15.798424635038216</v>
      </c>
      <c r="I354" s="8">
        <f>aktuelleAnleihen[[#This Row],[Gewinn gesamt]]-aktuelleAnleihen[[#This Row],[Gewinn aus Kursänderung]]-aktuelleAnleihen[[#This Row],[Gewinn aus Zinsen]]</f>
        <v>-29.02275931428813</v>
      </c>
      <c r="J354" s="7">
        <f>aktuelleAnleihen[[#This Row],[Gewinn gesamt]]/aktuelleAnleihen[[#This Row],[Kaufpreis]]</f>
        <v>4.0259381577903482E-3</v>
      </c>
      <c r="K354" s="3">
        <f>aktuelleAnleihen[[#This Row],[Verkaufspreis]]-aktuelleAnleihen[[#This Row],[Kaufpreis]]+aktuelleAnleihen[[#This Row],[Zinszahlungen]]</f>
        <v>7.7585992011939595</v>
      </c>
      <c r="L354" s="4">
        <v>1927.1531</v>
      </c>
      <c r="M354" s="7">
        <v>0.99750000000000005</v>
      </c>
      <c r="N354" s="61">
        <v>1.0723</v>
      </c>
      <c r="O354" s="1">
        <v>1.0891</v>
      </c>
      <c r="P354" s="1" t="s">
        <v>887</v>
      </c>
      <c r="Q354" s="30">
        <v>45412</v>
      </c>
      <c r="R354" s="1">
        <v>2</v>
      </c>
      <c r="S354" s="1">
        <v>1000</v>
      </c>
      <c r="T354" s="9">
        <v>45448</v>
      </c>
      <c r="U354" s="1">
        <v>2</v>
      </c>
      <c r="V354" s="62">
        <f>aktuelleAnleihen[[#This Row],[Stückelung]]*aktuelleAnleihen[[#This Row],[Anteile]]*aktuelleAnleihen[[#This Row],[Coupon]]/aktuelleAnleihen[[#This Row],[Aktueller Wechselkurs]]*($AC$1-aktuelleAnleihen[[#This Row],[Letzte Zinszahlung]])/365</f>
        <v>0.89303345856764993</v>
      </c>
      <c r="W354" s="4">
        <v>66.666300000000007</v>
      </c>
      <c r="X354" s="120" t="s">
        <v>35</v>
      </c>
      <c r="Y354" s="120" t="s">
        <v>1011</v>
      </c>
      <c r="Z354" s="1" t="s">
        <v>1338</v>
      </c>
      <c r="AA354" s="1" t="s">
        <v>1339</v>
      </c>
      <c r="AB354" s="3">
        <f>SUMIF('Zinszahlungen Anleihen'!K:K,aktuelleAnleihen[[#This Row],[ISIN]],'Zinszahlungen Anleihen'!D:D)</f>
        <v>81.57169117647058</v>
      </c>
      <c r="AE354" s="9"/>
      <c r="AF354" s="1"/>
      <c r="AI354" s="3"/>
      <c r="AJ354" s="1"/>
      <c r="AM354" s="10"/>
      <c r="AN354" s="1"/>
      <c r="AP354" s="7"/>
      <c r="AQ354" s="1"/>
    </row>
    <row r="355" spans="1:43" x14ac:dyDescent="0.2">
      <c r="A355" s="1" t="s">
        <v>60</v>
      </c>
      <c r="B355" s="1" t="s">
        <v>8</v>
      </c>
      <c r="C355" s="7">
        <v>0.115</v>
      </c>
      <c r="D355" s="7">
        <v>1.006</v>
      </c>
      <c r="E355" s="7">
        <f>aktuelleAnleihen[[#This Row],[Aktueller Kurs]]-aktuelleAnleihen[[#This Row],[Kaufkurs]]</f>
        <v>1.0500000000000953E-2</v>
      </c>
      <c r="F355" s="8">
        <f>aktuelleAnleihen[[#This Row],[Stückelung]]*aktuelleAnleihen[[#This Row],[Aktueller Kurs]]*aktuelleAnleihen[[#This Row],[Anteile]]/aktuelleAnleihen[[#This Row],[Aktueller Wechselkurs]]+aktuelleAnleihen[[#This Row],[Stückzinsen]]</f>
        <v>2017.041095890411</v>
      </c>
      <c r="G355" s="8">
        <f>aktuelleAnleihen[[#This Row],[Kursdifferenz]]*aktuelleAnleihen[[#This Row],[Anteile]]*aktuelleAnleihen[[#This Row],[Stückelung]]/aktuelleAnleihen[[#This Row],[Wechselkurs am Kauftag]]</f>
        <v>21.000000000001904</v>
      </c>
      <c r="H355" s="8">
        <f>aktuelleAnleihen[[#This Row],[Stückzinsen]]-aktuelleAnleihen[[#This Row],[Stückzinsen am Kauftag]]+aktuelleAnleihen[[#This Row],[Zinszahlungen]]</f>
        <v>45.684895890410957</v>
      </c>
      <c r="I355" s="8">
        <f>aktuelleAnleihen[[#This Row],[Gewinn gesamt]]-aktuelleAnleihen[[#This Row],[Gewinn aus Kursänderung]]-aktuelleAnleihen[[#This Row],[Gewinn aus Zinsen]]</f>
        <v>-1.9895196601282805E-12</v>
      </c>
      <c r="J355" s="7">
        <f>aktuelleAnleihen[[#This Row],[Gewinn gesamt]]/aktuelleAnleihen[[#This Row],[Kaufpreis]]</f>
        <v>3.2287358418083459E-2</v>
      </c>
      <c r="K355" s="3">
        <f>aktuelleAnleihen[[#This Row],[Verkaufspreis]]-aktuelleAnleihen[[#This Row],[Kaufpreis]]+aktuelleAnleihen[[#This Row],[Zinszahlungen]]</f>
        <v>66.684895890410871</v>
      </c>
      <c r="L355" s="4">
        <v>2065.3562000000002</v>
      </c>
      <c r="M355" s="7">
        <v>0.99549999999999905</v>
      </c>
      <c r="N355" s="61">
        <v>1</v>
      </c>
      <c r="O355" s="1">
        <v>1</v>
      </c>
      <c r="P355" s="1" t="s">
        <v>925</v>
      </c>
      <c r="Q355" s="30">
        <v>45378</v>
      </c>
      <c r="R355" s="1">
        <v>2</v>
      </c>
      <c r="S355" s="1">
        <v>1000</v>
      </c>
      <c r="T355" s="9">
        <v>45442</v>
      </c>
      <c r="U355" s="1">
        <v>2</v>
      </c>
      <c r="V355" s="62">
        <f>aktuelleAnleihen[[#This Row],[Stückelung]]*aktuelleAnleihen[[#This Row],[Anteile]]*aktuelleAnleihen[[#This Row],[Coupon]]/aktuelleAnleihen[[#This Row],[Aktueller Wechselkurs]]*($AC$1-aktuelleAnleihen[[#This Row],[Letzte Zinszahlung]])/365</f>
        <v>5.0410958904109586</v>
      </c>
      <c r="W355" s="4">
        <v>74.356200000000001</v>
      </c>
      <c r="X355" s="120" t="s">
        <v>56</v>
      </c>
      <c r="Y355" s="120" t="s">
        <v>61</v>
      </c>
      <c r="Z355" s="1" t="s">
        <v>62</v>
      </c>
      <c r="AA355" s="1" t="s">
        <v>63</v>
      </c>
      <c r="AB355" s="3">
        <f>SUMIF('Zinszahlungen Anleihen'!K:K,aktuelleAnleihen[[#This Row],[ISIN]],'Zinszahlungen Anleihen'!D:D)</f>
        <v>115</v>
      </c>
      <c r="AE355" s="9"/>
      <c r="AF355" s="1"/>
      <c r="AI355" s="3"/>
      <c r="AJ355" s="1"/>
      <c r="AM355" s="10"/>
      <c r="AN355" s="1"/>
      <c r="AP355" s="7"/>
      <c r="AQ355" s="1"/>
    </row>
    <row r="356" spans="1:43" x14ac:dyDescent="0.2">
      <c r="A356" s="1" t="s">
        <v>799</v>
      </c>
      <c r="B356" s="1" t="s">
        <v>1</v>
      </c>
      <c r="C356" s="7">
        <v>6.25E-2</v>
      </c>
      <c r="D356" s="7">
        <v>1.0008999999999999</v>
      </c>
      <c r="E356" s="7">
        <f>aktuelleAnleihen[[#This Row],[Aktueller Kurs]]-aktuelleAnleihen[[#This Row],[Kaufkurs]]</f>
        <v>1.089999999999991E-2</v>
      </c>
      <c r="F356" s="8">
        <f>aktuelleAnleihen[[#This Row],[Stückelung]]*aktuelleAnleihen[[#This Row],[Aktueller Kurs]]*aktuelleAnleihen[[#This Row],[Anteile]]/aktuelleAnleihen[[#This Row],[Aktueller Wechselkurs]]+aktuelleAnleihen[[#This Row],[Stückzinsen]]</f>
        <v>2018.9232876712326</v>
      </c>
      <c r="G356" s="8">
        <f>aktuelleAnleihen[[#This Row],[Kursdifferenz]]*aktuelleAnleihen[[#This Row],[Anteile]]*aktuelleAnleihen[[#This Row],[Stückelung]]/aktuelleAnleihen[[#This Row],[Wechselkurs am Kauftag]]</f>
        <v>21.79999999999982</v>
      </c>
      <c r="H356" s="8">
        <f>aktuelleAnleihen[[#This Row],[Stückzinsen]]-aktuelleAnleihen[[#This Row],[Stückzinsen am Kauftag]]+aktuelleAnleihen[[#This Row],[Zinszahlungen]]</f>
        <v>22.089087671232875</v>
      </c>
      <c r="I356" s="8">
        <f>aktuelleAnleihen[[#This Row],[Gewinn gesamt]]-aktuelleAnleihen[[#This Row],[Gewinn aus Kursänderung]]-aktuelleAnleihen[[#This Row],[Gewinn aus Zinsen]]</f>
        <v>-1.2079226507921703E-13</v>
      </c>
      <c r="J356" s="7">
        <f>aktuelleAnleihen[[#This Row],[Gewinn gesamt]]/aktuelleAnleihen[[#This Row],[Kaufpreis]]</f>
        <v>2.1540294965960608E-2</v>
      </c>
      <c r="K356" s="3">
        <f>aktuelleAnleihen[[#This Row],[Verkaufspreis]]-aktuelleAnleihen[[#This Row],[Kaufpreis]]+aktuelleAnleihen[[#This Row],[Zinszahlungen]]</f>
        <v>43.889087671232573</v>
      </c>
      <c r="L356" s="4">
        <v>2037.5342000000001</v>
      </c>
      <c r="M356" s="7">
        <v>0.99</v>
      </c>
      <c r="N356" s="61">
        <v>1</v>
      </c>
      <c r="O356" s="1">
        <v>1</v>
      </c>
      <c r="P356" s="1" t="s">
        <v>925</v>
      </c>
      <c r="Q356" s="30">
        <v>45385</v>
      </c>
      <c r="R356" s="1">
        <v>2</v>
      </c>
      <c r="S356" s="1">
        <v>1000</v>
      </c>
      <c r="T356" s="9">
        <v>45400</v>
      </c>
      <c r="U356" s="1">
        <v>2</v>
      </c>
      <c r="V356" s="62">
        <f>aktuelleAnleihen[[#This Row],[Stückelung]]*aktuelleAnleihen[[#This Row],[Anteile]]*aktuelleAnleihen[[#This Row],[Coupon]]/aktuelleAnleihen[[#This Row],[Aktueller Wechselkurs]]*($AC$1-aktuelleAnleihen[[#This Row],[Letzte Zinszahlung]])/365</f>
        <v>17.123287671232877</v>
      </c>
      <c r="W356" s="4">
        <v>57.534199999999998</v>
      </c>
      <c r="X356" s="120" t="s">
        <v>56</v>
      </c>
      <c r="Y356" s="120" t="s">
        <v>91</v>
      </c>
      <c r="Z356" s="1" t="s">
        <v>800</v>
      </c>
      <c r="AA356" s="1" t="s">
        <v>801</v>
      </c>
      <c r="AB356" s="3">
        <f>SUMIF('Zinszahlungen Anleihen'!K:K,aktuelleAnleihen[[#This Row],[ISIN]],'Zinszahlungen Anleihen'!D:D)</f>
        <v>62.5</v>
      </c>
      <c r="AE356" s="9"/>
      <c r="AF356" s="1"/>
      <c r="AI356" s="3"/>
      <c r="AJ356" s="1"/>
      <c r="AM356" s="10"/>
      <c r="AN356" s="1"/>
      <c r="AP356" s="7"/>
      <c r="AQ356" s="1"/>
    </row>
    <row r="357" spans="1:43" x14ac:dyDescent="0.2">
      <c r="A357" s="1" t="s">
        <v>217</v>
      </c>
      <c r="B357" s="1" t="s">
        <v>0</v>
      </c>
      <c r="C357" s="7">
        <v>0.10249999999999999</v>
      </c>
      <c r="D357" s="7">
        <v>1.1434</v>
      </c>
      <c r="E357" s="7">
        <f>aktuelleAnleihen[[#This Row],[Aktueller Kurs]]-aktuelleAnleihen[[#This Row],[Kaufkurs]]</f>
        <v>1.089999999999991E-2</v>
      </c>
      <c r="F357" s="8">
        <f>aktuelleAnleihen[[#This Row],[Stückelung]]*aktuelleAnleihen[[#This Row],[Aktueller Kurs]]*aktuelleAnleihen[[#This Row],[Anteile]]/aktuelleAnleihen[[#This Row],[Aktueller Wechselkurs]]+aktuelleAnleihen[[#This Row],[Stückzinsen]]</f>
        <v>2488.430136986301</v>
      </c>
      <c r="G357" s="8">
        <f>aktuelleAnleihen[[#This Row],[Kursdifferenz]]*aktuelleAnleihen[[#This Row],[Anteile]]*aktuelleAnleihen[[#This Row],[Stückelung]]/aktuelleAnleihen[[#This Row],[Wechselkurs am Kauftag]]</f>
        <v>21.79999999999982</v>
      </c>
      <c r="H357" s="8">
        <f>aktuelleAnleihen[[#This Row],[Stückzinsen]]-aktuelleAnleihen[[#This Row],[Stückzinsen am Kauftag]]+aktuelleAnleihen[[#This Row],[Zinszahlungen]]</f>
        <v>36.50683698630138</v>
      </c>
      <c r="I357" s="8">
        <f>aktuelleAnleihen[[#This Row],[Gewinn gesamt]]-aktuelleAnleihen[[#This Row],[Gewinn aus Kursänderung]]-aktuelleAnleihen[[#This Row],[Gewinn aus Zinsen]]</f>
        <v>-3.765876499528531E-13</v>
      </c>
      <c r="J357" s="7">
        <f>aktuelleAnleihen[[#This Row],[Gewinn gesamt]]/aktuelleAnleihen[[#This Row],[Kaufpreis]]</f>
        <v>2.3993365680786985E-2</v>
      </c>
      <c r="K357" s="3">
        <f>aktuelleAnleihen[[#This Row],[Verkaufspreis]]-aktuelleAnleihen[[#This Row],[Kaufpreis]]+aktuelleAnleihen[[#This Row],[Zinszahlungen]]</f>
        <v>58.306836986300823</v>
      </c>
      <c r="L357" s="4">
        <v>2430.1233000000002</v>
      </c>
      <c r="M357" s="7">
        <v>1.1325000000000001</v>
      </c>
      <c r="N357" s="61">
        <v>1</v>
      </c>
      <c r="O357" s="1">
        <v>1</v>
      </c>
      <c r="P357" s="1" t="s">
        <v>925</v>
      </c>
      <c r="Q357" s="30">
        <v>45385</v>
      </c>
      <c r="R357" s="1">
        <v>2</v>
      </c>
      <c r="S357" s="1">
        <v>1000</v>
      </c>
      <c r="T357" s="9">
        <v>45091</v>
      </c>
      <c r="U357" s="1">
        <v>1</v>
      </c>
      <c r="V357" s="62">
        <f>aktuelleAnleihen[[#This Row],[Stückelung]]*aktuelleAnleihen[[#This Row],[Anteile]]*aktuelleAnleihen[[#This Row],[Coupon]]/aktuelleAnleihen[[#This Row],[Aktueller Wechselkurs]]*($AC$1-aktuelleAnleihen[[#This Row],[Letzte Zinszahlung]])/365</f>
        <v>201.63013698630138</v>
      </c>
      <c r="W357" s="4">
        <v>165.1233</v>
      </c>
      <c r="X357" s="120" t="s">
        <v>218</v>
      </c>
      <c r="Y357" s="120" t="s">
        <v>61</v>
      </c>
      <c r="Z357" s="1" t="s">
        <v>219</v>
      </c>
      <c r="AA357" s="1" t="s">
        <v>220</v>
      </c>
      <c r="AB357" s="3">
        <f>SUMIF('Zinszahlungen Anleihen'!K:K,aktuelleAnleihen[[#This Row],[ISIN]],'Zinszahlungen Anleihen'!D:D)</f>
        <v>0</v>
      </c>
      <c r="AE357" s="9"/>
      <c r="AF357" s="1"/>
      <c r="AI357" s="3"/>
      <c r="AJ357" s="1"/>
      <c r="AM357" s="10"/>
      <c r="AN357" s="1"/>
      <c r="AP357" s="7"/>
      <c r="AQ357" s="1"/>
    </row>
    <row r="358" spans="1:43" x14ac:dyDescent="0.2">
      <c r="A358" s="1" t="s">
        <v>1334</v>
      </c>
      <c r="B358" s="1" t="s">
        <v>9</v>
      </c>
      <c r="C358" s="7">
        <v>8.8749999999999996E-2</v>
      </c>
      <c r="D358" s="7">
        <v>1.0381</v>
      </c>
      <c r="E358" s="7">
        <f>aktuelleAnleihen[[#This Row],[Aktueller Kurs]]-aktuelleAnleihen[[#This Row],[Kaufkurs]]</f>
        <v>1.1700000000000044E-2</v>
      </c>
      <c r="F358" s="8">
        <f>aktuelleAnleihen[[#This Row],[Stückelung]]*aktuelleAnleihen[[#This Row],[Aktueller Kurs]]*aktuelleAnleihen[[#This Row],[Anteile]]/aktuelleAnleihen[[#This Row],[Aktueller Wechselkurs]]+aktuelleAnleihen[[#This Row],[Stückzinsen]]</f>
        <v>1931.3496251146164</v>
      </c>
      <c r="G358" s="8">
        <f>aktuelleAnleihen[[#This Row],[Kursdifferenz]]*aktuelleAnleihen[[#This Row],[Anteile]]*aktuelleAnleihen[[#This Row],[Stückelung]]/aktuelleAnleihen[[#This Row],[Wechselkurs am Kauftag]]</f>
        <v>21.822251235661742</v>
      </c>
      <c r="H358" s="8">
        <f>aktuelleAnleihen[[#This Row],[Stückzinsen]]-aktuelleAnleihen[[#This Row],[Stückzinsen am Kauftag]]+aktuelleAnleihen[[#This Row],[Zinszahlungen]]</f>
        <v>16.841736839894196</v>
      </c>
      <c r="I358" s="8">
        <f>aktuelleAnleihen[[#This Row],[Gewinn gesamt]]-aktuelleAnleihen[[#This Row],[Gewinn aus Kursänderung]]-aktuelleAnleihen[[#This Row],[Gewinn aus Zinsen]]</f>
        <v>-29.867262960939446</v>
      </c>
      <c r="J358" s="7">
        <f>aktuelleAnleihen[[#This Row],[Gewinn gesamt]]/aktuelleAnleihen[[#This Row],[Kaufpreis]]</f>
        <v>4.5755438586977211E-3</v>
      </c>
      <c r="K358" s="3">
        <f>aktuelleAnleihen[[#This Row],[Verkaufspreis]]-aktuelleAnleihen[[#This Row],[Kaufpreis]]+aktuelleAnleihen[[#This Row],[Zinszahlungen]]</f>
        <v>8.7967251146164926</v>
      </c>
      <c r="L358" s="4">
        <v>1922.5528999999999</v>
      </c>
      <c r="M358" s="7">
        <v>1.0264</v>
      </c>
      <c r="N358" s="61">
        <v>1.0723</v>
      </c>
      <c r="O358" s="1">
        <v>1.0891</v>
      </c>
      <c r="P358" s="1" t="s">
        <v>887</v>
      </c>
      <c r="Q358" s="30">
        <v>45412</v>
      </c>
      <c r="R358" s="1">
        <v>2</v>
      </c>
      <c r="S358" s="1">
        <v>1000</v>
      </c>
      <c r="T358" s="9">
        <v>45394</v>
      </c>
      <c r="U358" s="1">
        <v>2</v>
      </c>
      <c r="V358" s="62">
        <f>aktuelleAnleihen[[#This Row],[Stückelung]]*aktuelleAnleihen[[#This Row],[Anteile]]*aktuelleAnleihen[[#This Row],[Coupon]]/aktuelleAnleihen[[#This Row],[Aktueller Wechselkurs]]*($AC$1-aktuelleAnleihen[[#This Row],[Letzte Zinszahlung]])/365</f>
        <v>25.004936839894196</v>
      </c>
      <c r="W358" s="4">
        <v>8.1631999999999998</v>
      </c>
      <c r="X358" s="120" t="s">
        <v>276</v>
      </c>
      <c r="Y358" s="120" t="s">
        <v>39</v>
      </c>
      <c r="Z358" s="1" t="s">
        <v>1335</v>
      </c>
      <c r="AA358" s="1" t="s">
        <v>1336</v>
      </c>
      <c r="AB358" s="3">
        <f>SUMIF('Zinszahlungen Anleihen'!K:K,aktuelleAnleihen[[#This Row],[ISIN]],'Zinszahlungen Anleihen'!D:D)</f>
        <v>0</v>
      </c>
      <c r="AE358" s="9"/>
      <c r="AF358" s="1"/>
      <c r="AI358" s="3"/>
      <c r="AJ358" s="1"/>
      <c r="AM358" s="10"/>
      <c r="AN358" s="1"/>
      <c r="AP358" s="7"/>
      <c r="AQ358" s="1"/>
    </row>
    <row r="359" spans="1:43" x14ac:dyDescent="0.2">
      <c r="A359" s="1" t="s">
        <v>1560</v>
      </c>
      <c r="B359" s="1" t="s">
        <v>0</v>
      </c>
      <c r="C359" s="7">
        <v>8.4499999999999992E-2</v>
      </c>
      <c r="D359" s="7">
        <v>1.0429000000000002</v>
      </c>
      <c r="E359" s="7">
        <f>aktuelleAnleihen[[#This Row],[Aktueller Kurs]]-aktuelleAnleihen[[#This Row],[Kaufkurs]]</f>
        <v>1.1700000000000266E-2</v>
      </c>
      <c r="F359" s="8">
        <f>aktuelleAnleihen[[#This Row],[Stückelung]]*aktuelleAnleihen[[#This Row],[Aktueller Kurs]]*aktuelleAnleihen[[#This Row],[Anteile]]/aktuelleAnleihen[[#This Row],[Aktueller Wechselkurs]]+aktuelleAnleihen[[#This Row],[Stückzinsen]]</f>
        <v>1983.6059181704641</v>
      </c>
      <c r="G359" s="8">
        <f>aktuelleAnleihen[[#This Row],[Kursdifferenz]]*aktuelleAnleihen[[#This Row],[Anteile]]*aktuelleAnleihen[[#This Row],[Stückelung]]/aktuelleAnleihen[[#This Row],[Wechselkurs am Kauftag]]</f>
        <v>21.822251235662158</v>
      </c>
      <c r="H359" s="8">
        <f>aktuelleAnleihen[[#This Row],[Stückzinsen]]-aktuelleAnleihen[[#This Row],[Stückzinsen am Kauftag]]+aktuelleAnleihen[[#This Row],[Zinszahlungen]]</f>
        <v>15.3358123215977</v>
      </c>
      <c r="I359" s="8">
        <f>aktuelleAnleihen[[#This Row],[Gewinn gesamt]]-aktuelleAnleihen[[#This Row],[Gewinn aus Kursänderung]]-aktuelleAnleihen[[#This Row],[Gewinn aus Zinsen]]</f>
        <v>-30.005245386795742</v>
      </c>
      <c r="J359" s="7">
        <f>aktuelleAnleihen[[#This Row],[Gewinn gesamt]]/aktuelleAnleihen[[#This Row],[Kaufpreis]]</f>
        <v>3.6190174057072824E-3</v>
      </c>
      <c r="K359" s="3">
        <f>aktuelleAnleihen[[#This Row],[Verkaufspreis]]-aktuelleAnleihen[[#This Row],[Kaufpreis]]+aktuelleAnleihen[[#This Row],[Zinszahlungen]]</f>
        <v>7.1528181704641156</v>
      </c>
      <c r="L359" s="4">
        <v>1976.4530999999999</v>
      </c>
      <c r="M359" s="7">
        <v>1.0311999999999999</v>
      </c>
      <c r="N359" s="61">
        <v>1.0723</v>
      </c>
      <c r="O359" s="1">
        <v>1.0891</v>
      </c>
      <c r="P359" s="1" t="s">
        <v>887</v>
      </c>
      <c r="Q359" s="30">
        <v>45412</v>
      </c>
      <c r="R359" s="1">
        <v>2</v>
      </c>
      <c r="S359" s="1">
        <v>1000</v>
      </c>
      <c r="T359" s="9">
        <v>45289</v>
      </c>
      <c r="U359" s="1">
        <v>2</v>
      </c>
      <c r="V359" s="62">
        <f>aktuelleAnleihen[[#This Row],[Stückelung]]*aktuelleAnleihen[[#This Row],[Anteile]]*aktuelleAnleihen[[#This Row],[Coupon]]/aktuelleAnleihen[[#This Row],[Aktueller Wechselkurs]]*($AC$1-aktuelleAnleihen[[#This Row],[Letzte Zinszahlung]])/365</f>
        <v>68.446612321597698</v>
      </c>
      <c r="W359" s="4">
        <v>53.110799999999998</v>
      </c>
      <c r="X359" s="120" t="s">
        <v>1020</v>
      </c>
      <c r="Y359" s="120" t="s">
        <v>39</v>
      </c>
      <c r="Z359" s="1" t="s">
        <v>1561</v>
      </c>
      <c r="AA359" s="1" t="s">
        <v>1562</v>
      </c>
      <c r="AB359" s="3">
        <f>SUMIF('Zinszahlungen Anleihen'!K:K,aktuelleAnleihen[[#This Row],[ISIN]],'Zinszahlungen Anleihen'!D:D)</f>
        <v>0</v>
      </c>
      <c r="AE359" s="9"/>
      <c r="AF359" s="1"/>
      <c r="AI359" s="3"/>
      <c r="AJ359" s="1"/>
      <c r="AM359" s="10"/>
      <c r="AN359" s="1"/>
      <c r="AP359" s="7"/>
      <c r="AQ359" s="1"/>
    </row>
    <row r="360" spans="1:43" x14ac:dyDescent="0.2">
      <c r="A360" s="1" t="s">
        <v>498</v>
      </c>
      <c r="B360" s="1" t="s">
        <v>4</v>
      </c>
      <c r="C360" s="7">
        <v>7.8619999999999995E-2</v>
      </c>
      <c r="D360" s="7">
        <v>1.0839000000000001</v>
      </c>
      <c r="E360" s="7">
        <f>aktuelleAnleihen[[#This Row],[Aktueller Kurs]]-aktuelleAnleihen[[#This Row],[Kaufkurs]]</f>
        <v>1.110000000000011E-2</v>
      </c>
      <c r="F360" s="8">
        <f>aktuelleAnleihen[[#This Row],[Stückelung]]*aktuelleAnleihen[[#This Row],[Aktueller Kurs]]*aktuelleAnleihen[[#This Row],[Anteile]]/aktuelleAnleihen[[#This Row],[Aktueller Wechselkurs]]+aktuelleAnleihen[[#This Row],[Stückzinsen]]</f>
        <v>2216.4797808219182</v>
      </c>
      <c r="G360" s="8">
        <f>aktuelleAnleihen[[#This Row],[Kursdifferenz]]*aktuelleAnleihen[[#This Row],[Anteile]]*aktuelleAnleihen[[#This Row],[Stückelung]]/aktuelleAnleihen[[#This Row],[Wechselkurs am Kauftag]]</f>
        <v>22.20000000000022</v>
      </c>
      <c r="H360" s="8">
        <f>aktuelleAnleihen[[#This Row],[Stückzinsen]]-aktuelleAnleihen[[#This Row],[Stückzinsen am Kauftag]]+aktuelleAnleihen[[#This Row],[Zinszahlungen]]</f>
        <v>28.001680821917802</v>
      </c>
      <c r="I360" s="8">
        <f>aktuelleAnleihen[[#This Row],[Gewinn gesamt]]-aktuelleAnleihen[[#This Row],[Gewinn aus Kursänderung]]-aktuelleAnleihen[[#This Row],[Gewinn aus Zinsen]]</f>
        <v>1.9539925233402755E-13</v>
      </c>
      <c r="J360" s="7">
        <f>aktuelleAnleihen[[#This Row],[Gewinn gesamt]]/aktuelleAnleihen[[#This Row],[Kaufpreis]]</f>
        <v>2.3174162551852513E-2</v>
      </c>
      <c r="K360" s="3">
        <f>aktuelleAnleihen[[#This Row],[Verkaufspreis]]-aktuelleAnleihen[[#This Row],[Kaufpreis]]+aktuelleAnleihen[[#This Row],[Zinszahlungen]]</f>
        <v>50.201680821918217</v>
      </c>
      <c r="L360" s="4">
        <v>2166.2781</v>
      </c>
      <c r="M360" s="7">
        <v>1.0728</v>
      </c>
      <c r="N360" s="61">
        <v>1</v>
      </c>
      <c r="O360" s="1">
        <v>1</v>
      </c>
      <c r="P360" s="1" t="s">
        <v>925</v>
      </c>
      <c r="Q360" s="30">
        <v>45385</v>
      </c>
      <c r="R360" s="1">
        <v>2</v>
      </c>
      <c r="S360" s="1">
        <v>1000</v>
      </c>
      <c r="T360" s="9">
        <v>45337</v>
      </c>
      <c r="U360" s="1">
        <v>1</v>
      </c>
      <c r="V360" s="62">
        <f>aktuelleAnleihen[[#This Row],[Stückelung]]*aktuelleAnleihen[[#This Row],[Anteile]]*aktuelleAnleihen[[#This Row],[Coupon]]/aktuelleAnleihen[[#This Row],[Aktueller Wechselkurs]]*($AC$1-aktuelleAnleihen[[#This Row],[Letzte Zinszahlung]])/365</f>
        <v>48.679780821917802</v>
      </c>
      <c r="W360" s="4">
        <v>20.678100000000001</v>
      </c>
      <c r="X360" s="120" t="s">
        <v>78</v>
      </c>
      <c r="Y360" s="120" t="s">
        <v>39</v>
      </c>
      <c r="Z360" s="1" t="s">
        <v>499</v>
      </c>
      <c r="AA360" s="1" t="s">
        <v>500</v>
      </c>
      <c r="AB360" s="3">
        <f>SUMIF('Zinszahlungen Anleihen'!K:K,aktuelleAnleihen[[#This Row],[ISIN]],'Zinszahlungen Anleihen'!D:D)</f>
        <v>0</v>
      </c>
      <c r="AE360" s="9"/>
      <c r="AF360" s="1"/>
      <c r="AI360" s="3"/>
      <c r="AJ360" s="1"/>
      <c r="AM360" s="10"/>
      <c r="AN360" s="1"/>
      <c r="AP360" s="7"/>
      <c r="AQ360" s="1"/>
    </row>
    <row r="361" spans="1:43" x14ac:dyDescent="0.2">
      <c r="A361" s="1" t="s">
        <v>1149</v>
      </c>
      <c r="B361" s="1" t="s">
        <v>0</v>
      </c>
      <c r="C361" s="7">
        <v>9.7430000000000003E-2</v>
      </c>
      <c r="D361" s="7">
        <v>1.0094000000000001</v>
      </c>
      <c r="E361" s="7">
        <f>aktuelleAnleihen[[#This Row],[Aktueller Kurs]]-aktuelleAnleihen[[#This Row],[Kaufkurs]]</f>
        <v>1.2100000000000111E-2</v>
      </c>
      <c r="F361" s="8">
        <f>aktuelleAnleihen[[#This Row],[Stückelung]]*aktuelleAnleihen[[#This Row],[Aktueller Kurs]]*aktuelleAnleihen[[#This Row],[Anteile]]/aktuelleAnleihen[[#This Row],[Aktueller Wechselkurs]]+aktuelleAnleihen[[#This Row],[Stückzinsen]]</f>
        <v>1929.6196557922026</v>
      </c>
      <c r="G361" s="8">
        <f>aktuelleAnleihen[[#This Row],[Kursdifferenz]]*aktuelleAnleihen[[#This Row],[Anteile]]*aktuelleAnleihen[[#This Row],[Stückelung]]/aktuelleAnleihen[[#This Row],[Wechselkurs am Kauftag]]</f>
        <v>22.56831110696654</v>
      </c>
      <c r="H361" s="8">
        <f>aktuelleAnleihen[[#This Row],[Stückzinsen]]-aktuelleAnleihen[[#This Row],[Stückzinsen am Kauftag]]+aktuelleAnleihen[[#This Row],[Zinszahlungen]]</f>
        <v>17.728535096214941</v>
      </c>
      <c r="I361" s="8">
        <f>aktuelleAnleihen[[#This Row],[Gewinn gesamt]]-aktuelleAnleihen[[#This Row],[Gewinn aus Kursänderung]]-aktuelleAnleihen[[#This Row],[Gewinn aus Zinsen]]</f>
        <v>-29.04139041097887</v>
      </c>
      <c r="J361" s="7">
        <f>aktuelleAnleihen[[#This Row],[Gewinn gesamt]]/aktuelleAnleihen[[#This Row],[Kaufpreis]]</f>
        <v>5.8672153036439124E-3</v>
      </c>
      <c r="K361" s="3">
        <f>aktuelleAnleihen[[#This Row],[Verkaufspreis]]-aktuelleAnleihen[[#This Row],[Kaufpreis]]+aktuelleAnleihen[[#This Row],[Zinszahlungen]]</f>
        <v>11.255455792202611</v>
      </c>
      <c r="L361" s="4">
        <v>1918.3642</v>
      </c>
      <c r="M361" s="7">
        <v>0.99729999999999996</v>
      </c>
      <c r="N361" s="61">
        <v>1.0723</v>
      </c>
      <c r="O361" s="1">
        <v>1.0891</v>
      </c>
      <c r="P361" s="1" t="s">
        <v>887</v>
      </c>
      <c r="Q361" s="30">
        <v>45412</v>
      </c>
      <c r="R361" s="1">
        <v>2</v>
      </c>
      <c r="S361" s="1">
        <v>1000</v>
      </c>
      <c r="T361" s="9">
        <v>45295</v>
      </c>
      <c r="U361" s="1">
        <v>2</v>
      </c>
      <c r="V361" s="62">
        <f>aktuelleAnleihen[[#This Row],[Stückelung]]*aktuelleAnleihen[[#This Row],[Anteile]]*aktuelleAnleihen[[#This Row],[Coupon]]/aktuelleAnleihen[[#This Row],[Aktueller Wechselkurs]]*($AC$1-aktuelleAnleihen[[#This Row],[Letzte Zinszahlung]])/365</f>
        <v>75.979035096214943</v>
      </c>
      <c r="W361" s="4">
        <v>58.250500000000002</v>
      </c>
      <c r="X361" s="120" t="s">
        <v>1004</v>
      </c>
      <c r="Y361" s="120" t="s">
        <v>52</v>
      </c>
      <c r="Z361" s="1" t="s">
        <v>1150</v>
      </c>
      <c r="AA361" s="1" t="s">
        <v>1151</v>
      </c>
      <c r="AB361" s="3">
        <f>SUMIF('Zinszahlungen Anleihen'!K:K,aktuelleAnleihen[[#This Row],[ISIN]],'Zinszahlungen Anleihen'!D:D)</f>
        <v>0</v>
      </c>
      <c r="AE361" s="9"/>
      <c r="AF361" s="1"/>
      <c r="AI361" s="3"/>
      <c r="AJ361" s="1"/>
      <c r="AM361" s="10"/>
      <c r="AN361" s="1"/>
      <c r="AP361" s="7"/>
      <c r="AQ361" s="1"/>
    </row>
    <row r="362" spans="1:43" x14ac:dyDescent="0.2">
      <c r="A362" s="1" t="s">
        <v>1599</v>
      </c>
      <c r="B362" s="1" t="s">
        <v>0</v>
      </c>
      <c r="C362" s="7">
        <v>8.3750000000000005E-2</v>
      </c>
      <c r="D362" s="7">
        <v>0.99850000000000005</v>
      </c>
      <c r="E362" s="7">
        <f>aktuelleAnleihen[[#This Row],[Aktueller Kurs]]-aktuelleAnleihen[[#This Row],[Kaufkurs]]</f>
        <v>1.22000000000001E-2</v>
      </c>
      <c r="F362" s="8">
        <f>aktuelleAnleihen[[#This Row],[Stückelung]]*aktuelleAnleihen[[#This Row],[Aktueller Kurs]]*aktuelleAnleihen[[#This Row],[Anteile]]/aktuelleAnleihen[[#This Row],[Aktueller Wechselkurs]]+aktuelleAnleihen[[#This Row],[Stückzinsen]]</f>
        <v>1875.7601790091855</v>
      </c>
      <c r="G362" s="8">
        <f>aktuelleAnleihen[[#This Row],[Kursdifferenz]]*aktuelleAnleihen[[#This Row],[Anteile]]*aktuelleAnleihen[[#This Row],[Stückelung]]/aktuelleAnleihen[[#This Row],[Wechselkurs am Kauftag]]</f>
        <v>22.754826074792685</v>
      </c>
      <c r="H362" s="8">
        <f>aktuelleAnleihen[[#This Row],[Stückzinsen]]-aktuelleAnleihen[[#This Row],[Stückzinsen am Kauftag]]+aktuelleAnleihen[[#This Row],[Zinszahlungen]]</f>
        <v>15.602385721149677</v>
      </c>
      <c r="I362" s="8">
        <f>aktuelleAnleihen[[#This Row],[Gewinn gesamt]]-aktuelleAnleihen[[#This Row],[Gewinn aus Kursänderung]]-aktuelleAnleihen[[#This Row],[Gewinn aus Zinsen]]</f>
        <v>-28.727832786756721</v>
      </c>
      <c r="J362" s="7">
        <f>aktuelleAnleihen[[#This Row],[Gewinn gesamt]]/aktuelleAnleihen[[#This Row],[Kaufpreis]]</f>
        <v>5.1600772085138094E-3</v>
      </c>
      <c r="K362" s="3">
        <f>aktuelleAnleihen[[#This Row],[Verkaufspreis]]-aktuelleAnleihen[[#This Row],[Kaufpreis]]+aktuelleAnleihen[[#This Row],[Zinszahlungen]]</f>
        <v>9.6293790091856408</v>
      </c>
      <c r="L362" s="4">
        <v>1866.1307999999999</v>
      </c>
      <c r="M362" s="7">
        <v>0.98629999999999995</v>
      </c>
      <c r="N362" s="61">
        <v>1.0723</v>
      </c>
      <c r="O362" s="1">
        <v>1.0891</v>
      </c>
      <c r="P362" s="1" t="s">
        <v>887</v>
      </c>
      <c r="Q362" s="30">
        <v>45412</v>
      </c>
      <c r="R362" s="1">
        <v>2</v>
      </c>
      <c r="S362" s="1">
        <v>1000</v>
      </c>
      <c r="T362" s="9">
        <v>45350</v>
      </c>
      <c r="U362" s="1">
        <v>2</v>
      </c>
      <c r="V362" s="62">
        <f>aktuelleAnleihen[[#This Row],[Stückelung]]*aktuelleAnleihen[[#This Row],[Anteile]]*aktuelleAnleihen[[#This Row],[Coupon]]/aktuelleAnleihen[[#This Row],[Aktueller Wechselkurs]]*($AC$1-aktuelleAnleihen[[#This Row],[Letzte Zinszahlung]])/365</f>
        <v>42.136085721149676</v>
      </c>
      <c r="W362" s="4">
        <v>26.5337</v>
      </c>
      <c r="X362" s="120" t="s">
        <v>1004</v>
      </c>
      <c r="Y362" s="120" t="s">
        <v>52</v>
      </c>
      <c r="Z362" s="1" t="s">
        <v>1600</v>
      </c>
      <c r="AA362" s="1" t="s">
        <v>1601</v>
      </c>
      <c r="AB362" s="3">
        <f>SUMIF('Zinszahlungen Anleihen'!K:K,aktuelleAnleihen[[#This Row],[ISIN]],'Zinszahlungen Anleihen'!D:D)</f>
        <v>0</v>
      </c>
      <c r="AE362" s="9"/>
      <c r="AF362" s="1"/>
      <c r="AI362" s="3"/>
      <c r="AJ362" s="1"/>
      <c r="AM362" s="10"/>
      <c r="AN362" s="1"/>
      <c r="AP362" s="7"/>
      <c r="AQ362" s="1"/>
    </row>
    <row r="363" spans="1:43" x14ac:dyDescent="0.2">
      <c r="A363" s="1" t="s">
        <v>952</v>
      </c>
      <c r="B363" s="1" t="s">
        <v>4</v>
      </c>
      <c r="C363" s="7">
        <v>8.1250000000000003E-2</v>
      </c>
      <c r="D363" s="7">
        <v>1.0079</v>
      </c>
      <c r="E363" s="7">
        <f>aktuelleAnleihen[[#This Row],[Aktueller Kurs]]-aktuelleAnleihen[[#This Row],[Kaufkurs]]</f>
        <v>1.2199999999999989E-2</v>
      </c>
      <c r="F363" s="8">
        <f>aktuelleAnleihen[[#This Row],[Stückelung]]*aktuelleAnleihen[[#This Row],[Aktueller Kurs]]*aktuelleAnleihen[[#This Row],[Anteile]]/aktuelleAnleihen[[#This Row],[Aktueller Wechselkurs]]+aktuelleAnleihen[[#This Row],[Stückzinsen]]</f>
        <v>1890.9467789792502</v>
      </c>
      <c r="G363" s="8">
        <f>aktuelleAnleihen[[#This Row],[Kursdifferenz]]*aktuelleAnleihen[[#This Row],[Anteile]]*aktuelleAnleihen[[#This Row],[Stückelung]]/aktuelleAnleihen[[#This Row],[Wechselkurs am Kauftag]]</f>
        <v>22.982009983987922</v>
      </c>
      <c r="H363" s="8">
        <f>aktuelleAnleihen[[#This Row],[Stückzinsen]]-aktuelleAnleihen[[#This Row],[Stückzinsen am Kauftag]]+aktuelleAnleihen[[#This Row],[Zinszahlungen]]</f>
        <v>20.352126275182602</v>
      </c>
      <c r="I363" s="8">
        <f>aktuelleAnleihen[[#This Row],[Gewinn gesamt]]-aktuelleAnleihen[[#This Row],[Gewinn aus Kursänderung]]-aktuelleAnleihen[[#This Row],[Gewinn aus Zinsen]]</f>
        <v>-47.767057279920266</v>
      </c>
      <c r="J363" s="7">
        <f>aktuelleAnleihen[[#This Row],[Gewinn gesamt]]/aktuelleAnleihen[[#This Row],[Kaufpreis]]</f>
        <v>-2.338803681789852E-3</v>
      </c>
      <c r="K363" s="3">
        <f>aktuelleAnleihen[[#This Row],[Verkaufspreis]]-aktuelleAnleihen[[#This Row],[Kaufpreis]]+aktuelleAnleihen[[#This Row],[Zinszahlungen]]</f>
        <v>-4.4329210207497454</v>
      </c>
      <c r="L363" s="4">
        <v>1895.3797</v>
      </c>
      <c r="M363" s="7">
        <v>0.99570000000000003</v>
      </c>
      <c r="N363" s="61">
        <v>1.0617000000000001</v>
      </c>
      <c r="O363" s="1">
        <v>1.0891</v>
      </c>
      <c r="P363" s="1" t="s">
        <v>887</v>
      </c>
      <c r="Q363" s="30">
        <v>45399</v>
      </c>
      <c r="R363" s="1">
        <v>2</v>
      </c>
      <c r="S363" s="1">
        <v>1000</v>
      </c>
      <c r="T363" s="9">
        <v>45352</v>
      </c>
      <c r="U363" s="1">
        <v>2</v>
      </c>
      <c r="V363" s="62">
        <f>aktuelleAnleihen[[#This Row],[Stückelung]]*aktuelleAnleihen[[#This Row],[Anteile]]*aktuelleAnleihen[[#This Row],[Coupon]]/aktuelleAnleihen[[#This Row],[Aktueller Wechselkurs]]*($AC$1-aktuelleAnleihen[[#This Row],[Letzte Zinszahlung]])/365</f>
        <v>40.060726275182603</v>
      </c>
      <c r="W363" s="4">
        <v>19.708600000000001</v>
      </c>
      <c r="X363" s="120" t="s">
        <v>276</v>
      </c>
      <c r="Y363" s="120" t="s">
        <v>39</v>
      </c>
      <c r="Z363" s="1" t="s">
        <v>954</v>
      </c>
      <c r="AA363" s="1" t="s">
        <v>953</v>
      </c>
      <c r="AB363" s="3">
        <f>SUMIF('Zinszahlungen Anleihen'!K:K,aktuelleAnleihen[[#This Row],[ISIN]],'Zinszahlungen Anleihen'!D:D)</f>
        <v>0</v>
      </c>
      <c r="AE363" s="9"/>
      <c r="AF363" s="1"/>
      <c r="AI363" s="3"/>
      <c r="AJ363" s="1"/>
      <c r="AM363" s="10"/>
      <c r="AN363" s="1"/>
      <c r="AP363" s="7"/>
      <c r="AQ363" s="1"/>
    </row>
    <row r="364" spans="1:43" x14ac:dyDescent="0.2">
      <c r="A364" s="1" t="s">
        <v>1761</v>
      </c>
      <c r="B364" s="1" t="s">
        <v>0</v>
      </c>
      <c r="C364" s="7">
        <v>0.08</v>
      </c>
      <c r="D364" s="7">
        <v>1.0293000000000001</v>
      </c>
      <c r="E364" s="7">
        <f>aktuelleAnleihen[[#This Row],[Aktueller Kurs]]-aktuelleAnleihen[[#This Row],[Kaufkurs]]</f>
        <v>1.2400000000000189E-2</v>
      </c>
      <c r="F364" s="8">
        <f>aktuelleAnleihen[[#This Row],[Stückelung]]*aktuelleAnleihen[[#This Row],[Aktueller Kurs]]*aktuelleAnleihen[[#This Row],[Anteile]]/aktuelleAnleihen[[#This Row],[Aktueller Wechselkurs]]+aktuelleAnleihen[[#This Row],[Stückzinsen]]</f>
        <v>1931.6414332306558</v>
      </c>
      <c r="G364" s="8">
        <f>aktuelleAnleihen[[#This Row],[Kursdifferenz]]*aktuelleAnleihen[[#This Row],[Anteile]]*aktuelleAnleihen[[#This Row],[Stückelung]]/aktuelleAnleihen[[#This Row],[Wechselkurs am Kauftag]]</f>
        <v>23.127856010445189</v>
      </c>
      <c r="H364" s="8">
        <f>aktuelleAnleihen[[#This Row],[Stückzinsen]]-aktuelleAnleihen[[#This Row],[Stückzinsen am Kauftag]]+aktuelleAnleihen[[#This Row],[Zinszahlungen]]</f>
        <v>14.884877175196824</v>
      </c>
      <c r="I364" s="8">
        <f>aktuelleAnleihen[[#This Row],[Gewinn gesamt]]-aktuelleAnleihen[[#This Row],[Gewinn aus Kursänderung]]-aktuelleAnleihen[[#This Row],[Gewinn aus Zinsen]]</f>
        <v>-29.613999954986205</v>
      </c>
      <c r="J364" s="7">
        <f>aktuelleAnleihen[[#This Row],[Gewinn gesamt]]/aktuelleAnleihen[[#This Row],[Kaufpreis]]</f>
        <v>4.3669648301048053E-3</v>
      </c>
      <c r="K364" s="3">
        <f>aktuelleAnleihen[[#This Row],[Verkaufspreis]]-aktuelleAnleihen[[#This Row],[Kaufpreis]]+aktuelleAnleihen[[#This Row],[Zinszahlungen]]</f>
        <v>8.3987332306558073</v>
      </c>
      <c r="L364" s="4">
        <v>1923.2427</v>
      </c>
      <c r="M364" s="7">
        <v>1.0168999999999999</v>
      </c>
      <c r="N364" s="61">
        <v>1.0723</v>
      </c>
      <c r="O364" s="1">
        <v>1.0891</v>
      </c>
      <c r="P364" s="1" t="s">
        <v>887</v>
      </c>
      <c r="Q364" s="30">
        <v>45412</v>
      </c>
      <c r="R364" s="1">
        <v>2</v>
      </c>
      <c r="S364" s="1">
        <v>1000</v>
      </c>
      <c r="T364" s="9">
        <v>45347</v>
      </c>
      <c r="U364" s="1">
        <v>2</v>
      </c>
      <c r="V364" s="62">
        <f>aktuelleAnleihen[[#This Row],[Stückelung]]*aktuelleAnleihen[[#This Row],[Anteile]]*aktuelleAnleihen[[#This Row],[Coupon]]/aktuelleAnleihen[[#This Row],[Aktueller Wechselkurs]]*($AC$1-aktuelleAnleihen[[#This Row],[Letzte Zinszahlung]])/365</f>
        <v>41.456877175196823</v>
      </c>
      <c r="W364" s="4">
        <v>26.571999999999999</v>
      </c>
      <c r="X364" s="120" t="s">
        <v>986</v>
      </c>
      <c r="Y364" s="120" t="s">
        <v>52</v>
      </c>
      <c r="Z364" s="1" t="s">
        <v>1762</v>
      </c>
      <c r="AA364" s="1" t="s">
        <v>1763</v>
      </c>
      <c r="AB364" s="3">
        <f>SUMIF('Zinszahlungen Anleihen'!K:K,aktuelleAnleihen[[#This Row],[ISIN]],'Zinszahlungen Anleihen'!D:D)</f>
        <v>0</v>
      </c>
      <c r="AE364" s="9"/>
      <c r="AF364" s="1"/>
      <c r="AI364" s="3"/>
      <c r="AJ364" s="1"/>
      <c r="AM364" s="10"/>
      <c r="AN364" s="1"/>
      <c r="AP364" s="7"/>
      <c r="AQ364" s="1"/>
    </row>
    <row r="365" spans="1:43" x14ac:dyDescent="0.2">
      <c r="A365" s="1" t="s">
        <v>1705</v>
      </c>
      <c r="B365" s="1" t="s">
        <v>4</v>
      </c>
      <c r="C365" s="7">
        <v>0.08</v>
      </c>
      <c r="D365" s="7">
        <v>1.04375</v>
      </c>
      <c r="E365" s="7">
        <f>aktuelleAnleihen[[#This Row],[Aktueller Kurs]]-aktuelleAnleihen[[#This Row],[Kaufkurs]]</f>
        <v>1.244999999999985E-2</v>
      </c>
      <c r="F365" s="8">
        <f>aktuelleAnleihen[[#This Row],[Stückelung]]*aktuelleAnleihen[[#This Row],[Aktueller Kurs]]*aktuelleAnleihen[[#This Row],[Anteile]]/aktuelleAnleihen[[#This Row],[Aktueller Wechselkurs]]+aktuelleAnleihen[[#This Row],[Stückzinsen]]</f>
        <v>1925.9775886335708</v>
      </c>
      <c r="G365" s="8">
        <f>aktuelleAnleihen[[#This Row],[Kursdifferenz]]*aktuelleAnleihen[[#This Row],[Anteile]]*aktuelleAnleihen[[#This Row],[Stückelung]]/aktuelleAnleihen[[#This Row],[Wechselkurs am Kauftag]]</f>
        <v>23.221113494357642</v>
      </c>
      <c r="H365" s="8">
        <f>aktuelleAnleihen[[#This Row],[Stückzinsen]]-aktuelleAnleihen[[#This Row],[Stückzinsen am Kauftag]]+aktuelleAnleihen[[#This Row],[Zinszahlungen]]</f>
        <v>14.945420162701822</v>
      </c>
      <c r="I365" s="8">
        <f>aktuelleAnleihen[[#This Row],[Gewinn gesamt]]-aktuelleAnleihen[[#This Row],[Gewinn aus Kursänderung]]-aktuelleAnleihen[[#This Row],[Gewinn aus Zinsen]]</f>
        <v>-30.029785783403714</v>
      </c>
      <c r="J365" s="7">
        <f>aktuelleAnleihen[[#This Row],[Gewinn gesamt]]/aktuelleAnleihen[[#This Row],[Kaufpreis]]</f>
        <v>4.0851260173434961E-3</v>
      </c>
      <c r="K365" s="3">
        <f>aktuelleAnleihen[[#This Row],[Verkaufspreis]]-aktuelleAnleihen[[#This Row],[Kaufpreis]]+aktuelleAnleihen[[#This Row],[Zinszahlungen]]</f>
        <v>8.1367478736557501</v>
      </c>
      <c r="L365" s="4">
        <v>1991.7985000000001</v>
      </c>
      <c r="M365" s="7">
        <v>1.0313000000000001</v>
      </c>
      <c r="N365" s="61">
        <v>1.0723</v>
      </c>
      <c r="O365" s="1">
        <v>1.0891</v>
      </c>
      <c r="P365" s="1" t="s">
        <v>887</v>
      </c>
      <c r="Q365" s="30">
        <v>45412</v>
      </c>
      <c r="R365" s="1">
        <v>2</v>
      </c>
      <c r="S365" s="1">
        <v>1000</v>
      </c>
      <c r="T365" s="9">
        <v>45427</v>
      </c>
      <c r="U365" s="1">
        <v>2</v>
      </c>
      <c r="V365" s="62">
        <f>aktuelleAnleihen[[#This Row],[Stückelung]]*aktuelleAnleihen[[#This Row],[Anteile]]*aktuelleAnleihen[[#This Row],[Coupon]]/aktuelleAnleihen[[#This Row],[Aktueller Wechselkurs]]*($AC$1-aktuelleAnleihen[[#This Row],[Letzte Zinszahlung]])/365</f>
        <v>9.2573609226167655</v>
      </c>
      <c r="W365" s="4">
        <v>68.269599999999997</v>
      </c>
      <c r="X365" s="120" t="s">
        <v>276</v>
      </c>
      <c r="Y365" s="120" t="s">
        <v>1011</v>
      </c>
      <c r="Z365" s="1" t="s">
        <v>1706</v>
      </c>
      <c r="AA365" s="1" t="s">
        <v>1707</v>
      </c>
      <c r="AB365" s="3">
        <f>SUMIF('Zinszahlungen Anleihen'!K:K,aktuelleAnleihen[[#This Row],[ISIN]],'Zinszahlungen Anleihen'!D:D)</f>
        <v>73.95765924008505</v>
      </c>
      <c r="AE365" s="9"/>
      <c r="AF365" s="1"/>
      <c r="AI365" s="3"/>
      <c r="AJ365" s="1"/>
      <c r="AM365" s="10"/>
      <c r="AN365" s="1"/>
      <c r="AP365" s="7"/>
      <c r="AQ365" s="1"/>
    </row>
    <row r="366" spans="1:43" x14ac:dyDescent="0.2">
      <c r="A366" s="1" t="s">
        <v>1501</v>
      </c>
      <c r="B366" s="1" t="s">
        <v>2</v>
      </c>
      <c r="C366" s="7">
        <v>0.1125</v>
      </c>
      <c r="D366" s="7">
        <v>1.0925</v>
      </c>
      <c r="E366" s="7">
        <f>aktuelleAnleihen[[#This Row],[Aktueller Kurs]]-aktuelleAnleihen[[#This Row],[Kaufkurs]]</f>
        <v>1.2499999999999956E-2</v>
      </c>
      <c r="F366" s="8">
        <f>aktuelleAnleihen[[#This Row],[Stückelung]]*aktuelleAnleihen[[#This Row],[Aktueller Kurs]]*aktuelleAnleihen[[#This Row],[Anteile]]/aktuelleAnleihen[[#This Row],[Aktueller Wechselkurs]]+aktuelleAnleihen[[#This Row],[Stückzinsen]]</f>
        <v>2032.846022164839</v>
      </c>
      <c r="G366" s="8">
        <f>aktuelleAnleihen[[#This Row],[Kursdifferenz]]*aktuelleAnleihen[[#This Row],[Anteile]]*aktuelleAnleihen[[#This Row],[Stückelung]]/aktuelleAnleihen[[#This Row],[Wechselkurs am Kauftag]]</f>
        <v>23.314370978270922</v>
      </c>
      <c r="H366" s="8">
        <f>aktuelleAnleihen[[#This Row],[Stückzinsen]]-aktuelleAnleihen[[#This Row],[Stückzinsen am Kauftag]]+aktuelleAnleihen[[#This Row],[Zinszahlungen]]</f>
        <v>21.428434716487033</v>
      </c>
      <c r="I366" s="8">
        <f>aktuelleAnleihen[[#This Row],[Gewinn gesamt]]-aktuelleAnleihen[[#This Row],[Gewinn aus Kursänderung]]-aktuelleAnleihen[[#This Row],[Gewinn aus Zinsen]]</f>
        <v>-31.43228352991887</v>
      </c>
      <c r="J366" s="7">
        <f>aktuelleAnleihen[[#This Row],[Gewinn gesamt]]/aktuelleAnleihen[[#This Row],[Kaufpreis]]</f>
        <v>6.5908829851414278E-3</v>
      </c>
      <c r="K366" s="3">
        <f>aktuelleAnleihen[[#This Row],[Verkaufspreis]]-aktuelleAnleihen[[#This Row],[Kaufpreis]]+aktuelleAnleihen[[#This Row],[Zinszahlungen]]</f>
        <v>13.310522164839085</v>
      </c>
      <c r="L366" s="4">
        <v>2019.5355</v>
      </c>
      <c r="M366" s="7">
        <v>1.08</v>
      </c>
      <c r="N366" s="61">
        <v>1.0723</v>
      </c>
      <c r="O366" s="1">
        <v>1.0891</v>
      </c>
      <c r="P366" s="1" t="s">
        <v>887</v>
      </c>
      <c r="Q366" s="30">
        <v>45412</v>
      </c>
      <c r="R366" s="1">
        <v>2</v>
      </c>
      <c r="S366" s="1">
        <v>1000</v>
      </c>
      <c r="T366" s="9">
        <v>45403</v>
      </c>
      <c r="U366" s="1">
        <v>2</v>
      </c>
      <c r="V366" s="62">
        <f>aktuelleAnleihen[[#This Row],[Stückelung]]*aktuelleAnleihen[[#This Row],[Anteile]]*aktuelleAnleihen[[#This Row],[Coupon]]/aktuelleAnleihen[[#This Row],[Aktueller Wechselkurs]]*($AC$1-aktuelleAnleihen[[#This Row],[Letzte Zinszahlung]])/365</f>
        <v>26.602334716487032</v>
      </c>
      <c r="W366" s="4">
        <v>5.1738999999999997</v>
      </c>
      <c r="X366" s="120" t="s">
        <v>629</v>
      </c>
      <c r="Y366" s="120" t="s">
        <v>1011</v>
      </c>
      <c r="Z366" s="1" t="s">
        <v>1502</v>
      </c>
      <c r="AA366" s="1" t="s">
        <v>1503</v>
      </c>
      <c r="AB366" s="3">
        <f>SUMIF('Zinszahlungen Anleihen'!K:K,aktuelleAnleihen[[#This Row],[ISIN]],'Zinszahlungen Anleihen'!D:D)</f>
        <v>0</v>
      </c>
      <c r="AE366" s="9"/>
      <c r="AF366" s="1"/>
      <c r="AI366" s="3"/>
      <c r="AJ366" s="1"/>
      <c r="AM366" s="10"/>
      <c r="AN366" s="1"/>
      <c r="AP366" s="7"/>
      <c r="AQ366" s="1"/>
    </row>
    <row r="367" spans="1:43" x14ac:dyDescent="0.2">
      <c r="A367" s="1" t="s">
        <v>1416</v>
      </c>
      <c r="B367" s="1" t="s">
        <v>0</v>
      </c>
      <c r="C367" s="7">
        <v>8.6249999999999993E-2</v>
      </c>
      <c r="D367" s="7">
        <v>0.99880000000000002</v>
      </c>
      <c r="E367" s="7">
        <f>aktuelleAnleihen[[#This Row],[Aktueller Kurs]]-aktuelleAnleihen[[#This Row],[Kaufkurs]]</f>
        <v>1.2500000000000067E-2</v>
      </c>
      <c r="F367" s="8">
        <f>aktuelleAnleihen[[#This Row],[Stückelung]]*aktuelleAnleihen[[#This Row],[Aktueller Kurs]]*aktuelleAnleihen[[#This Row],[Anteile]]/aktuelleAnleihen[[#This Row],[Aktueller Wechselkurs]]+aktuelleAnleihen[[#This Row],[Stückzinsen]]</f>
        <v>1851.9664974095742</v>
      </c>
      <c r="G367" s="8">
        <f>aktuelleAnleihen[[#This Row],[Kursdifferenz]]*aktuelleAnleihen[[#This Row],[Anteile]]*aktuelleAnleihen[[#This Row],[Stückelung]]/aktuelleAnleihen[[#This Row],[Wechselkurs am Kauftag]]</f>
        <v>23.314370978271132</v>
      </c>
      <c r="H367" s="8">
        <f>aktuelleAnleihen[[#This Row],[Stückzinsen]]-aktuelleAnleihen[[#This Row],[Stückzinsen am Kauftag]]+aktuelleAnleihen[[#This Row],[Zinszahlungen]]</f>
        <v>16.469290523154097</v>
      </c>
      <c r="I367" s="8">
        <f>aktuelleAnleihen[[#This Row],[Gewinn gesamt]]-aktuelleAnleihen[[#This Row],[Gewinn aus Kursänderung]]-aktuelleAnleihen[[#This Row],[Gewinn aus Zinsen]]</f>
        <v>-28.736464091851019</v>
      </c>
      <c r="J367" s="7">
        <f>aktuelleAnleihen[[#This Row],[Gewinn gesamt]]/aktuelleAnleihen[[#This Row],[Kaufpreis]]</f>
        <v>6.0009134618634339E-3</v>
      </c>
      <c r="K367" s="3">
        <f>aktuelleAnleihen[[#This Row],[Verkaufspreis]]-aktuelleAnleihen[[#This Row],[Kaufpreis]]+aktuelleAnleihen[[#This Row],[Zinszahlungen]]</f>
        <v>11.04719740957421</v>
      </c>
      <c r="L367" s="4">
        <v>1840.9193</v>
      </c>
      <c r="M367" s="7">
        <v>0.98629999999999995</v>
      </c>
      <c r="N367" s="61">
        <v>1.0723</v>
      </c>
      <c r="O367" s="1">
        <v>1.0891</v>
      </c>
      <c r="P367" s="1" t="s">
        <v>887</v>
      </c>
      <c r="Q367" s="30">
        <v>45412</v>
      </c>
      <c r="R367" s="1">
        <v>2</v>
      </c>
      <c r="S367" s="1">
        <v>1000</v>
      </c>
      <c r="T367" s="9">
        <v>45409</v>
      </c>
      <c r="U367" s="1">
        <v>2</v>
      </c>
      <c r="V367" s="62">
        <f>aktuelleAnleihen[[#This Row],[Stückelung]]*aktuelleAnleihen[[#This Row],[Anteile]]*aktuelleAnleihen[[#This Row],[Coupon]]/aktuelleAnleihen[[#This Row],[Aktueller Wechselkurs]]*($AC$1-aktuelleAnleihen[[#This Row],[Letzte Zinszahlung]])/365</f>
        <v>17.791490523154096</v>
      </c>
      <c r="W367" s="4">
        <v>1.3222</v>
      </c>
      <c r="X367" s="120" t="s">
        <v>51</v>
      </c>
      <c r="Y367" s="120" t="s">
        <v>109</v>
      </c>
      <c r="Z367" s="1" t="s">
        <v>1417</v>
      </c>
      <c r="AA367" s="1" t="s">
        <v>1418</v>
      </c>
      <c r="AB367" s="3">
        <f>SUMIF('Zinszahlungen Anleihen'!K:K,aktuelleAnleihen[[#This Row],[ISIN]],'Zinszahlungen Anleihen'!D:D)</f>
        <v>0</v>
      </c>
      <c r="AE367" s="9"/>
      <c r="AF367" s="1"/>
      <c r="AI367" s="3"/>
      <c r="AJ367" s="1"/>
      <c r="AM367" s="10"/>
      <c r="AN367" s="1"/>
      <c r="AP367" s="7"/>
      <c r="AQ367" s="1"/>
    </row>
    <row r="368" spans="1:43" x14ac:dyDescent="0.2">
      <c r="A368" s="1" t="s">
        <v>1424</v>
      </c>
      <c r="B368" s="1" t="s">
        <v>4</v>
      </c>
      <c r="C368" s="7">
        <v>8.5500000000000007E-2</v>
      </c>
      <c r="D368" s="7">
        <v>1.0720999999999998</v>
      </c>
      <c r="E368" s="7">
        <f>aktuelleAnleihen[[#This Row],[Aktueller Kurs]]-aktuelleAnleihen[[#This Row],[Kaufkurs]]</f>
        <v>1.2699999999999934E-2</v>
      </c>
      <c r="F368" s="8">
        <f>aktuelleAnleihen[[#This Row],[Stückelung]]*aktuelleAnleihen[[#This Row],[Aktueller Kurs]]*aktuelleAnleihen[[#This Row],[Anteile]]/aktuelleAnleihen[[#This Row],[Aktueller Wechselkurs]]+aktuelleAnleihen[[#This Row],[Stückzinsen]]</f>
        <v>2003.6249611656224</v>
      </c>
      <c r="G368" s="8">
        <f>aktuelleAnleihen[[#This Row],[Kursdifferenz]]*aktuelleAnleihen[[#This Row],[Anteile]]*aktuelleAnleihen[[#This Row],[Stückelung]]/aktuelleAnleihen[[#This Row],[Wechselkurs am Kauftag]]</f>
        <v>23.687400913923216</v>
      </c>
      <c r="H368" s="8">
        <f>aktuelleAnleihen[[#This Row],[Stückzinsen]]-aktuelleAnleihen[[#This Row],[Stückzinsen am Kauftag]]+aktuelleAnleihen[[#This Row],[Zinszahlungen]]</f>
        <v>16.056498407381742</v>
      </c>
      <c r="I368" s="8">
        <f>aktuelleAnleihen[[#This Row],[Gewinn gesamt]]-aktuelleAnleihen[[#This Row],[Gewinn aus Kursänderung]]-aktuelleAnleihen[[#This Row],[Gewinn aus Zinsen]]</f>
        <v>-30.845438155682565</v>
      </c>
      <c r="J368" s="7">
        <f>aktuelleAnleihen[[#This Row],[Gewinn gesamt]]/aktuelleAnleihen[[#This Row],[Kaufpreis]]</f>
        <v>4.4609931063844558E-3</v>
      </c>
      <c r="K368" s="3">
        <f>aktuelleAnleihen[[#This Row],[Verkaufspreis]]-aktuelleAnleihen[[#This Row],[Kaufpreis]]+aktuelleAnleihen[[#This Row],[Zinszahlungen]]</f>
        <v>8.8984611656223933</v>
      </c>
      <c r="L368" s="4">
        <v>1994.7265</v>
      </c>
      <c r="M368" s="7">
        <v>1.0593999999999999</v>
      </c>
      <c r="N368" s="61">
        <v>1.0723</v>
      </c>
      <c r="O368" s="1">
        <v>1.0891</v>
      </c>
      <c r="P368" s="1" t="s">
        <v>887</v>
      </c>
      <c r="Q368" s="30">
        <v>45412</v>
      </c>
      <c r="R368" s="1">
        <v>2</v>
      </c>
      <c r="S368" s="1">
        <v>1000</v>
      </c>
      <c r="T368" s="9">
        <v>45369</v>
      </c>
      <c r="U368" s="1">
        <v>2</v>
      </c>
      <c r="V368" s="62">
        <f>aktuelleAnleihen[[#This Row],[Stückelung]]*aktuelleAnleihen[[#This Row],[Anteile]]*aktuelleAnleihen[[#This Row],[Coupon]]/aktuelleAnleihen[[#This Row],[Aktueller Wechselkurs]]*($AC$1-aktuelleAnleihen[[#This Row],[Letzte Zinszahlung]])/365</f>
        <v>34.843398407381741</v>
      </c>
      <c r="W368" s="4">
        <v>18.786899999999999</v>
      </c>
      <c r="X368" s="120" t="s">
        <v>1373</v>
      </c>
      <c r="Y368" s="120" t="s">
        <v>39</v>
      </c>
      <c r="Z368" s="1" t="s">
        <v>1425</v>
      </c>
      <c r="AA368" s="1" t="s">
        <v>1426</v>
      </c>
      <c r="AB368" s="3">
        <f>SUMIF('Zinszahlungen Anleihen'!K:K,aktuelleAnleihen[[#This Row],[ISIN]],'Zinszahlungen Anleihen'!D:D)</f>
        <v>0</v>
      </c>
      <c r="AE368" s="9"/>
      <c r="AF368" s="1"/>
      <c r="AI368" s="3"/>
      <c r="AJ368" s="1"/>
      <c r="AM368" s="10"/>
      <c r="AN368" s="1"/>
      <c r="AP368" s="7"/>
      <c r="AQ368" s="1"/>
    </row>
    <row r="369" spans="1:43" x14ac:dyDescent="0.2">
      <c r="A369" s="1" t="s">
        <v>536</v>
      </c>
      <c r="B369" s="1" t="s">
        <v>0</v>
      </c>
      <c r="C369" s="7">
        <v>7.5839999999999991E-2</v>
      </c>
      <c r="D369" s="7">
        <v>1.0430999999999999</v>
      </c>
      <c r="E369" s="7">
        <f>aktuelleAnleihen[[#This Row],[Aktueller Kurs]]-aktuelleAnleihen[[#This Row],[Kaufkurs]]</f>
        <v>1.2000000000000011E-2</v>
      </c>
      <c r="F369" s="8">
        <f>aktuelleAnleihen[[#This Row],[Stückelung]]*aktuelleAnleihen[[#This Row],[Aktueller Kurs]]*aktuelleAnleihen[[#This Row],[Anteile]]/aktuelleAnleihen[[#This Row],[Aktueller Wechselkurs]]+aktuelleAnleihen[[#This Row],[Stückzinsen]]</f>
        <v>2183.4414246575338</v>
      </c>
      <c r="G369" s="8">
        <f>aktuelleAnleihen[[#This Row],[Kursdifferenz]]*aktuelleAnleihen[[#This Row],[Anteile]]*aktuelleAnleihen[[#This Row],[Stückelung]]/aktuelleAnleihen[[#This Row],[Wechselkurs am Kauftag]]</f>
        <v>24.000000000000021</v>
      </c>
      <c r="H369" s="8">
        <f>aktuelleAnleihen[[#This Row],[Stückzinsen]]-aktuelleAnleihen[[#This Row],[Stückzinsen am Kauftag]]+aktuelleAnleihen[[#This Row],[Zinszahlungen]]</f>
        <v>27.011524657534238</v>
      </c>
      <c r="I369" s="8">
        <f>aktuelleAnleihen[[#This Row],[Gewinn gesamt]]-aktuelleAnleihen[[#This Row],[Gewinn aus Kursänderung]]-aktuelleAnleihen[[#This Row],[Gewinn aus Zinsen]]</f>
        <v>-5.0448534238967113E-13</v>
      </c>
      <c r="J369" s="7">
        <f>aktuelleAnleihen[[#This Row],[Gewinn gesamt]]/aktuelleAnleihen[[#This Row],[Kaufpreis]]</f>
        <v>2.3921782684407939E-2</v>
      </c>
      <c r="K369" s="3">
        <f>aktuelleAnleihen[[#This Row],[Verkaufspreis]]-aktuelleAnleihen[[#This Row],[Kaufpreis]]+aktuelleAnleihen[[#This Row],[Zinszahlungen]]</f>
        <v>51.011524657533755</v>
      </c>
      <c r="L369" s="4">
        <v>2132.4299000000001</v>
      </c>
      <c r="M369" s="7">
        <v>1.0310999999999999</v>
      </c>
      <c r="N369" s="61">
        <v>1</v>
      </c>
      <c r="O369" s="1">
        <v>1</v>
      </c>
      <c r="P369" s="1" t="s">
        <v>925</v>
      </c>
      <c r="Q369" s="30">
        <v>45385</v>
      </c>
      <c r="R369" s="1">
        <v>2</v>
      </c>
      <c r="S369" s="1">
        <v>1000</v>
      </c>
      <c r="T369" s="9">
        <v>45216</v>
      </c>
      <c r="U369" s="1">
        <v>1</v>
      </c>
      <c r="V369" s="62">
        <f>aktuelleAnleihen[[#This Row],[Stückelung]]*aktuelleAnleihen[[#This Row],[Anteile]]*aktuelleAnleihen[[#This Row],[Coupon]]/aktuelleAnleihen[[#This Row],[Aktueller Wechselkurs]]*($AC$1-aktuelleAnleihen[[#This Row],[Letzte Zinszahlung]])/365</f>
        <v>97.241424657534239</v>
      </c>
      <c r="W369" s="4">
        <v>70.229900000000001</v>
      </c>
      <c r="X369" s="120" t="s">
        <v>170</v>
      </c>
      <c r="Y369" s="120" t="s">
        <v>81</v>
      </c>
      <c r="Z369" s="1" t="s">
        <v>537</v>
      </c>
      <c r="AA369" s="1" t="s">
        <v>538</v>
      </c>
      <c r="AB369" s="3">
        <f>SUMIF('Zinszahlungen Anleihen'!K:K,aktuelleAnleihen[[#This Row],[ISIN]],'Zinszahlungen Anleihen'!D:D)</f>
        <v>0</v>
      </c>
      <c r="AE369" s="9"/>
      <c r="AF369" s="1"/>
      <c r="AI369" s="3"/>
      <c r="AJ369" s="1"/>
      <c r="AM369" s="10"/>
      <c r="AN369" s="1"/>
      <c r="AP369" s="7"/>
      <c r="AQ369" s="1"/>
    </row>
    <row r="370" spans="1:43" x14ac:dyDescent="0.2">
      <c r="A370" s="1" t="s">
        <v>1800</v>
      </c>
      <c r="B370" s="1" t="s">
        <v>10</v>
      </c>
      <c r="C370" s="7">
        <v>7.7499999999999999E-2</v>
      </c>
      <c r="D370" s="7">
        <v>1.0368000000000002</v>
      </c>
      <c r="E370" s="7">
        <f>aktuelleAnleihen[[#This Row],[Aktueller Kurs]]-aktuelleAnleihen[[#This Row],[Kaufkurs]]</f>
        <v>1.2500000000000178E-2</v>
      </c>
      <c r="F370" s="8">
        <f>aktuelleAnleihen[[#This Row],[Stückelung]]*aktuelleAnleihen[[#This Row],[Aktueller Kurs]]*aktuelleAnleihen[[#This Row],[Anteile]]/aktuelleAnleihen[[#This Row],[Aktueller Wechselkurs]]+aktuelleAnleihen[[#This Row],[Stückzinsen]]</f>
        <v>2085.4904109589042</v>
      </c>
      <c r="G370" s="8">
        <f>aktuelleAnleihen[[#This Row],[Kursdifferenz]]*aktuelleAnleihen[[#This Row],[Anteile]]*aktuelleAnleihen[[#This Row],[Stückelung]]/aktuelleAnleihen[[#This Row],[Wechselkurs am Kauftag]]</f>
        <v>25.000000000000355</v>
      </c>
      <c r="H370" s="8">
        <f>aktuelleAnleihen[[#This Row],[Stückzinsen]]-aktuelleAnleihen[[#This Row],[Stückzinsen am Kauftag]]+aktuelleAnleihen[[#This Row],[Zinszahlungen]]</f>
        <v>9.7671109589041087</v>
      </c>
      <c r="I370" s="8">
        <f>aktuelleAnleihen[[#This Row],[Gewinn gesamt]]-aktuelleAnleihen[[#This Row],[Gewinn aus Kursänderung]]-aktuelleAnleihen[[#This Row],[Gewinn aus Zinsen]]</f>
        <v>-3.2329694477084558E-13</v>
      </c>
      <c r="J370" s="7">
        <f>aktuelleAnleihen[[#This Row],[Gewinn gesamt]]/aktuelleAnleihen[[#This Row],[Kaufpreis]]</f>
        <v>1.6953584600567097E-2</v>
      </c>
      <c r="K370" s="3">
        <f>aktuelleAnleihen[[#This Row],[Verkaufspreis]]-aktuelleAnleihen[[#This Row],[Kaufpreis]]+aktuelleAnleihen[[#This Row],[Zinszahlungen]]</f>
        <v>34.767110958904141</v>
      </c>
      <c r="L370" s="4">
        <v>2050.7233000000001</v>
      </c>
      <c r="M370" s="7">
        <v>1.0243</v>
      </c>
      <c r="N370" s="61">
        <v>1</v>
      </c>
      <c r="O370" s="1">
        <v>1</v>
      </c>
      <c r="P370" s="1" t="s">
        <v>925</v>
      </c>
      <c r="Q370" s="30">
        <v>45427</v>
      </c>
      <c r="R370" s="1">
        <v>2</v>
      </c>
      <c r="S370" s="1">
        <v>1000</v>
      </c>
      <c r="T370" s="9">
        <v>45422</v>
      </c>
      <c r="U370" s="1">
        <v>2</v>
      </c>
      <c r="V370" s="62">
        <f>aktuelleAnleihen[[#This Row],[Stückelung]]*aktuelleAnleihen[[#This Row],[Anteile]]*aktuelleAnleihen[[#This Row],[Coupon]]/aktuelleAnleihen[[#This Row],[Aktueller Wechselkurs]]*($AC$1-aktuelleAnleihen[[#This Row],[Letzte Zinszahlung]])/365</f>
        <v>11.890410958904109</v>
      </c>
      <c r="W370" s="4">
        <v>2.1233</v>
      </c>
      <c r="X370" s="120" t="s">
        <v>56</v>
      </c>
      <c r="Y370" s="120" t="s">
        <v>57</v>
      </c>
      <c r="Z370" s="1" t="s">
        <v>1801</v>
      </c>
      <c r="AA370" s="1" t="s">
        <v>1802</v>
      </c>
      <c r="AB370" s="3">
        <f>SUMIF('Zinszahlungen Anleihen'!K:K,aktuelleAnleihen[[#This Row],[ISIN]],'Zinszahlungen Anleihen'!D:D)</f>
        <v>0</v>
      </c>
      <c r="AE370" s="9"/>
      <c r="AF370" s="1"/>
      <c r="AI370" s="3"/>
      <c r="AJ370" s="1"/>
      <c r="AM370" s="10"/>
      <c r="AN370" s="1"/>
      <c r="AP370" s="7"/>
      <c r="AQ370" s="1"/>
    </row>
    <row r="371" spans="1:43" x14ac:dyDescent="0.2">
      <c r="A371" s="1" t="s">
        <v>1668</v>
      </c>
      <c r="B371" s="1" t="s">
        <v>8</v>
      </c>
      <c r="C371" s="7">
        <v>8.1250000000000003E-2</v>
      </c>
      <c r="D371" s="7">
        <v>0.77625</v>
      </c>
      <c r="E371" s="7">
        <f>aktuelleAnleihen[[#This Row],[Aktueller Kurs]]-aktuelleAnleihen[[#This Row],[Kaufkurs]]</f>
        <v>1.375000000000004E-2</v>
      </c>
      <c r="F371" s="8">
        <f>aktuelleAnleihen[[#This Row],[Stückelung]]*aktuelleAnleihen[[#This Row],[Aktueller Kurs]]*aktuelleAnleihen[[#This Row],[Anteile]]/aktuelleAnleihen[[#This Row],[Aktueller Wechselkurs]]+aktuelleAnleihen[[#This Row],[Stückzinsen]]</f>
        <v>1477.404366807833</v>
      </c>
      <c r="G371" s="8">
        <f>aktuelleAnleihen[[#This Row],[Kursdifferenz]]*aktuelleAnleihen[[#This Row],[Anteile]]*aktuelleAnleihen[[#This Row],[Stückelung]]/aktuelleAnleihen[[#This Row],[Wechselkurs am Kauftag]]</f>
        <v>25.645808076098177</v>
      </c>
      <c r="H371" s="8">
        <f>aktuelleAnleihen[[#This Row],[Stückzinsen]]-aktuelleAnleihen[[#This Row],[Stückzinsen am Kauftag]]+aktuelleAnleihen[[#This Row],[Zinszahlungen]]</f>
        <v>14.963730989267248</v>
      </c>
      <c r="I371" s="8">
        <f>aktuelleAnleihen[[#This Row],[Gewinn gesamt]]-aktuelleAnleihen[[#This Row],[Gewinn aus Kursänderung]]-aktuelleAnleihen[[#This Row],[Gewinn aus Zinsen]]</f>
        <v>-22.333472257532549</v>
      </c>
      <c r="J371" s="7">
        <f>aktuelleAnleihen[[#This Row],[Gewinn gesamt]]/aktuelleAnleihen[[#This Row],[Kaufpreis]]</f>
        <v>1.2525332287663036E-2</v>
      </c>
      <c r="K371" s="3">
        <f>aktuelleAnleihen[[#This Row],[Verkaufspreis]]-aktuelleAnleihen[[#This Row],[Kaufpreis]]+aktuelleAnleihen[[#This Row],[Zinszahlungen]]</f>
        <v>18.276066807832876</v>
      </c>
      <c r="L371" s="4">
        <v>1459.1283000000001</v>
      </c>
      <c r="M371" s="7">
        <v>0.76249999999999996</v>
      </c>
      <c r="N371" s="61">
        <v>1.0723</v>
      </c>
      <c r="O371" s="1">
        <v>1.0891</v>
      </c>
      <c r="P371" s="1" t="s">
        <v>887</v>
      </c>
      <c r="Q371" s="30">
        <v>45412</v>
      </c>
      <c r="R371" s="1">
        <v>2</v>
      </c>
      <c r="S371" s="1">
        <v>1000</v>
      </c>
      <c r="T371" s="9">
        <v>45323</v>
      </c>
      <c r="U371" s="1">
        <v>2</v>
      </c>
      <c r="V371" s="62">
        <f>aktuelleAnleihen[[#This Row],[Stückelung]]*aktuelleAnleihen[[#This Row],[Anteile]]*aktuelleAnleihen[[#This Row],[Coupon]]/aktuelleAnleihen[[#This Row],[Aktueller Wechselkurs]]*($AC$1-aktuelleAnleihen[[#This Row],[Letzte Zinszahlung]])/365</f>
        <v>51.91543098926725</v>
      </c>
      <c r="W371" s="4">
        <v>36.951700000000002</v>
      </c>
      <c r="X371" s="120" t="s">
        <v>102</v>
      </c>
      <c r="Y371" s="120" t="s">
        <v>1011</v>
      </c>
      <c r="Z371" s="1" t="s">
        <v>1669</v>
      </c>
      <c r="AA371" s="1" t="s">
        <v>1670</v>
      </c>
      <c r="AB371" s="3">
        <f>SUMIF('Zinszahlungen Anleihen'!K:K,aktuelleAnleihen[[#This Row],[ISIN]],'Zinszahlungen Anleihen'!D:D)</f>
        <v>0</v>
      </c>
      <c r="AE371" s="9"/>
      <c r="AF371" s="1"/>
      <c r="AI371" s="3"/>
      <c r="AJ371" s="1"/>
      <c r="AM371" s="10"/>
      <c r="AN371" s="1"/>
      <c r="AP371" s="7"/>
      <c r="AQ371" s="1"/>
    </row>
    <row r="372" spans="1:43" x14ac:dyDescent="0.2">
      <c r="A372" s="1" t="s">
        <v>477</v>
      </c>
      <c r="B372" s="1" t="s">
        <v>1</v>
      </c>
      <c r="C372" s="7">
        <v>7.9160000000000008E-2</v>
      </c>
      <c r="D372" s="7">
        <v>1.0156000000000001</v>
      </c>
      <c r="E372" s="7">
        <f>aktuelleAnleihen[[#This Row],[Aktueller Kurs]]-aktuelleAnleihen[[#This Row],[Kaufkurs]]</f>
        <v>1.2999999999999901E-2</v>
      </c>
      <c r="F372" s="8">
        <f>aktuelleAnleihen[[#This Row],[Stückelung]]*aktuelleAnleihen[[#This Row],[Aktueller Kurs]]*aktuelleAnleihen[[#This Row],[Anteile]]/aktuelleAnleihen[[#This Row],[Aktueller Wechselkurs]]+aktuelleAnleihen[[#This Row],[Stückzinsen]]</f>
        <v>2061.9964931506852</v>
      </c>
      <c r="G372" s="8">
        <f>aktuelleAnleihen[[#This Row],[Kursdifferenz]]*aktuelleAnleihen[[#This Row],[Anteile]]*aktuelleAnleihen[[#This Row],[Stückelung]]/aktuelleAnleihen[[#This Row],[Wechselkurs am Kauftag]]</f>
        <v>25.999999999999801</v>
      </c>
      <c r="H372" s="8">
        <f>aktuelleAnleihen[[#This Row],[Stückzinsen]]-aktuelleAnleihen[[#This Row],[Stückzinsen am Kauftag]]+aktuelleAnleihen[[#This Row],[Zinszahlungen]]</f>
        <v>28.193993150684936</v>
      </c>
      <c r="I372" s="8">
        <f>aktuelleAnleihen[[#This Row],[Gewinn gesamt]]-aktuelleAnleihen[[#This Row],[Gewinn aus Kursänderung]]-aktuelleAnleihen[[#This Row],[Gewinn aus Zinsen]]</f>
        <v>4.3698378249246161E-13</v>
      </c>
      <c r="J372" s="7">
        <f>aktuelleAnleihen[[#This Row],[Gewinn gesamt]]/aktuelleAnleihen[[#This Row],[Kaufpreis]]</f>
        <v>2.6991695224348598E-2</v>
      </c>
      <c r="K372" s="3">
        <f>aktuelleAnleihen[[#This Row],[Verkaufspreis]]-aktuelleAnleihen[[#This Row],[Kaufpreis]]+aktuelleAnleihen[[#This Row],[Zinszahlungen]]</f>
        <v>54.193993150685174</v>
      </c>
      <c r="L372" s="4">
        <v>2007.8025</v>
      </c>
      <c r="M372" s="7">
        <v>1.0026000000000002</v>
      </c>
      <c r="N372" s="61">
        <v>1</v>
      </c>
      <c r="O372" s="1">
        <v>1</v>
      </c>
      <c r="P372" s="1" t="s">
        <v>925</v>
      </c>
      <c r="Q372" s="30">
        <v>45385</v>
      </c>
      <c r="R372" s="1">
        <v>2</v>
      </c>
      <c r="S372" s="1">
        <v>1000</v>
      </c>
      <c r="T372" s="9">
        <v>45379</v>
      </c>
      <c r="U372" s="1">
        <v>4</v>
      </c>
      <c r="V372" s="62">
        <f>aktuelleAnleihen[[#This Row],[Stückelung]]*aktuelleAnleihen[[#This Row],[Anteile]]*aktuelleAnleihen[[#This Row],[Coupon]]/aktuelleAnleihen[[#This Row],[Aktueller Wechselkurs]]*($AC$1-aktuelleAnleihen[[#This Row],[Letzte Zinszahlung]])/365</f>
        <v>30.796493150684935</v>
      </c>
      <c r="W372" s="4">
        <v>2.6025</v>
      </c>
      <c r="X372" s="120" t="s">
        <v>170</v>
      </c>
      <c r="Y372" s="120" t="s">
        <v>61</v>
      </c>
      <c r="Z372" s="1" t="s">
        <v>478</v>
      </c>
      <c r="AA372" s="1" t="s">
        <v>479</v>
      </c>
      <c r="AB372" s="3">
        <f>SUMIF('Zinszahlungen Anleihen'!K:K,aktuelleAnleihen[[#This Row],[ISIN]],'Zinszahlungen Anleihen'!D:D)</f>
        <v>0</v>
      </c>
      <c r="AE372" s="9"/>
      <c r="AF372" s="1"/>
      <c r="AI372" s="3"/>
      <c r="AJ372" s="1"/>
      <c r="AM372" s="10"/>
      <c r="AN372" s="1"/>
      <c r="AP372" s="7"/>
      <c r="AQ372" s="1"/>
    </row>
    <row r="373" spans="1:43" x14ac:dyDescent="0.2">
      <c r="A373" s="1" t="s">
        <v>444</v>
      </c>
      <c r="B373" s="1" t="s">
        <v>0</v>
      </c>
      <c r="C373" s="7">
        <v>0.08</v>
      </c>
      <c r="D373" s="7">
        <v>1.0780000000000001</v>
      </c>
      <c r="E373" s="7">
        <f>aktuelleAnleihen[[#This Row],[Aktueller Kurs]]-aktuelleAnleihen[[#This Row],[Kaufkurs]]</f>
        <v>1.3000000000000123E-2</v>
      </c>
      <c r="F373" s="8">
        <f>aktuelleAnleihen[[#This Row],[Stückelung]]*aktuelleAnleihen[[#This Row],[Aktueller Kurs]]*aktuelleAnleihen[[#This Row],[Anteile]]/aktuelleAnleihen[[#This Row],[Aktueller Wechselkurs]]+aktuelleAnleihen[[#This Row],[Stückzinsen]]</f>
        <v>2239.7260273972602</v>
      </c>
      <c r="G373" s="8">
        <f>aktuelleAnleihen[[#This Row],[Kursdifferenz]]*aktuelleAnleihen[[#This Row],[Anteile]]*aktuelleAnleihen[[#This Row],[Stückelung]]/aktuelleAnleihen[[#This Row],[Wechselkurs am Kauftag]]</f>
        <v>26.000000000000245</v>
      </c>
      <c r="H373" s="8">
        <f>aktuelleAnleihen[[#This Row],[Stückzinsen]]-aktuelleAnleihen[[#This Row],[Stückzinsen am Kauftag]]+aktuelleAnleihen[[#This Row],[Zinszahlungen]]</f>
        <v>28.493127397260267</v>
      </c>
      <c r="I373" s="8">
        <f>aktuelleAnleihen[[#This Row],[Gewinn gesamt]]-aktuelleAnleihen[[#This Row],[Gewinn aus Kursänderung]]-aktuelleAnleihen[[#This Row],[Gewinn aus Zinsen]]</f>
        <v>-3.1619151741324458E-13</v>
      </c>
      <c r="J373" s="7">
        <f>aktuelleAnleihen[[#This Row],[Gewinn gesamt]]/aktuelleAnleihen[[#This Row],[Kaufpreis]]</f>
        <v>2.4936988362778263E-2</v>
      </c>
      <c r="K373" s="3">
        <f>aktuelleAnleihen[[#This Row],[Verkaufspreis]]-aktuelleAnleihen[[#This Row],[Kaufpreis]]+aktuelleAnleihen[[#This Row],[Zinszahlungen]]</f>
        <v>54.493127397260196</v>
      </c>
      <c r="L373" s="4">
        <v>2185.2329</v>
      </c>
      <c r="M373" s="7">
        <v>1.0649999999999999</v>
      </c>
      <c r="N373" s="61">
        <v>1</v>
      </c>
      <c r="O373" s="1">
        <v>1</v>
      </c>
      <c r="P373" s="1" t="s">
        <v>925</v>
      </c>
      <c r="Q373" s="30">
        <v>45385</v>
      </c>
      <c r="R373" s="1">
        <v>2</v>
      </c>
      <c r="S373" s="1">
        <v>1000</v>
      </c>
      <c r="T373" s="9">
        <v>45259</v>
      </c>
      <c r="U373" s="1">
        <v>1</v>
      </c>
      <c r="V373" s="62">
        <f>aktuelleAnleihen[[#This Row],[Stückelung]]*aktuelleAnleihen[[#This Row],[Anteile]]*aktuelleAnleihen[[#This Row],[Coupon]]/aktuelleAnleihen[[#This Row],[Aktueller Wechselkurs]]*($AC$1-aktuelleAnleihen[[#This Row],[Letzte Zinszahlung]])/365</f>
        <v>83.726027397260268</v>
      </c>
      <c r="W373" s="4">
        <v>55.232900000000001</v>
      </c>
      <c r="X373" s="120" t="s">
        <v>56</v>
      </c>
      <c r="Y373" s="120" t="s">
        <v>81</v>
      </c>
      <c r="Z373" s="1" t="s">
        <v>445</v>
      </c>
      <c r="AA373" s="1" t="s">
        <v>446</v>
      </c>
      <c r="AB373" s="3">
        <f>SUMIF('Zinszahlungen Anleihen'!K:K,aktuelleAnleihen[[#This Row],[ISIN]],'Zinszahlungen Anleihen'!D:D)</f>
        <v>0</v>
      </c>
      <c r="AE373" s="9"/>
      <c r="AF373" s="1"/>
      <c r="AI373" s="3"/>
      <c r="AJ373" s="1"/>
      <c r="AM373" s="10"/>
      <c r="AN373" s="1"/>
      <c r="AP373" s="7"/>
      <c r="AQ373" s="1"/>
    </row>
    <row r="374" spans="1:43" x14ac:dyDescent="0.2">
      <c r="A374" s="1" t="s">
        <v>1656</v>
      </c>
      <c r="B374" s="1" t="s">
        <v>0</v>
      </c>
      <c r="C374" s="7">
        <v>8.199999999999999E-2</v>
      </c>
      <c r="D374" s="7">
        <v>1.0722400000000001</v>
      </c>
      <c r="E374" s="7">
        <f>aktuelleAnleihen[[#This Row],[Aktueller Kurs]]-aktuelleAnleihen[[#This Row],[Kaufkurs]]</f>
        <v>1.4040000000000052E-2</v>
      </c>
      <c r="F374" s="8">
        <f>aktuelleAnleihen[[#This Row],[Stückelung]]*aktuelleAnleihen[[#This Row],[Aktueller Kurs]]*aktuelleAnleihen[[#This Row],[Anteile]]/aktuelleAnleihen[[#This Row],[Aktueller Wechselkurs]]+aktuelleAnleihen[[#This Row],[Stückzinsen]]</f>
        <v>2028.4467632568303</v>
      </c>
      <c r="G374" s="8">
        <f>aktuelleAnleihen[[#This Row],[Kursdifferenz]]*aktuelleAnleihen[[#This Row],[Anteile]]*aktuelleAnleihen[[#This Row],[Stückelung]]/aktuelleAnleihen[[#This Row],[Wechselkurs am Kauftag]]</f>
        <v>26.186701482794092</v>
      </c>
      <c r="H374" s="8">
        <f>aktuelleAnleihen[[#This Row],[Stückzinsen]]-aktuelleAnleihen[[#This Row],[Stückzinsen am Kauftag]]+aktuelleAnleihen[[#This Row],[Zinszahlungen]]</f>
        <v>14.992007486010188</v>
      </c>
      <c r="I374" s="8">
        <f>aktuelleAnleihen[[#This Row],[Gewinn gesamt]]-aktuelleAnleihen[[#This Row],[Gewinn aus Kursänderung]]-aktuelleAnleihen[[#This Row],[Gewinn aus Zinsen]]</f>
        <v>-30.849445711974035</v>
      </c>
      <c r="J374" s="7">
        <f>aktuelleAnleihen[[#This Row],[Gewinn gesamt]]/aktuelleAnleihen[[#This Row],[Kaufpreis]]</f>
        <v>5.1182665314731405E-3</v>
      </c>
      <c r="K374" s="3">
        <f>aktuelleAnleihen[[#This Row],[Verkaufspreis]]-aktuelleAnleihen[[#This Row],[Kaufpreis]]+aktuelleAnleihen[[#This Row],[Zinszahlungen]]</f>
        <v>10.329263256830245</v>
      </c>
      <c r="L374" s="4">
        <v>2018.1175000000001</v>
      </c>
      <c r="M374" s="7">
        <v>1.0582</v>
      </c>
      <c r="N374" s="61">
        <v>1.0723</v>
      </c>
      <c r="O374" s="1">
        <v>1.0891</v>
      </c>
      <c r="P374" s="1" t="s">
        <v>887</v>
      </c>
      <c r="Q374" s="30">
        <v>45412</v>
      </c>
      <c r="R374" s="1">
        <v>2</v>
      </c>
      <c r="S374" s="1">
        <v>1000</v>
      </c>
      <c r="T374" s="9">
        <v>45306</v>
      </c>
      <c r="U374" s="1">
        <v>2</v>
      </c>
      <c r="V374" s="62">
        <f>aktuelleAnleihen[[#This Row],[Stückelung]]*aktuelleAnleihen[[#This Row],[Anteile]]*aktuelleAnleihen[[#This Row],[Coupon]]/aktuelleAnleihen[[#This Row],[Aktueller Wechselkurs]]*($AC$1-aktuelleAnleihen[[#This Row],[Letzte Zinszahlung]])/365</f>
        <v>59.408107486010188</v>
      </c>
      <c r="W374" s="4">
        <v>44.4161</v>
      </c>
      <c r="X374" s="120" t="s">
        <v>1027</v>
      </c>
      <c r="Y374" s="120" t="s">
        <v>52</v>
      </c>
      <c r="Z374" s="1" t="s">
        <v>1657</v>
      </c>
      <c r="AA374" s="1" t="s">
        <v>1658</v>
      </c>
      <c r="AB374" s="3">
        <f>SUMIF('Zinszahlungen Anleihen'!K:K,aktuelleAnleihen[[#This Row],[ISIN]],'Zinszahlungen Anleihen'!D:D)</f>
        <v>0</v>
      </c>
      <c r="AE374" s="9"/>
      <c r="AF374" s="1"/>
      <c r="AI374" s="3"/>
      <c r="AJ374" s="1"/>
      <c r="AM374" s="10"/>
      <c r="AN374" s="1"/>
      <c r="AP374" s="7"/>
      <c r="AQ374" s="1"/>
    </row>
    <row r="375" spans="1:43" x14ac:dyDescent="0.2">
      <c r="A375" s="1" t="s">
        <v>978</v>
      </c>
      <c r="B375" s="1" t="s">
        <v>1</v>
      </c>
      <c r="C375" s="7">
        <v>6.6250000000000003E-2</v>
      </c>
      <c r="D375" s="7">
        <v>0.95709999999999995</v>
      </c>
      <c r="E375" s="7">
        <f>aktuelleAnleihen[[#This Row],[Aktueller Kurs]]-aktuelleAnleihen[[#This Row],[Kaufkurs]]</f>
        <v>1.3100000000000001E-2</v>
      </c>
      <c r="F375" s="8">
        <f>aktuelleAnleihen[[#This Row],[Stückelung]]*aktuelleAnleihen[[#This Row],[Aktueller Kurs]]*aktuelleAnleihen[[#This Row],[Anteile]]/aktuelleAnleihen[[#This Row],[Aktueller Wechselkurs]]+aktuelleAnleihen[[#This Row],[Stückzinsen]]</f>
        <v>1966.4739726027397</v>
      </c>
      <c r="G375" s="8">
        <f>aktuelleAnleihen[[#This Row],[Kursdifferenz]]*aktuelleAnleihen[[#This Row],[Anteile]]*aktuelleAnleihen[[#This Row],[Stückelung]]/aktuelleAnleihen[[#This Row],[Wechselkurs am Kauftag]]</f>
        <v>26.200000000000003</v>
      </c>
      <c r="H375" s="8">
        <f>aktuelleAnleihen[[#This Row],[Stückzinsen]]-aktuelleAnleihen[[#This Row],[Stückzinsen am Kauftag]]+aktuelleAnleihen[[#This Row],[Zinszahlungen]]</f>
        <v>15.972572602739724</v>
      </c>
      <c r="I375" s="8">
        <f>aktuelleAnleihen[[#This Row],[Gewinn gesamt]]-aktuelleAnleihen[[#This Row],[Gewinn aus Kursänderung]]-aktuelleAnleihen[[#This Row],[Gewinn aus Zinsen]]</f>
        <v>-1.3500311979441904E-13</v>
      </c>
      <c r="J375" s="7">
        <f>aktuelleAnleihen[[#This Row],[Gewinn gesamt]]/aktuelleAnleihen[[#This Row],[Kaufpreis]]</f>
        <v>2.1915783360517013E-2</v>
      </c>
      <c r="K375" s="3">
        <f>aktuelleAnleihen[[#This Row],[Verkaufspreis]]-aktuelleAnleihen[[#This Row],[Kaufpreis]]+aktuelleAnleihen[[#This Row],[Zinszahlungen]]</f>
        <v>42.172572602739592</v>
      </c>
      <c r="L375" s="4">
        <v>1924.3014000000001</v>
      </c>
      <c r="M375" s="7">
        <v>0.94399999999999995</v>
      </c>
      <c r="N375" s="61">
        <v>1</v>
      </c>
      <c r="O375" s="1">
        <v>1</v>
      </c>
      <c r="P375" s="1" t="s">
        <v>925</v>
      </c>
      <c r="Q375" s="30">
        <v>45406</v>
      </c>
      <c r="R375" s="1">
        <v>2</v>
      </c>
      <c r="S375" s="1">
        <v>1000</v>
      </c>
      <c r="T375" s="9">
        <v>45306</v>
      </c>
      <c r="U375" s="1">
        <v>2</v>
      </c>
      <c r="V375" s="62">
        <f>aktuelleAnleihen[[#This Row],[Stückelung]]*aktuelleAnleihen[[#This Row],[Anteile]]*aktuelleAnleihen[[#This Row],[Coupon]]/aktuelleAnleihen[[#This Row],[Aktueller Wechselkurs]]*($AC$1-aktuelleAnleihen[[#This Row],[Letzte Zinszahlung]])/365</f>
        <v>52.273972602739725</v>
      </c>
      <c r="W375" s="4">
        <v>36.301400000000001</v>
      </c>
      <c r="X375" s="120" t="s">
        <v>56</v>
      </c>
      <c r="Y375" s="120" t="s">
        <v>268</v>
      </c>
      <c r="Z375" s="1" t="s">
        <v>979</v>
      </c>
      <c r="AA375" s="1" t="s">
        <v>980</v>
      </c>
      <c r="AB375" s="3">
        <f>SUMIF('Zinszahlungen Anleihen'!K:K,aktuelleAnleihen[[#This Row],[ISIN]],'Zinszahlungen Anleihen'!D:D)</f>
        <v>0</v>
      </c>
      <c r="AE375" s="9"/>
      <c r="AF375" s="1"/>
      <c r="AI375" s="3"/>
      <c r="AJ375" s="1"/>
      <c r="AM375" s="10"/>
      <c r="AN375" s="1"/>
      <c r="AP375" s="7"/>
      <c r="AQ375" s="1"/>
    </row>
    <row r="376" spans="1:43" x14ac:dyDescent="0.2">
      <c r="A376" s="1" t="s">
        <v>1699</v>
      </c>
      <c r="B376" s="1" t="s">
        <v>0</v>
      </c>
      <c r="C376" s="7">
        <v>8.0449999999999994E-2</v>
      </c>
      <c r="D376" s="7">
        <v>0.96719999999999995</v>
      </c>
      <c r="E376" s="7">
        <f>aktuelleAnleihen[[#This Row],[Aktueller Kurs]]-aktuelleAnleihen[[#This Row],[Kaufkurs]]</f>
        <v>1.4100000000000001E-2</v>
      </c>
      <c r="F376" s="8">
        <f>aktuelleAnleihen[[#This Row],[Stückelung]]*aktuelleAnleihen[[#This Row],[Aktueller Kurs]]*aktuelleAnleihen[[#This Row],[Anteile]]/aktuelleAnleihen[[#This Row],[Aktueller Wechselkurs]]+aktuelleAnleihen[[#This Row],[Stückzinsen]]</f>
        <v>1846.9780879776313</v>
      </c>
      <c r="G376" s="8">
        <f>aktuelleAnleihen[[#This Row],[Kursdifferenz]]*aktuelleAnleihen[[#This Row],[Anteile]]*aktuelleAnleihen[[#This Row],[Stückelung]]/aktuelleAnleihen[[#This Row],[Wechselkurs am Kauftag]]</f>
        <v>26.298610463489698</v>
      </c>
      <c r="H376" s="8">
        <f>aktuelleAnleihen[[#This Row],[Stückzinsen]]-aktuelleAnleihen[[#This Row],[Stückzinsen am Kauftag]]+aktuelleAnleihen[[#This Row],[Zinszahlungen]]</f>
        <v>14.512046787658008</v>
      </c>
      <c r="I376" s="8">
        <f>aktuelleAnleihen[[#This Row],[Gewinn gesamt]]-aktuelleAnleihen[[#This Row],[Gewinn aus Kursänderung]]-aktuelleAnleihen[[#This Row],[Gewinn aus Zinsen]]</f>
        <v>-27.827369273516371</v>
      </c>
      <c r="J376" s="7">
        <f>aktuelleAnleihen[[#This Row],[Gewinn gesamt]]/aktuelleAnleihen[[#This Row],[Kaufpreis]]</f>
        <v>7.0792392528219467E-3</v>
      </c>
      <c r="K376" s="3">
        <f>aktuelleAnleihen[[#This Row],[Verkaufspreis]]-aktuelleAnleihen[[#This Row],[Kaufpreis]]+aktuelleAnleihen[[#This Row],[Zinszahlungen]]</f>
        <v>12.983287977631335</v>
      </c>
      <c r="L376" s="4">
        <v>1833.9947999999999</v>
      </c>
      <c r="M376" s="7">
        <v>0.95309999999999995</v>
      </c>
      <c r="N376" s="61">
        <v>1.0723</v>
      </c>
      <c r="O376" s="1">
        <v>1.0891</v>
      </c>
      <c r="P376" s="1" t="s">
        <v>887</v>
      </c>
      <c r="Q376" s="30">
        <v>45412</v>
      </c>
      <c r="R376" s="1">
        <v>2</v>
      </c>
      <c r="S376" s="1">
        <v>1000</v>
      </c>
      <c r="T376" s="9">
        <v>45275</v>
      </c>
      <c r="U376" s="1">
        <v>2</v>
      </c>
      <c r="V376" s="62">
        <f>aktuelleAnleihen[[#This Row],[Stückelung]]*aktuelleAnleihen[[#This Row],[Anteile]]*aktuelleAnleihen[[#This Row],[Coupon]]/aktuelleAnleihen[[#This Row],[Aktueller Wechselkurs]]*($AC$1-aktuelleAnleihen[[#This Row],[Letzte Zinszahlung]])/365</f>
        <v>70.832646787658007</v>
      </c>
      <c r="W376" s="4">
        <v>56.320599999999999</v>
      </c>
      <c r="X376" s="120" t="s">
        <v>986</v>
      </c>
      <c r="Y376" s="120" t="s">
        <v>39</v>
      </c>
      <c r="Z376" s="1" t="s">
        <v>1700</v>
      </c>
      <c r="AA376" s="1" t="s">
        <v>1701</v>
      </c>
      <c r="AB376" s="3">
        <f>SUMIF('Zinszahlungen Anleihen'!K:K,aktuelleAnleihen[[#This Row],[ISIN]],'Zinszahlungen Anleihen'!D:D)</f>
        <v>0</v>
      </c>
      <c r="AE376" s="9"/>
      <c r="AF376" s="1"/>
      <c r="AI376" s="3"/>
      <c r="AJ376" s="1"/>
      <c r="AM376" s="10"/>
      <c r="AN376" s="1"/>
      <c r="AP376" s="7"/>
      <c r="AQ376" s="1"/>
    </row>
    <row r="377" spans="1:43" x14ac:dyDescent="0.2">
      <c r="A377" s="1" t="s">
        <v>205</v>
      </c>
      <c r="B377" s="1" t="s">
        <v>9</v>
      </c>
      <c r="C377" s="7">
        <v>0.10625</v>
      </c>
      <c r="D377" s="7">
        <v>1.0748200000000001</v>
      </c>
      <c r="E377" s="7">
        <f>aktuelleAnleihen[[#This Row],[Aktueller Kurs]]-aktuelleAnleihen[[#This Row],[Kaufkurs]]</f>
        <v>1.322000000000001E-2</v>
      </c>
      <c r="F377" s="8">
        <f>aktuelleAnleihen[[#This Row],[Stückelung]]*aktuelleAnleihen[[#This Row],[Aktueller Kurs]]*aktuelleAnleihen[[#This Row],[Anteile]]/aktuelleAnleihen[[#This Row],[Aktueller Wechselkurs]]+aktuelleAnleihen[[#This Row],[Stückzinsen]]</f>
        <v>2154.2975342465757</v>
      </c>
      <c r="G377" s="8">
        <f>aktuelleAnleihen[[#This Row],[Kursdifferenz]]*aktuelleAnleihen[[#This Row],[Anteile]]*aktuelleAnleihen[[#This Row],[Stückelung]]/aktuelleAnleihen[[#This Row],[Wechselkurs am Kauftag]]</f>
        <v>26.440000000000019</v>
      </c>
      <c r="H377" s="8">
        <f>aktuelleAnleihen[[#This Row],[Stückzinsen]]-aktuelleAnleihen[[#This Row],[Stückzinsen am Kauftag]]+aktuelleAnleihen[[#This Row],[Zinszahlungen]]</f>
        <v>38.133534246575337</v>
      </c>
      <c r="I377" s="8">
        <f>aktuelleAnleihen[[#This Row],[Gewinn gesamt]]-aktuelleAnleihen[[#This Row],[Gewinn aus Kursänderung]]-aktuelleAnleihen[[#This Row],[Gewinn aus Zinsen]]</f>
        <v>1.3500311979441904E-13</v>
      </c>
      <c r="J377" s="7">
        <f>aktuelleAnleihen[[#This Row],[Gewinn gesamt]]/aktuelleAnleihen[[#This Row],[Kaufpreis]]</f>
        <v>2.940541839137234E-2</v>
      </c>
      <c r="K377" s="3">
        <f>aktuelleAnleihen[[#This Row],[Verkaufspreis]]-aktuelleAnleihen[[#This Row],[Kaufpreis]]+aktuelleAnleihen[[#This Row],[Zinszahlungen]]</f>
        <v>64.573534246575491</v>
      </c>
      <c r="L377" s="4">
        <v>2195.9740000000002</v>
      </c>
      <c r="M377" s="7">
        <v>1.0616000000000001</v>
      </c>
      <c r="N377" s="61">
        <v>1</v>
      </c>
      <c r="O377" s="1">
        <v>1</v>
      </c>
      <c r="P377" s="1" t="s">
        <v>925</v>
      </c>
      <c r="Q377" s="30">
        <v>45385</v>
      </c>
      <c r="R377" s="1">
        <v>2</v>
      </c>
      <c r="S377" s="1">
        <v>1000</v>
      </c>
      <c r="T377" s="9">
        <v>45442</v>
      </c>
      <c r="U377" s="1">
        <v>2</v>
      </c>
      <c r="V377" s="62">
        <f>aktuelleAnleihen[[#This Row],[Stückelung]]*aktuelleAnleihen[[#This Row],[Anteile]]*aktuelleAnleihen[[#This Row],[Coupon]]/aktuelleAnleihen[[#This Row],[Aktueller Wechselkurs]]*($AC$1-aktuelleAnleihen[[#This Row],[Letzte Zinszahlung]])/365</f>
        <v>4.6575342465753424</v>
      </c>
      <c r="W377" s="4">
        <v>72.774000000000001</v>
      </c>
      <c r="X377" s="120" t="s">
        <v>122</v>
      </c>
      <c r="Y377" s="120" t="s">
        <v>57</v>
      </c>
      <c r="Z377" s="1" t="s">
        <v>206</v>
      </c>
      <c r="AA377" s="1" t="s">
        <v>207</v>
      </c>
      <c r="AB377" s="3">
        <f>SUMIF('Zinszahlungen Anleihen'!K:K,aktuelleAnleihen[[#This Row],[ISIN]],'Zinszahlungen Anleihen'!D:D)</f>
        <v>106.25</v>
      </c>
      <c r="AE377" s="9"/>
      <c r="AF377" s="1"/>
      <c r="AI377" s="3"/>
      <c r="AJ377" s="1"/>
      <c r="AM377" s="10"/>
      <c r="AN377" s="1"/>
      <c r="AP377" s="7"/>
      <c r="AQ377" s="1"/>
    </row>
    <row r="378" spans="1:43" x14ac:dyDescent="0.2">
      <c r="A378" s="1" t="s">
        <v>182</v>
      </c>
      <c r="B378" s="1" t="s">
        <v>0</v>
      </c>
      <c r="C378" s="7">
        <v>0.11874999999999999</v>
      </c>
      <c r="D378" s="7">
        <v>1.1104000000000001</v>
      </c>
      <c r="E378" s="7">
        <f>aktuelleAnleihen[[#This Row],[Aktueller Kurs]]-aktuelleAnleihen[[#This Row],[Kaufkurs]]</f>
        <v>1.3400000000000079E-2</v>
      </c>
      <c r="F378" s="8">
        <f>aktuelleAnleihen[[#This Row],[Stückelung]]*aktuelleAnleihen[[#This Row],[Aktueller Kurs]]*aktuelleAnleihen[[#This Row],[Anteile]]/aktuelleAnleihen[[#This Row],[Aktueller Wechselkurs]]+aktuelleAnleihen[[#This Row],[Stückzinsen]]</f>
        <v>2298.8821917808223</v>
      </c>
      <c r="G378" s="8">
        <f>aktuelleAnleihen[[#This Row],[Kursdifferenz]]*aktuelleAnleihen[[#This Row],[Anteile]]*aktuelleAnleihen[[#This Row],[Stückelung]]/aktuelleAnleihen[[#This Row],[Wechselkurs am Kauftag]]</f>
        <v>26.800000000000157</v>
      </c>
      <c r="H378" s="8">
        <f>aktuelleAnleihen[[#This Row],[Stückzinsen]]-aktuelleAnleihen[[#This Row],[Stückzinsen am Kauftag]]+aktuelleAnleihen[[#This Row],[Zinszahlungen]]</f>
        <v>42.294491780821915</v>
      </c>
      <c r="I378" s="8">
        <f>aktuelleAnleihen[[#This Row],[Gewinn gesamt]]-aktuelleAnleihen[[#This Row],[Gewinn aus Kursänderung]]-aktuelleAnleihen[[#This Row],[Gewinn aus Zinsen]]</f>
        <v>3.4106051316484809E-13</v>
      </c>
      <c r="J378" s="7">
        <f>aktuelleAnleihen[[#This Row],[Gewinn gesamt]]/aktuelleAnleihen[[#This Row],[Kaufpreis]]</f>
        <v>3.0987027052316422E-2</v>
      </c>
      <c r="K378" s="3">
        <f>aktuelleAnleihen[[#This Row],[Verkaufspreis]]-aktuelleAnleihen[[#This Row],[Kaufpreis]]+aktuelleAnleihen[[#This Row],[Zinszahlungen]]</f>
        <v>69.094491780822409</v>
      </c>
      <c r="L378" s="4">
        <v>2229.7876999999999</v>
      </c>
      <c r="M378" s="7">
        <v>1.097</v>
      </c>
      <c r="N378" s="61">
        <v>1</v>
      </c>
      <c r="O378" s="1">
        <v>1</v>
      </c>
      <c r="P378" s="1" t="s">
        <v>925</v>
      </c>
      <c r="Q378" s="30">
        <v>45385</v>
      </c>
      <c r="R378" s="1">
        <v>2</v>
      </c>
      <c r="S378" s="1">
        <v>1000</v>
      </c>
      <c r="T378" s="9">
        <v>45330</v>
      </c>
      <c r="U378" s="1">
        <v>2</v>
      </c>
      <c r="V378" s="62">
        <f>aktuelleAnleihen[[#This Row],[Stückelung]]*aktuelleAnleihen[[#This Row],[Anteile]]*aktuelleAnleihen[[#This Row],[Coupon]]/aktuelleAnleihen[[#This Row],[Aktueller Wechselkurs]]*($AC$1-aktuelleAnleihen[[#This Row],[Letzte Zinszahlung]])/365</f>
        <v>78.082191780821915</v>
      </c>
      <c r="W378" s="4">
        <v>35.787700000000001</v>
      </c>
      <c r="X378" s="120" t="s">
        <v>183</v>
      </c>
      <c r="Y378" s="120" t="s">
        <v>52</v>
      </c>
      <c r="Z378" s="1" t="s">
        <v>184</v>
      </c>
      <c r="AA378" s="1" t="s">
        <v>185</v>
      </c>
      <c r="AB378" s="3">
        <f>SUMIF('Zinszahlungen Anleihen'!K:K,aktuelleAnleihen[[#This Row],[ISIN]],'Zinszahlungen Anleihen'!D:D)</f>
        <v>0</v>
      </c>
      <c r="AE378" s="9"/>
      <c r="AF378" s="1"/>
      <c r="AI378" s="3"/>
      <c r="AJ378" s="1"/>
      <c r="AM378" s="10"/>
      <c r="AN378" s="1"/>
      <c r="AP378" s="7"/>
      <c r="AQ378" s="1"/>
    </row>
    <row r="379" spans="1:43" x14ac:dyDescent="0.2">
      <c r="A379" s="1" t="s">
        <v>1563</v>
      </c>
      <c r="B379" s="1" t="s">
        <v>7</v>
      </c>
      <c r="C379" s="7">
        <v>8.4499999999999992E-2</v>
      </c>
      <c r="D379" s="7">
        <v>0.99280000000000002</v>
      </c>
      <c r="E379" s="7">
        <f>aktuelleAnleihen[[#This Row],[Aktueller Kurs]]-aktuelleAnleihen[[#This Row],[Kaufkurs]]</f>
        <v>1.4399999999999968E-2</v>
      </c>
      <c r="F379" s="8">
        <f>aktuelleAnleihen[[#This Row],[Stückelung]]*aktuelleAnleihen[[#This Row],[Aktueller Kurs]]*aktuelleAnleihen[[#This Row],[Anteile]]/aktuelleAnleihen[[#This Row],[Aktueller Wechselkurs]]+aktuelleAnleihen[[#This Row],[Stückzinsen]]</f>
        <v>1873.3225750053773</v>
      </c>
      <c r="G379" s="8">
        <f>aktuelleAnleihen[[#This Row],[Kursdifferenz]]*aktuelleAnleihen[[#This Row],[Anteile]]*aktuelleAnleihen[[#This Row],[Stückelung]]/aktuelleAnleihen[[#This Row],[Wechselkurs am Kauftag]]</f>
        <v>26.858155366968141</v>
      </c>
      <c r="H379" s="8">
        <f>aktuelleAnleihen[[#This Row],[Stückzinsen]]-aktuelleAnleihen[[#This Row],[Stückzinsen am Kauftag]]+aktuelleAnleihen[[#This Row],[Zinszahlungen]]</f>
        <v>15.622240086636822</v>
      </c>
      <c r="I379" s="8">
        <f>aktuelleAnleihen[[#This Row],[Gewinn gesamt]]-aktuelleAnleihen[[#This Row],[Gewinn aus Kursänderung]]-aktuelleAnleihen[[#This Row],[Gewinn aus Zinsen]]</f>
        <v>-28.563820448227609</v>
      </c>
      <c r="J379" s="7">
        <f>aktuelleAnleihen[[#This Row],[Gewinn gesamt]]/aktuelleAnleihen[[#This Row],[Kaufpreis]]</f>
        <v>7.484419758448318E-3</v>
      </c>
      <c r="K379" s="3">
        <f>aktuelleAnleihen[[#This Row],[Verkaufspreis]]-aktuelleAnleihen[[#This Row],[Kaufpreis]]+aktuelleAnleihen[[#This Row],[Zinszahlungen]]</f>
        <v>13.916575005377354</v>
      </c>
      <c r="L379" s="4">
        <v>1859.4059999999999</v>
      </c>
      <c r="M379" s="7">
        <v>0.97840000000000005</v>
      </c>
      <c r="N379" s="61">
        <v>1.0723</v>
      </c>
      <c r="O379" s="1">
        <v>1.0891</v>
      </c>
      <c r="P379" s="1" t="s">
        <v>887</v>
      </c>
      <c r="Q379" s="30">
        <v>45412</v>
      </c>
      <c r="R379" s="1">
        <v>2</v>
      </c>
      <c r="S379" s="1">
        <v>1000</v>
      </c>
      <c r="T379" s="9">
        <v>45332</v>
      </c>
      <c r="U379" s="1">
        <v>2</v>
      </c>
      <c r="V379" s="62">
        <f>aktuelleAnleihen[[#This Row],[Stückelung]]*aktuelleAnleihen[[#This Row],[Anteile]]*aktuelleAnleihen[[#This Row],[Coupon]]/aktuelleAnleihen[[#This Row],[Aktueller Wechselkurs]]*($AC$1-aktuelleAnleihen[[#This Row],[Letzte Zinszahlung]])/365</f>
        <v>50.16584008663682</v>
      </c>
      <c r="W379" s="4">
        <v>34.543599999999998</v>
      </c>
      <c r="X379" s="120" t="s">
        <v>1564</v>
      </c>
      <c r="Y379" s="120" t="s">
        <v>109</v>
      </c>
      <c r="Z379" s="1" t="s">
        <v>1565</v>
      </c>
      <c r="AA379" s="1" t="s">
        <v>1566</v>
      </c>
      <c r="AB379" s="3">
        <f>SUMIF('Zinszahlungen Anleihen'!K:K,aktuelleAnleihen[[#This Row],[ISIN]],'Zinszahlungen Anleihen'!D:D)</f>
        <v>0</v>
      </c>
      <c r="AE379" s="9"/>
      <c r="AF379" s="1"/>
      <c r="AI379" s="3"/>
      <c r="AJ379" s="1"/>
      <c r="AM379" s="10"/>
      <c r="AN379" s="1"/>
      <c r="AP379" s="7"/>
      <c r="AQ379" s="1"/>
    </row>
    <row r="380" spans="1:43" x14ac:dyDescent="0.2">
      <c r="A380" s="1" t="s">
        <v>1361</v>
      </c>
      <c r="B380" s="1" t="s">
        <v>11</v>
      </c>
      <c r="C380" s="7">
        <v>8.8749999999999996E-2</v>
      </c>
      <c r="D380" s="7">
        <v>0.7742</v>
      </c>
      <c r="E380" s="7">
        <f>aktuelleAnleihen[[#This Row],[Aktueller Kurs]]-aktuelleAnleihen[[#This Row],[Kaufkurs]]</f>
        <v>1.5000000000000013E-2</v>
      </c>
      <c r="F380" s="8">
        <f>aktuelleAnleihen[[#This Row],[Stückelung]]*aktuelleAnleihen[[#This Row],[Aktueller Kurs]]*aktuelleAnleihen[[#This Row],[Anteile]]/aktuelleAnleihen[[#This Row],[Aktueller Wechselkurs]]+aktuelleAnleihen[[#This Row],[Stückzinsen]]</f>
        <v>1448.5153633199716</v>
      </c>
      <c r="G380" s="8">
        <f>aktuelleAnleihen[[#This Row],[Kursdifferenz]]*aktuelleAnleihen[[#This Row],[Anteile]]*aktuelleAnleihen[[#This Row],[Stückelung]]/aktuelleAnleihen[[#This Row],[Wechselkurs am Kauftag]]</f>
        <v>27.977245173925233</v>
      </c>
      <c r="H380" s="8">
        <f>aktuelleAnleihen[[#This Row],[Stückzinsen]]-aktuelleAnleihen[[#This Row],[Stückzinsen am Kauftag]]+aktuelleAnleihen[[#This Row],[Zinszahlungen]]</f>
        <v>16.813703757029497</v>
      </c>
      <c r="I380" s="8">
        <f>aktuelleAnleihen[[#This Row],[Gewinn gesamt]]-aktuelleAnleihen[[#This Row],[Gewinn aus Kursänderung]]-aktuelleAnleihen[[#This Row],[Gewinn aus Zinsen]]</f>
        <v>-22.274485610983195</v>
      </c>
      <c r="J380" s="7">
        <f>aktuelleAnleihen[[#This Row],[Gewinn gesamt]]/aktuelleAnleihen[[#This Row],[Kaufpreis]]</f>
        <v>1.5789958407381333E-2</v>
      </c>
      <c r="K380" s="3">
        <f>aktuelleAnleihen[[#This Row],[Verkaufspreis]]-aktuelleAnleihen[[#This Row],[Kaufpreis]]+aktuelleAnleihen[[#This Row],[Zinszahlungen]]</f>
        <v>22.516463319971535</v>
      </c>
      <c r="L380" s="4">
        <v>1425.9989</v>
      </c>
      <c r="M380" s="7">
        <v>0.75919999999999999</v>
      </c>
      <c r="N380" s="61">
        <v>1.0723</v>
      </c>
      <c r="O380" s="1">
        <v>1.0891</v>
      </c>
      <c r="P380" s="1" t="s">
        <v>887</v>
      </c>
      <c r="Q380" s="30">
        <v>45412</v>
      </c>
      <c r="R380" s="1">
        <v>2</v>
      </c>
      <c r="S380" s="1">
        <v>1000</v>
      </c>
      <c r="T380" s="9">
        <v>45390</v>
      </c>
      <c r="U380" s="1">
        <v>2</v>
      </c>
      <c r="V380" s="62">
        <f>aktuelleAnleihen[[#This Row],[Stückelung]]*aktuelleAnleihen[[#This Row],[Anteile]]*aktuelleAnleihen[[#This Row],[Coupon]]/aktuelleAnleihen[[#This Row],[Aktueller Wechselkurs]]*($AC$1-aktuelleAnleihen[[#This Row],[Letzte Zinszahlung]])/365</f>
        <v>26.791003757029497</v>
      </c>
      <c r="W380" s="4">
        <v>9.9772999999999996</v>
      </c>
      <c r="X380" s="120" t="s">
        <v>1362</v>
      </c>
      <c r="Y380" s="120" t="s">
        <v>52</v>
      </c>
      <c r="Z380" s="1" t="s">
        <v>1363</v>
      </c>
      <c r="AA380" s="1" t="s">
        <v>1364</v>
      </c>
      <c r="AB380" s="3">
        <f>SUMIF('Zinszahlungen Anleihen'!K:K,aktuelleAnleihen[[#This Row],[ISIN]],'Zinszahlungen Anleihen'!D:D)</f>
        <v>0</v>
      </c>
      <c r="AE380" s="9"/>
      <c r="AF380" s="1"/>
      <c r="AI380" s="3"/>
      <c r="AJ380" s="1"/>
      <c r="AM380" s="10"/>
      <c r="AN380" s="1"/>
      <c r="AP380" s="7"/>
      <c r="AQ380" s="1"/>
    </row>
    <row r="381" spans="1:43" x14ac:dyDescent="0.2">
      <c r="A381" s="1" t="s">
        <v>1495</v>
      </c>
      <c r="B381" s="1" t="s">
        <v>1</v>
      </c>
      <c r="C381" s="7">
        <v>0.1173</v>
      </c>
      <c r="D381" s="7">
        <v>1.0249999999999999</v>
      </c>
      <c r="E381" s="7">
        <f>aktuelleAnleihen[[#This Row],[Aktueller Kurs]]-aktuelleAnleihen[[#This Row],[Kaufkurs]]</f>
        <v>1.4000000000000012E-2</v>
      </c>
      <c r="F381" s="8">
        <f>aktuelleAnleihen[[#This Row],[Stückelung]]*aktuelleAnleihen[[#This Row],[Aktueller Kurs]]*aktuelleAnleihen[[#This Row],[Anteile]]/aktuelleAnleihen[[#This Row],[Aktueller Wechselkurs]]+aktuelleAnleihen[[#This Row],[Stückzinsen]]</f>
        <v>2087.9216438356166</v>
      </c>
      <c r="G381" s="8">
        <f>aktuelleAnleihen[[#This Row],[Kursdifferenz]]*aktuelleAnleihen[[#This Row],[Anteile]]*aktuelleAnleihen[[#This Row],[Stückelung]]/aktuelleAnleihen[[#This Row],[Wechselkurs am Kauftag]]</f>
        <v>28.000000000000025</v>
      </c>
      <c r="H381" s="8">
        <f>aktuelleAnleihen[[#This Row],[Stückzinsen]]-aktuelleAnleihen[[#This Row],[Stückzinsen am Kauftag]]+aktuelleAnleihen[[#This Row],[Zinszahlungen]]</f>
        <v>24.424143835616434</v>
      </c>
      <c r="I381" s="8">
        <f>aktuelleAnleihen[[#This Row],[Gewinn gesamt]]-aktuelleAnleihen[[#This Row],[Gewinn aus Kursänderung]]-aktuelleAnleihen[[#This Row],[Gewinn aus Zinsen]]</f>
        <v>1.7408297026122455E-13</v>
      </c>
      <c r="J381" s="7">
        <f>aktuelleAnleihen[[#This Row],[Gewinn gesamt]]/aktuelleAnleihen[[#This Row],[Kaufpreis]]</f>
        <v>2.5754953683616234E-2</v>
      </c>
      <c r="K381" s="3">
        <f>aktuelleAnleihen[[#This Row],[Verkaufspreis]]-aktuelleAnleihen[[#This Row],[Kaufpreis]]+aktuelleAnleihen[[#This Row],[Zinszahlungen]]</f>
        <v>52.424143835616633</v>
      </c>
      <c r="L381" s="4">
        <v>2035.4974999999999</v>
      </c>
      <c r="M381" s="7">
        <v>1.0109999999999999</v>
      </c>
      <c r="N381" s="61">
        <v>1</v>
      </c>
      <c r="O381" s="1">
        <v>1</v>
      </c>
      <c r="P381" s="1" t="s">
        <v>925</v>
      </c>
      <c r="Q381" s="30">
        <v>45412</v>
      </c>
      <c r="R381" s="1">
        <v>2</v>
      </c>
      <c r="S381" s="1">
        <v>1000</v>
      </c>
      <c r="T381" s="9">
        <v>45391</v>
      </c>
      <c r="U381" s="1">
        <v>4</v>
      </c>
      <c r="V381" s="62">
        <f>aktuelleAnleihen[[#This Row],[Stückelung]]*aktuelleAnleihen[[#This Row],[Anteile]]*aktuelleAnleihen[[#This Row],[Coupon]]/aktuelleAnleihen[[#This Row],[Aktueller Wechselkurs]]*($AC$1-aktuelleAnleihen[[#This Row],[Letzte Zinszahlung]])/365</f>
        <v>37.921643835616436</v>
      </c>
      <c r="W381" s="4">
        <v>13.4975</v>
      </c>
      <c r="X381" s="120" t="s">
        <v>56</v>
      </c>
      <c r="Y381" s="120" t="s">
        <v>39</v>
      </c>
      <c r="Z381" s="1" t="s">
        <v>1496</v>
      </c>
      <c r="AA381" s="1" t="s">
        <v>1497</v>
      </c>
      <c r="AB381" s="3">
        <f>SUMIF('Zinszahlungen Anleihen'!K:K,aktuelleAnleihen[[#This Row],[ISIN]],'Zinszahlungen Anleihen'!D:D)</f>
        <v>0</v>
      </c>
      <c r="AE381" s="9"/>
      <c r="AF381" s="1"/>
      <c r="AI381" s="3"/>
      <c r="AJ381" s="1"/>
      <c r="AM381" s="10"/>
      <c r="AN381" s="1"/>
      <c r="AP381" s="7"/>
      <c r="AQ381" s="1"/>
    </row>
    <row r="382" spans="1:43" x14ac:dyDescent="0.2">
      <c r="A382" s="1" t="s">
        <v>1457</v>
      </c>
      <c r="B382" s="1" t="s">
        <v>2</v>
      </c>
      <c r="C382" s="7">
        <v>8.5000000000000006E-2</v>
      </c>
      <c r="D382" s="7">
        <v>1.024</v>
      </c>
      <c r="E382" s="7">
        <f>aktuelleAnleihen[[#This Row],[Aktueller Kurs]]-aktuelleAnleihen[[#This Row],[Kaufkurs]]</f>
        <v>1.5100000000000113E-2</v>
      </c>
      <c r="F382" s="8">
        <f>aktuelleAnleihen[[#This Row],[Stückelung]]*aktuelleAnleihen[[#This Row],[Aktueller Kurs]]*aktuelleAnleihen[[#This Row],[Anteile]]/aktuelleAnleihen[[#This Row],[Aktueller Wechselkurs]]+aktuelleAnleihen[[#This Row],[Stückzinsen]]</f>
        <v>1896.2747926841694</v>
      </c>
      <c r="G382" s="8">
        <f>aktuelleAnleihen[[#This Row],[Kursdifferenz]]*aktuelleAnleihen[[#This Row],[Anteile]]*aktuelleAnleihen[[#This Row],[Stückelung]]/aktuelleAnleihen[[#This Row],[Wechselkurs am Kauftag]]</f>
        <v>28.163760141751585</v>
      </c>
      <c r="H382" s="8">
        <f>aktuelleAnleihen[[#This Row],[Stückzinsen]]-aktuelleAnleihen[[#This Row],[Stückzinsen am Kauftag]]+aktuelleAnleihen[[#This Row],[Zinszahlungen]]</f>
        <v>16.548598009364852</v>
      </c>
      <c r="I382" s="8">
        <f>aktuelleAnleihen[[#This Row],[Gewinn gesamt]]-aktuelleAnleihen[[#This Row],[Gewinn aus Kursänderung]]-aktuelleAnleihen[[#This Row],[Gewinn aus Zinsen]]</f>
        <v>-29.46151099107664</v>
      </c>
      <c r="J382" s="7">
        <f>aktuelleAnleihen[[#This Row],[Gewinn gesamt]]/aktuelleAnleihen[[#This Row],[Kaufpreis]]</f>
        <v>7.7795885749747428E-3</v>
      </c>
      <c r="K382" s="3">
        <f>aktuelleAnleihen[[#This Row],[Verkaufspreis]]-aktuelleAnleihen[[#This Row],[Kaufpreis]]+aktuelleAnleihen[[#This Row],[Zinszahlungen]]</f>
        <v>15.250847160039797</v>
      </c>
      <c r="L382" s="4">
        <v>1960.3668</v>
      </c>
      <c r="M382" s="7">
        <v>1.0088999999999999</v>
      </c>
      <c r="N382" s="61">
        <v>1.0723</v>
      </c>
      <c r="O382" s="1">
        <v>1.0891</v>
      </c>
      <c r="P382" s="1" t="s">
        <v>887</v>
      </c>
      <c r="Q382" s="30">
        <v>45412</v>
      </c>
      <c r="R382" s="1">
        <v>2</v>
      </c>
      <c r="S382" s="1">
        <v>1000</v>
      </c>
      <c r="T382" s="9">
        <v>45413</v>
      </c>
      <c r="U382" s="1">
        <v>2</v>
      </c>
      <c r="V382" s="62">
        <f>aktuelleAnleihen[[#This Row],[Stückelung]]*aktuelleAnleihen[[#This Row],[Anteile]]*aktuelleAnleihen[[#This Row],[Coupon]]/aktuelleAnleihen[[#This Row],[Aktueller Wechselkurs]]*($AC$1-aktuelleAnleihen[[#This Row],[Letzte Zinszahlung]])/365</f>
        <v>15.823043533494413</v>
      </c>
      <c r="W382" s="4">
        <v>78.6173</v>
      </c>
      <c r="X382" s="120" t="s">
        <v>629</v>
      </c>
      <c r="Y382" s="120" t="s">
        <v>109</v>
      </c>
      <c r="Z382" s="1" t="s">
        <v>1458</v>
      </c>
      <c r="AA382" s="1" t="s">
        <v>1459</v>
      </c>
      <c r="AB382" s="3">
        <f>SUMIF('Zinszahlungen Anleihen'!K:K,aktuelleAnleihen[[#This Row],[ISIN]],'Zinszahlungen Anleihen'!D:D)</f>
        <v>79.342854475870439</v>
      </c>
      <c r="AE382" s="9"/>
      <c r="AF382" s="1"/>
      <c r="AI382" s="3"/>
      <c r="AJ382" s="1"/>
      <c r="AM382" s="10"/>
      <c r="AN382" s="1"/>
      <c r="AP382" s="7"/>
      <c r="AQ382" s="1"/>
    </row>
    <row r="383" spans="1:43" x14ac:dyDescent="0.2">
      <c r="A383" s="1" t="s">
        <v>675</v>
      </c>
      <c r="B383" s="1" t="s">
        <v>0</v>
      </c>
      <c r="C383" s="7">
        <v>7.0000000000000007E-2</v>
      </c>
      <c r="D383" s="7">
        <v>1.0169999999999999</v>
      </c>
      <c r="E383" s="7">
        <f>aktuelleAnleihen[[#This Row],[Aktueller Kurs]]-aktuelleAnleihen[[#This Row],[Kaufkurs]]</f>
        <v>1.4299999999999979E-2</v>
      </c>
      <c r="F383" s="8">
        <f>aktuelleAnleihen[[#This Row],[Stückelung]]*aktuelleAnleihen[[#This Row],[Aktueller Kurs]]*aktuelleAnleihen[[#This Row],[Anteile]]/aktuelleAnleihen[[#This Row],[Aktueller Wechselkurs]]+aktuelleAnleihen[[#This Row],[Stückzinsen]]</f>
        <v>2078.1095890410957</v>
      </c>
      <c r="G383" s="8">
        <f>aktuelleAnleihen[[#This Row],[Kursdifferenz]]*aktuelleAnleihen[[#This Row],[Anteile]]*aktuelleAnleihen[[#This Row],[Stückelung]]/aktuelleAnleihen[[#This Row],[Wechselkurs am Kauftag]]</f>
        <v>28.599999999999959</v>
      </c>
      <c r="H383" s="8">
        <f>aktuelleAnleihen[[#This Row],[Stückzinsen]]-aktuelleAnleihen[[#This Row],[Stückzinsen am Kauftag]]+aktuelleAnleihen[[#This Row],[Zinszahlungen]]</f>
        <v>24.931489041095887</v>
      </c>
      <c r="I383" s="8">
        <f>aktuelleAnleihen[[#This Row],[Gewinn gesamt]]-aktuelleAnleihen[[#This Row],[Gewinn aus Kursänderung]]-aktuelleAnleihen[[#This Row],[Gewinn aus Zinsen]]</f>
        <v>-1.3500311979441904E-13</v>
      </c>
      <c r="J383" s="7">
        <f>aktuelleAnleihen[[#This Row],[Gewinn gesamt]]/aktuelleAnleihen[[#This Row],[Kaufpreis]]</f>
        <v>2.6440812059112816E-2</v>
      </c>
      <c r="K383" s="3">
        <f>aktuelleAnleihen[[#This Row],[Verkaufspreis]]-aktuelleAnleihen[[#This Row],[Kaufpreis]]+aktuelleAnleihen[[#This Row],[Zinszahlungen]]</f>
        <v>53.53148904109571</v>
      </c>
      <c r="L383" s="4">
        <v>2024.5780999999999</v>
      </c>
      <c r="M383" s="7">
        <v>1.0026999999999999</v>
      </c>
      <c r="N383" s="61">
        <v>1</v>
      </c>
      <c r="O383" s="1">
        <v>1</v>
      </c>
      <c r="P383" s="1" t="s">
        <v>925</v>
      </c>
      <c r="Q383" s="30">
        <v>45385</v>
      </c>
      <c r="R383" s="1">
        <v>2</v>
      </c>
      <c r="S383" s="1">
        <v>1000</v>
      </c>
      <c r="T383" s="9">
        <v>45335</v>
      </c>
      <c r="U383" s="1">
        <v>2</v>
      </c>
      <c r="V383" s="62">
        <f>aktuelleAnleihen[[#This Row],[Stückelung]]*aktuelleAnleihen[[#This Row],[Anteile]]*aktuelleAnleihen[[#This Row],[Coupon]]/aktuelleAnleihen[[#This Row],[Aktueller Wechselkurs]]*($AC$1-aktuelleAnleihen[[#This Row],[Letzte Zinszahlung]])/365</f>
        <v>44.109589041095887</v>
      </c>
      <c r="W383" s="4">
        <v>19.178100000000001</v>
      </c>
      <c r="X383" s="120" t="s">
        <v>75</v>
      </c>
      <c r="Y383" s="120" t="s">
        <v>61</v>
      </c>
      <c r="Z383" s="1" t="s">
        <v>676</v>
      </c>
      <c r="AA383" s="1" t="s">
        <v>677</v>
      </c>
      <c r="AB383" s="3">
        <f>SUMIF('Zinszahlungen Anleihen'!K:K,aktuelleAnleihen[[#This Row],[ISIN]],'Zinszahlungen Anleihen'!D:D)</f>
        <v>0</v>
      </c>
      <c r="AE383" s="9"/>
      <c r="AF383" s="1"/>
      <c r="AI383" s="3"/>
      <c r="AJ383" s="1"/>
      <c r="AM383" s="10"/>
      <c r="AN383" s="1"/>
      <c r="AP383" s="7"/>
      <c r="AQ383" s="1"/>
    </row>
    <row r="384" spans="1:43" x14ac:dyDescent="0.2">
      <c r="A384" s="1" t="s">
        <v>1069</v>
      </c>
      <c r="B384" s="1" t="s">
        <v>11</v>
      </c>
      <c r="C384" s="7">
        <v>0.10375</v>
      </c>
      <c r="D384" s="7">
        <v>1.1825000000000001</v>
      </c>
      <c r="E384" s="7">
        <f>aktuelleAnleihen[[#This Row],[Aktueller Kurs]]-aktuelleAnleihen[[#This Row],[Kaufkurs]]</f>
        <v>1.5800000000000036E-2</v>
      </c>
      <c r="F384" s="8">
        <f>aktuelleAnleihen[[#This Row],[Stückelung]]*aktuelleAnleihen[[#This Row],[Aktueller Kurs]]*aktuelleAnleihen[[#This Row],[Anteile]]/aktuelleAnleihen[[#This Row],[Aktueller Wechselkurs]]+aktuelleAnleihen[[#This Row],[Stückzinsen]]</f>
        <v>2239.897716224154</v>
      </c>
      <c r="G384" s="8">
        <f>aktuelleAnleihen[[#This Row],[Kursdifferenz]]*aktuelleAnleihen[[#This Row],[Anteile]]*aktuelleAnleihen[[#This Row],[Stückelung]]/aktuelleAnleihen[[#This Row],[Wechselkurs am Kauftag]]</f>
        <v>29.469364916534619</v>
      </c>
      <c r="H384" s="8">
        <f>aktuelleAnleihen[[#This Row],[Stückzinsen]]-aktuelleAnleihen[[#This Row],[Stückzinsen am Kauftag]]+aktuelleAnleihen[[#This Row],[Zinszahlungen]]</f>
        <v>19.074849260606037</v>
      </c>
      <c r="I384" s="8">
        <f>aktuelleAnleihen[[#This Row],[Gewinn gesamt]]-aktuelleAnleihen[[#This Row],[Gewinn aus Kursänderung]]-aktuelleAnleihen[[#This Row],[Gewinn aus Zinsen]]</f>
        <v>-34.021697952986599</v>
      </c>
      <c r="J384" s="7">
        <f>aktuelleAnleihen[[#This Row],[Gewinn gesamt]]/aktuelleAnleihen[[#This Row],[Kaufpreis]]</f>
        <v>6.525873131036088E-3</v>
      </c>
      <c r="K384" s="3">
        <f>aktuelleAnleihen[[#This Row],[Verkaufspreis]]-aktuelleAnleihen[[#This Row],[Kaufpreis]]+aktuelleAnleihen[[#This Row],[Zinszahlungen]]</f>
        <v>14.52251622415406</v>
      </c>
      <c r="L384" s="4">
        <v>2225.3751999999999</v>
      </c>
      <c r="M384" s="7">
        <v>1.1667000000000001</v>
      </c>
      <c r="N384" s="61">
        <v>1.0723</v>
      </c>
      <c r="O384" s="1">
        <v>1.0891</v>
      </c>
      <c r="P384" s="1" t="s">
        <v>887</v>
      </c>
      <c r="Q384" s="30">
        <v>45412</v>
      </c>
      <c r="R384" s="1">
        <v>2</v>
      </c>
      <c r="S384" s="1">
        <v>1000</v>
      </c>
      <c r="T384" s="9">
        <v>45319</v>
      </c>
      <c r="U384" s="1">
        <v>2</v>
      </c>
      <c r="V384" s="62">
        <f>aktuelleAnleihen[[#This Row],[Stückelung]]*aktuelleAnleihen[[#This Row],[Anteile]]*aktuelleAnleihen[[#This Row],[Coupon]]/aktuelleAnleihen[[#This Row],[Aktueller Wechselkurs]]*($AC$1-aktuelleAnleihen[[#This Row],[Letzte Zinszahlung]])/365</f>
        <v>68.37994926060604</v>
      </c>
      <c r="W384" s="4">
        <v>49.305100000000003</v>
      </c>
      <c r="X384" s="120" t="s">
        <v>1070</v>
      </c>
      <c r="Y384" s="120" t="s">
        <v>39</v>
      </c>
      <c r="Z384" s="1" t="s">
        <v>1071</v>
      </c>
      <c r="AA384" s="1" t="s">
        <v>1072</v>
      </c>
      <c r="AB384" s="3">
        <f>SUMIF('Zinszahlungen Anleihen'!K:K,aktuelleAnleihen[[#This Row],[ISIN]],'Zinszahlungen Anleihen'!D:D)</f>
        <v>0</v>
      </c>
      <c r="AE384" s="9"/>
      <c r="AF384" s="1"/>
      <c r="AI384" s="3"/>
      <c r="AJ384" s="1"/>
      <c r="AM384" s="10"/>
      <c r="AN384" s="1"/>
      <c r="AP384" s="7"/>
      <c r="AQ384" s="1"/>
    </row>
    <row r="385" spans="1:43" x14ac:dyDescent="0.2">
      <c r="A385" s="1" t="s">
        <v>1767</v>
      </c>
      <c r="B385" s="1" t="s">
        <v>0</v>
      </c>
      <c r="C385" s="7">
        <v>0.08</v>
      </c>
      <c r="D385" s="7">
        <v>1.0134999999999998</v>
      </c>
      <c r="E385" s="7">
        <f>aktuelleAnleihen[[#This Row],[Aktueller Kurs]]-aktuelleAnleihen[[#This Row],[Kaufkurs]]</f>
        <v>1.5999999999999792E-2</v>
      </c>
      <c r="F385" s="8">
        <f>aktuelleAnleihen[[#This Row],[Stückelung]]*aktuelleAnleihen[[#This Row],[Aktueller Kurs]]*aktuelleAnleihen[[#This Row],[Anteile]]/aktuelleAnleihen[[#This Row],[Aktueller Wechselkurs]]+aktuelleAnleihen[[#This Row],[Stückzinsen]]</f>
        <v>1870.0246401766947</v>
      </c>
      <c r="G385" s="8">
        <f>aktuelleAnleihen[[#This Row],[Kursdifferenz]]*aktuelleAnleihen[[#This Row],[Anteile]]*aktuelleAnleihen[[#This Row],[Stückelung]]/aktuelleAnleihen[[#This Row],[Wechselkurs am Kauftag]]</f>
        <v>29.842394852186498</v>
      </c>
      <c r="H385" s="8">
        <f>aktuelleAnleihen[[#This Row],[Stückzinsen]]-aktuelleAnleihen[[#This Row],[Stückzinsen am Kauftag]]+aktuelleAnleihen[[#This Row],[Zinszahlungen]]</f>
        <v>14.618215690239929</v>
      </c>
      <c r="I385" s="8">
        <f>aktuelleAnleihen[[#This Row],[Gewinn gesamt]]-aktuelleAnleihen[[#This Row],[Gewinn aus Kursänderung]]-aktuelleAnleihen[[#This Row],[Gewinn aus Zinsen]]</f>
        <v>-29.159421644951397</v>
      </c>
      <c r="J385" s="7">
        <f>aktuelleAnleihen[[#This Row],[Gewinn gesamt]]/aktuelleAnleihen[[#This Row],[Kaufpreis]]</f>
        <v>7.9348707139081306E-3</v>
      </c>
      <c r="K385" s="3">
        <f>aktuelleAnleihen[[#This Row],[Verkaufspreis]]-aktuelleAnleihen[[#This Row],[Kaufpreis]]+aktuelleAnleihen[[#This Row],[Zinszahlungen]]</f>
        <v>15.301188897475029</v>
      </c>
      <c r="L385" s="4">
        <v>1928.3476000000001</v>
      </c>
      <c r="M385" s="7">
        <v>0.99750000000000005</v>
      </c>
      <c r="N385" s="61">
        <v>1.0723</v>
      </c>
      <c r="O385" s="1">
        <v>1.0891</v>
      </c>
      <c r="P385" s="1" t="s">
        <v>887</v>
      </c>
      <c r="Q385" s="30">
        <v>45412</v>
      </c>
      <c r="R385" s="1">
        <v>2</v>
      </c>
      <c r="S385" s="1">
        <v>1000</v>
      </c>
      <c r="T385" s="9">
        <v>45428</v>
      </c>
      <c r="U385" s="1">
        <v>2</v>
      </c>
      <c r="V385" s="62">
        <f>aktuelleAnleihen[[#This Row],[Stückelung]]*aktuelleAnleihen[[#This Row],[Anteile]]*aktuelleAnleihen[[#This Row],[Coupon]]/aktuelleAnleihen[[#This Row],[Aktueller Wechselkurs]]*($AC$1-aktuelleAnleihen[[#This Row],[Letzte Zinszahlung]])/365</f>
        <v>8.8548669694595148</v>
      </c>
      <c r="W385" s="4">
        <v>67.860799999999998</v>
      </c>
      <c r="X385" s="120" t="s">
        <v>51</v>
      </c>
      <c r="Y385" s="120" t="s">
        <v>39</v>
      </c>
      <c r="Z385" s="1" t="s">
        <v>1768</v>
      </c>
      <c r="AA385" s="1" t="s">
        <v>1769</v>
      </c>
      <c r="AB385" s="3">
        <f>SUMIF('Zinszahlungen Anleihen'!K:K,aktuelleAnleihen[[#This Row],[ISIN]],'Zinszahlungen Anleihen'!D:D)</f>
        <v>73.624148720780411</v>
      </c>
      <c r="AE385" s="9"/>
      <c r="AF385" s="1"/>
      <c r="AI385" s="3"/>
      <c r="AJ385" s="1"/>
      <c r="AM385" s="10"/>
      <c r="AN385" s="1"/>
      <c r="AP385" s="7"/>
      <c r="AQ385" s="1"/>
    </row>
    <row r="386" spans="1:43" x14ac:dyDescent="0.2">
      <c r="A386" s="1" t="s">
        <v>1551</v>
      </c>
      <c r="B386" s="1" t="s">
        <v>7</v>
      </c>
      <c r="C386" s="7">
        <v>8.7499999999999994E-2</v>
      </c>
      <c r="D386" s="7">
        <v>1.0049999999999999</v>
      </c>
      <c r="E386" s="7">
        <f>aktuelleAnleihen[[#This Row],[Aktueller Kurs]]-aktuelleAnleihen[[#This Row],[Kaufkurs]]</f>
        <v>1.5999999999999903E-2</v>
      </c>
      <c r="F386" s="8">
        <f>aktuelleAnleihen[[#This Row],[Stückelung]]*aktuelleAnleihen[[#This Row],[Aktueller Kurs]]*aktuelleAnleihen[[#This Row],[Anteile]]/aktuelleAnleihen[[#This Row],[Aktueller Wechselkurs]]+aktuelleAnleihen[[#This Row],[Stückzinsen]]</f>
        <v>1859.2076151855936</v>
      </c>
      <c r="G386" s="8">
        <f>aktuelleAnleihen[[#This Row],[Kursdifferenz]]*aktuelleAnleihen[[#This Row],[Anteile]]*aktuelleAnleihen[[#This Row],[Stückelung]]/aktuelleAnleihen[[#This Row],[Wechselkurs am Kauftag]]</f>
        <v>29.842394852186708</v>
      </c>
      <c r="H386" s="8">
        <f>aktuelleAnleihen[[#This Row],[Stückzinsen]]-aktuelleAnleihen[[#This Row],[Stückzinsen am Kauftag]]+aktuelleAnleihen[[#This Row],[Zinszahlungen]]</f>
        <v>16.750104816419153</v>
      </c>
      <c r="I386" s="8">
        <f>aktuelleAnleihen[[#This Row],[Gewinn gesamt]]-aktuelleAnleihen[[#This Row],[Gewinn aus Kursänderung]]-aktuelleAnleihen[[#This Row],[Gewinn aus Zinsen]]</f>
        <v>-28.914840265831081</v>
      </c>
      <c r="J386" s="7">
        <f>aktuelleAnleihen[[#This Row],[Gewinn gesamt]]/aktuelleAnleihen[[#This Row],[Kaufpreis]]</f>
        <v>9.1933247639516026E-3</v>
      </c>
      <c r="K386" s="3">
        <f>aktuelleAnleihen[[#This Row],[Verkaufspreis]]-aktuelleAnleihen[[#This Row],[Kaufpreis]]+aktuelleAnleihen[[#This Row],[Zinszahlungen]]</f>
        <v>17.677659402774779</v>
      </c>
      <c r="L386" s="4">
        <v>1922.8798999999999</v>
      </c>
      <c r="M386" s="7">
        <v>0.98899999999999999</v>
      </c>
      <c r="N386" s="61">
        <v>1.0723</v>
      </c>
      <c r="O386" s="1">
        <v>1.0891</v>
      </c>
      <c r="P386" s="1" t="s">
        <v>887</v>
      </c>
      <c r="Q386" s="30">
        <v>45412</v>
      </c>
      <c r="R386" s="1">
        <v>2</v>
      </c>
      <c r="S386" s="1">
        <v>1000</v>
      </c>
      <c r="T386" s="9">
        <v>45419</v>
      </c>
      <c r="U386" s="1">
        <v>2</v>
      </c>
      <c r="V386" s="62">
        <f>aktuelleAnleihen[[#This Row],[Stückelung]]*aktuelleAnleihen[[#This Row],[Anteile]]*aktuelleAnleihen[[#This Row],[Coupon]]/aktuelleAnleihen[[#This Row],[Aktueller Wechselkurs]]*($AC$1-aktuelleAnleihen[[#This Row],[Letzte Zinszahlung]])/365</f>
        <v>13.647060599238028</v>
      </c>
      <c r="W386" s="4">
        <v>78.246899999999997</v>
      </c>
      <c r="X386" s="120" t="s">
        <v>1190</v>
      </c>
      <c r="Y386" s="120" t="s">
        <v>52</v>
      </c>
      <c r="Z386" s="1" t="s">
        <v>1552</v>
      </c>
      <c r="AA386" s="1" t="s">
        <v>1553</v>
      </c>
      <c r="AB386" s="3">
        <f>SUMIF('Zinszahlungen Anleihen'!K:K,aktuelleAnleihen[[#This Row],[ISIN]],'Zinszahlungen Anleihen'!D:D)</f>
        <v>81.349944217181118</v>
      </c>
      <c r="AE386" s="9"/>
      <c r="AF386" s="1"/>
      <c r="AI386" s="3"/>
      <c r="AJ386" s="1"/>
      <c r="AM386" s="10"/>
      <c r="AN386" s="1"/>
      <c r="AP386" s="7"/>
      <c r="AQ386" s="1"/>
    </row>
    <row r="387" spans="1:43" x14ac:dyDescent="0.2">
      <c r="A387" s="1" t="s">
        <v>766</v>
      </c>
      <c r="B387" s="1" t="s">
        <v>11</v>
      </c>
      <c r="C387" s="7">
        <v>6.5000000000000002E-2</v>
      </c>
      <c r="D387" s="7">
        <v>1.0206</v>
      </c>
      <c r="E387" s="7">
        <f>aktuelleAnleihen[[#This Row],[Aktueller Kurs]]-aktuelleAnleihen[[#This Row],[Kaufkurs]]</f>
        <v>1.4999999999999902E-2</v>
      </c>
      <c r="F387" s="8">
        <f>aktuelleAnleihen[[#This Row],[Stückelung]]*aktuelleAnleihen[[#This Row],[Aktueller Kurs]]*aktuelleAnleihen[[#This Row],[Anteile]]/aktuelleAnleihen[[#This Row],[Aktueller Wechselkurs]]+aktuelleAnleihen[[#This Row],[Stückzinsen]]</f>
        <v>2091.0630136986301</v>
      </c>
      <c r="G387" s="8">
        <f>aktuelleAnleihen[[#This Row],[Kursdifferenz]]*aktuelleAnleihen[[#This Row],[Anteile]]*aktuelleAnleihen[[#This Row],[Stückelung]]/aktuelleAnleihen[[#This Row],[Wechselkurs am Kauftag]]</f>
        <v>29.999999999999805</v>
      </c>
      <c r="H387" s="8">
        <f>aktuelleAnleihen[[#This Row],[Stückzinsen]]-aktuelleAnleihen[[#This Row],[Stückzinsen am Kauftag]]+aktuelleAnleihen[[#This Row],[Zinszahlungen]]</f>
        <v>23.150713698630135</v>
      </c>
      <c r="I387" s="8">
        <f>aktuelleAnleihen[[#This Row],[Gewinn gesamt]]-aktuelleAnleihen[[#This Row],[Gewinn aus Kursänderung]]-aktuelleAnleihen[[#This Row],[Gewinn aus Zinsen]]</f>
        <v>2.3092638912203256E-13</v>
      </c>
      <c r="J387" s="7">
        <f>aktuelleAnleihen[[#This Row],[Gewinn gesamt]]/aktuelleAnleihen[[#This Row],[Kaufpreis]]</f>
        <v>2.6080962217378132E-2</v>
      </c>
      <c r="K387" s="3">
        <f>aktuelleAnleihen[[#This Row],[Verkaufspreis]]-aktuelleAnleihen[[#This Row],[Kaufpreis]]+aktuelleAnleihen[[#This Row],[Zinszahlungen]]</f>
        <v>53.15071369863017</v>
      </c>
      <c r="L387" s="4">
        <v>2037.9123</v>
      </c>
      <c r="M387" s="7">
        <v>1.0056</v>
      </c>
      <c r="N387" s="61">
        <v>1</v>
      </c>
      <c r="O387" s="1">
        <v>1</v>
      </c>
      <c r="P387" s="1" t="s">
        <v>925</v>
      </c>
      <c r="Q387" s="30">
        <v>45385</v>
      </c>
      <c r="R387" s="1">
        <v>2</v>
      </c>
      <c r="S387" s="1">
        <v>1000</v>
      </c>
      <c r="T387" s="9">
        <v>45310</v>
      </c>
      <c r="U387" s="1">
        <v>1</v>
      </c>
      <c r="V387" s="62">
        <f>aktuelleAnleihen[[#This Row],[Stückelung]]*aktuelleAnleihen[[#This Row],[Anteile]]*aktuelleAnleihen[[#This Row],[Coupon]]/aktuelleAnleihen[[#This Row],[Aktueller Wechselkurs]]*($AC$1-aktuelleAnleihen[[#This Row],[Letzte Zinszahlung]])/365</f>
        <v>49.863013698630134</v>
      </c>
      <c r="W387" s="4">
        <v>26.712299999999999</v>
      </c>
      <c r="X387" s="120" t="s">
        <v>767</v>
      </c>
      <c r="Y387" s="120" t="s">
        <v>57</v>
      </c>
      <c r="Z387" s="1" t="s">
        <v>768</v>
      </c>
      <c r="AA387" s="1" t="s">
        <v>769</v>
      </c>
      <c r="AB387" s="3">
        <f>SUMIF('Zinszahlungen Anleihen'!K:K,aktuelleAnleihen[[#This Row],[ISIN]],'Zinszahlungen Anleihen'!D:D)</f>
        <v>0</v>
      </c>
      <c r="AE387" s="9"/>
      <c r="AF387" s="1"/>
      <c r="AI387" s="3"/>
      <c r="AJ387" s="1"/>
      <c r="AM387" s="10"/>
      <c r="AN387" s="1"/>
      <c r="AP387" s="7"/>
      <c r="AQ387" s="1"/>
    </row>
    <row r="388" spans="1:43" x14ac:dyDescent="0.2">
      <c r="A388" s="1" t="s">
        <v>736</v>
      </c>
      <c r="B388" s="1" t="s">
        <v>9</v>
      </c>
      <c r="C388" s="7">
        <v>6.5000000000000002E-2</v>
      </c>
      <c r="D388" s="7">
        <v>1.0149999999999999</v>
      </c>
      <c r="E388" s="7">
        <f>aktuelleAnleihen[[#This Row],[Aktueller Kurs]]-aktuelleAnleihen[[#This Row],[Kaufkurs]]</f>
        <v>1.4999999999999902E-2</v>
      </c>
      <c r="F388" s="8">
        <f>aktuelleAnleihen[[#This Row],[Stückelung]]*aktuelleAnleihen[[#This Row],[Aktueller Kurs]]*aktuelleAnleihen[[#This Row],[Anteile]]/aktuelleAnleihen[[#This Row],[Aktueller Wechselkurs]]+aktuelleAnleihen[[#This Row],[Stückzinsen]]</f>
        <v>2084.4931506849312</v>
      </c>
      <c r="G388" s="8">
        <f>aktuelleAnleihen[[#This Row],[Kursdifferenz]]*aktuelleAnleihen[[#This Row],[Anteile]]*aktuelleAnleihen[[#This Row],[Stückelung]]/aktuelleAnleihen[[#This Row],[Wechselkurs am Kauftag]]</f>
        <v>29.999999999999805</v>
      </c>
      <c r="H388" s="8">
        <f>aktuelleAnleihen[[#This Row],[Stückzinsen]]-aktuelleAnleihen[[#This Row],[Stückzinsen am Kauftag]]+aktuelleAnleihen[[#This Row],[Zinszahlungen]]</f>
        <v>23.150650684931506</v>
      </c>
      <c r="I388" s="8">
        <f>aktuelleAnleihen[[#This Row],[Gewinn gesamt]]-aktuelleAnleihen[[#This Row],[Gewinn aus Kursänderung]]-aktuelleAnleihen[[#This Row],[Gewinn aus Zinsen]]</f>
        <v>-1.3145040611561853E-13</v>
      </c>
      <c r="J388" s="7">
        <f>aktuelleAnleihen[[#This Row],[Gewinn gesamt]]/aktuelleAnleihen[[#This Row],[Kaufpreis]]</f>
        <v>2.6165282656632833E-2</v>
      </c>
      <c r="K388" s="3">
        <f>aktuelleAnleihen[[#This Row],[Verkaufspreis]]-aktuelleAnleihen[[#This Row],[Kaufpreis]]+aktuelleAnleihen[[#This Row],[Zinszahlungen]]</f>
        <v>53.150650684931179</v>
      </c>
      <c r="L388" s="4">
        <v>2031.3425</v>
      </c>
      <c r="M388" s="7">
        <v>1</v>
      </c>
      <c r="N388" s="61">
        <v>1</v>
      </c>
      <c r="O388" s="1">
        <v>1</v>
      </c>
      <c r="P388" s="1" t="s">
        <v>925</v>
      </c>
      <c r="Q388" s="30">
        <v>45385</v>
      </c>
      <c r="R388" s="1">
        <v>2</v>
      </c>
      <c r="S388" s="1">
        <v>1000</v>
      </c>
      <c r="T388" s="9">
        <v>45297</v>
      </c>
      <c r="U388" s="1">
        <v>2</v>
      </c>
      <c r="V388" s="62">
        <f>aktuelleAnleihen[[#This Row],[Stückelung]]*aktuelleAnleihen[[#This Row],[Anteile]]*aktuelleAnleihen[[#This Row],[Coupon]]/aktuelleAnleihen[[#This Row],[Aktueller Wechselkurs]]*($AC$1-aktuelleAnleihen[[#This Row],[Letzte Zinszahlung]])/365</f>
        <v>54.493150684931507</v>
      </c>
      <c r="W388" s="4">
        <v>31.342500000000001</v>
      </c>
      <c r="X388" s="120" t="s">
        <v>56</v>
      </c>
      <c r="Y388" s="120" t="s">
        <v>39</v>
      </c>
      <c r="Z388" s="1" t="s">
        <v>737</v>
      </c>
      <c r="AA388" s="1" t="s">
        <v>738</v>
      </c>
      <c r="AB388" s="3">
        <f>SUMIF('Zinszahlungen Anleihen'!K:K,aktuelleAnleihen[[#This Row],[ISIN]],'Zinszahlungen Anleihen'!D:D)</f>
        <v>0</v>
      </c>
      <c r="AE388" s="9"/>
      <c r="AF388" s="1"/>
      <c r="AI388" s="3"/>
      <c r="AJ388" s="1"/>
      <c r="AM388" s="10"/>
      <c r="AN388" s="1"/>
      <c r="AP388" s="7"/>
      <c r="AQ388" s="1"/>
    </row>
    <row r="389" spans="1:43" x14ac:dyDescent="0.2">
      <c r="A389" s="1" t="s">
        <v>1258</v>
      </c>
      <c r="B389" s="1" t="s">
        <v>0</v>
      </c>
      <c r="C389" s="7">
        <v>9.2499999999999999E-2</v>
      </c>
      <c r="D389" s="7">
        <v>1.0680000000000001</v>
      </c>
      <c r="E389" s="7">
        <f>aktuelleAnleihen[[#This Row],[Aktueller Kurs]]-aktuelleAnleihen[[#This Row],[Kaufkurs]]</f>
        <v>1.6100000000000003E-2</v>
      </c>
      <c r="F389" s="8">
        <f>aktuelleAnleihen[[#This Row],[Stückelung]]*aktuelleAnleihen[[#This Row],[Aktueller Kurs]]*aktuelleAnleihen[[#This Row],[Anteile]]/aktuelleAnleihen[[#This Row],[Aktueller Wechselkurs]]+aktuelleAnleihen[[#This Row],[Stückzinsen]]</f>
        <v>2025.9407352809849</v>
      </c>
      <c r="G389" s="8">
        <f>aktuelleAnleihen[[#This Row],[Kursdifferenz]]*aktuelleAnleihen[[#This Row],[Anteile]]*aktuelleAnleihen[[#This Row],[Stückelung]]/aktuelleAnleihen[[#This Row],[Wechselkurs am Kauftag]]</f>
        <v>30.028909820013059</v>
      </c>
      <c r="H389" s="8">
        <f>aktuelleAnleihen[[#This Row],[Stückzinsen]]-aktuelleAnleihen[[#This Row],[Stückzinsen am Kauftag]]+aktuelleAnleihen[[#This Row],[Zinszahlungen]]</f>
        <v>16.948125033991872</v>
      </c>
      <c r="I389" s="8">
        <f>aktuelleAnleihen[[#This Row],[Gewinn gesamt]]-aktuelleAnleihen[[#This Row],[Gewinn aus Kursänderung]]-aktuelleAnleihen[[#This Row],[Gewinn aus Zinsen]]</f>
        <v>-30.727399573020055</v>
      </c>
      <c r="J389" s="7">
        <f>aktuelleAnleihen[[#This Row],[Gewinn gesamt]]/aktuelleAnleihen[[#This Row],[Kaufpreis]]</f>
        <v>8.0856382759444349E-3</v>
      </c>
      <c r="K389" s="3">
        <f>aktuelleAnleihen[[#This Row],[Verkaufspreis]]-aktuelleAnleihen[[#This Row],[Kaufpreis]]+aktuelleAnleihen[[#This Row],[Zinszahlungen]]</f>
        <v>16.249635280984876</v>
      </c>
      <c r="L389" s="4">
        <v>2009.6911</v>
      </c>
      <c r="M389" s="7">
        <v>1.0519000000000001</v>
      </c>
      <c r="N389" s="61">
        <v>1.0723</v>
      </c>
      <c r="O389" s="1">
        <v>1.0891</v>
      </c>
      <c r="P389" s="1" t="s">
        <v>887</v>
      </c>
      <c r="Q389" s="30">
        <v>45412</v>
      </c>
      <c r="R389" s="1">
        <v>2</v>
      </c>
      <c r="S389" s="1">
        <v>1000</v>
      </c>
      <c r="T389" s="9">
        <v>45311</v>
      </c>
      <c r="U389" s="1">
        <v>2</v>
      </c>
      <c r="V389" s="62">
        <f>aktuelleAnleihen[[#This Row],[Stückelung]]*aktuelleAnleihen[[#This Row],[Anteile]]*aktuelleAnleihen[[#This Row],[Coupon]]/aktuelleAnleihen[[#This Row],[Aktueller Wechselkurs]]*($AC$1-aktuelleAnleihen[[#This Row],[Letzte Zinszahlung]])/365</f>
        <v>64.688325033991873</v>
      </c>
      <c r="W389" s="4">
        <v>47.740200000000002</v>
      </c>
      <c r="X389" s="120" t="s">
        <v>276</v>
      </c>
      <c r="Y389" s="120" t="s">
        <v>39</v>
      </c>
      <c r="Z389" s="1" t="s">
        <v>1259</v>
      </c>
      <c r="AA389" s="1" t="s">
        <v>1260</v>
      </c>
      <c r="AB389" s="3">
        <f>SUMIF('Zinszahlungen Anleihen'!K:K,aktuelleAnleihen[[#This Row],[ISIN]],'Zinszahlungen Anleihen'!D:D)</f>
        <v>0</v>
      </c>
      <c r="AE389" s="9"/>
      <c r="AF389" s="1"/>
      <c r="AI389" s="3"/>
      <c r="AJ389" s="1"/>
      <c r="AM389" s="10"/>
      <c r="AN389" s="1"/>
      <c r="AP389" s="7"/>
      <c r="AQ389" s="1"/>
    </row>
    <row r="390" spans="1:43" x14ac:dyDescent="0.2">
      <c r="A390" s="1" t="s">
        <v>1282</v>
      </c>
      <c r="B390" s="1" t="s">
        <v>7</v>
      </c>
      <c r="C390" s="7">
        <v>9.1249999999999998E-2</v>
      </c>
      <c r="D390" s="7">
        <v>1.0978000000000001</v>
      </c>
      <c r="E390" s="7">
        <f>aktuelleAnleihen[[#This Row],[Aktueller Kurs]]-aktuelleAnleihen[[#This Row],[Kaufkurs]]</f>
        <v>1.6200000000000214E-2</v>
      </c>
      <c r="F390" s="8">
        <f>aktuelleAnleihen[[#This Row],[Stückelung]]*aktuelleAnleihen[[#This Row],[Aktueller Kurs]]*aktuelleAnleihen[[#This Row],[Anteile]]/aktuelleAnleihen[[#This Row],[Aktueller Wechselkurs]]+aktuelleAnleihen[[#This Row],[Stückzinsen]]</f>
        <v>2096.3180607841341</v>
      </c>
      <c r="G390" s="8">
        <f>aktuelleAnleihen[[#This Row],[Kursdifferenz]]*aktuelleAnleihen[[#This Row],[Anteile]]*aktuelleAnleihen[[#This Row],[Stückelung]]/aktuelleAnleihen[[#This Row],[Wechselkurs am Kauftag]]</f>
        <v>30.215424787839627</v>
      </c>
      <c r="H390" s="8">
        <f>aktuelleAnleihen[[#This Row],[Stückzinsen]]-aktuelleAnleihen[[#This Row],[Stückzinsen am Kauftag]]+aktuelleAnleihen[[#This Row],[Zinszahlungen]]</f>
        <v>16.460166430998086</v>
      </c>
      <c r="I390" s="8">
        <f>aktuelleAnleihen[[#This Row],[Gewinn gesamt]]-aktuelleAnleihen[[#This Row],[Gewinn aus Kursänderung]]-aktuelleAnleihen[[#This Row],[Gewinn aus Zinsen]]</f>
        <v>-31.584830434703623</v>
      </c>
      <c r="J390" s="7">
        <f>aktuelleAnleihen[[#This Row],[Gewinn gesamt]]/aktuelleAnleihen[[#This Row],[Kaufpreis]]</f>
        <v>7.2508950772143393E-3</v>
      </c>
      <c r="K390" s="3">
        <f>aktuelleAnleihen[[#This Row],[Verkaufspreis]]-aktuelleAnleihen[[#This Row],[Kaufpreis]]+aktuelleAnleihen[[#This Row],[Zinszahlungen]]</f>
        <v>15.09076078413409</v>
      </c>
      <c r="L390" s="4">
        <v>2081.2273</v>
      </c>
      <c r="M390" s="7">
        <v>1.0815999999999999</v>
      </c>
      <c r="N390" s="61">
        <v>1.0723</v>
      </c>
      <c r="O390" s="1">
        <v>1.0891</v>
      </c>
      <c r="P390" s="1" t="s">
        <v>887</v>
      </c>
      <c r="Q390" s="30">
        <v>45412</v>
      </c>
      <c r="R390" s="1">
        <v>2</v>
      </c>
      <c r="S390" s="1">
        <v>1000</v>
      </c>
      <c r="T390" s="9">
        <v>45275</v>
      </c>
      <c r="U390" s="1">
        <v>2</v>
      </c>
      <c r="V390" s="62">
        <f>aktuelleAnleihen[[#This Row],[Stückelung]]*aktuelleAnleihen[[#This Row],[Anteile]]*aktuelleAnleihen[[#This Row],[Coupon]]/aktuelleAnleihen[[#This Row],[Aktueller Wechselkurs]]*($AC$1-aktuelleAnleihen[[#This Row],[Letzte Zinszahlung]])/365</f>
        <v>80.341566430998085</v>
      </c>
      <c r="W390" s="4">
        <v>63.881399999999999</v>
      </c>
      <c r="X390" s="120" t="s">
        <v>102</v>
      </c>
      <c r="Y390" s="120" t="s">
        <v>39</v>
      </c>
      <c r="Z390" s="1" t="s">
        <v>1286</v>
      </c>
      <c r="AA390" s="1" t="s">
        <v>1287</v>
      </c>
      <c r="AB390" s="3">
        <f>SUMIF('Zinszahlungen Anleihen'!K:K,aktuelleAnleihen[[#This Row],[ISIN]],'Zinszahlungen Anleihen'!D:D)</f>
        <v>0</v>
      </c>
      <c r="AE390" s="9"/>
      <c r="AF390" s="1"/>
      <c r="AI390" s="3"/>
      <c r="AJ390" s="1"/>
      <c r="AM390" s="10"/>
      <c r="AN390" s="1"/>
      <c r="AP390" s="7"/>
      <c r="AQ390" s="1"/>
    </row>
    <row r="391" spans="1:43" x14ac:dyDescent="0.2">
      <c r="A391" s="1" t="s">
        <v>1333</v>
      </c>
      <c r="B391" s="1" t="s">
        <v>9</v>
      </c>
      <c r="C391" s="7">
        <v>8.8800000000000004E-2</v>
      </c>
      <c r="D391" s="7">
        <v>1.04375</v>
      </c>
      <c r="E391" s="7">
        <f>aktuelleAnleihen[[#This Row],[Aktueller Kurs]]-aktuelleAnleihen[[#This Row],[Kaufkurs]]</f>
        <v>1.6249999999999876E-2</v>
      </c>
      <c r="F391" s="8">
        <f>aktuelleAnleihen[[#This Row],[Stückelung]]*aktuelleAnleihen[[#This Row],[Aktueller Kurs]]*aktuelleAnleihen[[#This Row],[Anteile]]/aktuelleAnleihen[[#This Row],[Aktueller Wechselkurs]]+aktuelleAnleihen[[#This Row],[Stückzinsen]]</f>
        <v>1955.1423004793453</v>
      </c>
      <c r="G391" s="8">
        <f>aktuelleAnleihen[[#This Row],[Kursdifferenz]]*aktuelleAnleihen[[#This Row],[Anteile]]*aktuelleAnleihen[[#This Row],[Stückelung]]/aktuelleAnleihen[[#This Row],[Wechselkurs am Kauftag]]</f>
        <v>30.308682271752076</v>
      </c>
      <c r="H391" s="8">
        <f>aktuelleAnleihen[[#This Row],[Stückzinsen]]-aktuelleAnleihen[[#This Row],[Stückzinsen am Kauftag]]+aktuelleAnleihen[[#This Row],[Zinszahlungen]]</f>
        <v>16.641172768391147</v>
      </c>
      <c r="I391" s="8">
        <f>aktuelleAnleihen[[#This Row],[Gewinn gesamt]]-aktuelleAnleihen[[#This Row],[Gewinn aus Kursänderung]]-aktuelleAnleihen[[#This Row],[Gewinn aus Zinsen]]</f>
        <v>-30.029754560797858</v>
      </c>
      <c r="J391" s="7">
        <f>aktuelleAnleihen[[#This Row],[Gewinn gesamt]]/aktuelleAnleihen[[#This Row],[Kaufpreis]]</f>
        <v>8.7297011041073437E-3</v>
      </c>
      <c r="K391" s="3">
        <f>aktuelleAnleihen[[#This Row],[Verkaufspreis]]-aktuelleAnleihen[[#This Row],[Kaufpreis]]+aktuelleAnleihen[[#This Row],[Zinszahlungen]]</f>
        <v>16.920100479345365</v>
      </c>
      <c r="L391" s="4">
        <v>1938.2221999999999</v>
      </c>
      <c r="M391" s="7">
        <v>1.0275000000000001</v>
      </c>
      <c r="N391" s="61">
        <v>1.0723</v>
      </c>
      <c r="O391" s="1">
        <v>1.0891</v>
      </c>
      <c r="P391" s="1" t="s">
        <v>887</v>
      </c>
      <c r="Q391" s="30">
        <v>45412</v>
      </c>
      <c r="R391" s="1">
        <v>2</v>
      </c>
      <c r="S391" s="1">
        <v>1000</v>
      </c>
      <c r="T391" s="9">
        <v>45364</v>
      </c>
      <c r="U391" s="1">
        <v>2</v>
      </c>
      <c r="V391" s="62">
        <f>aktuelleAnleihen[[#This Row],[Stückelung]]*aktuelleAnleihen[[#This Row],[Anteile]]*aktuelleAnleihen[[#This Row],[Coupon]]/aktuelleAnleihen[[#This Row],[Aktueller Wechselkurs]]*($AC$1-aktuelleAnleihen[[#This Row],[Letzte Zinszahlung]])/365</f>
        <v>38.422072768391146</v>
      </c>
      <c r="W391" s="4">
        <v>21.780899999999999</v>
      </c>
      <c r="X391" s="120" t="s">
        <v>35</v>
      </c>
      <c r="Y391" s="120" t="s">
        <v>1011</v>
      </c>
      <c r="Z391" s="1" t="s">
        <v>1549</v>
      </c>
      <c r="AA391" s="1" t="s">
        <v>1550</v>
      </c>
      <c r="AB391" s="3">
        <f>SUMIF('Zinszahlungen Anleihen'!K:K,aktuelleAnleihen[[#This Row],[ISIN]],'Zinszahlungen Anleihen'!D:D)</f>
        <v>0</v>
      </c>
      <c r="AE391" s="9"/>
      <c r="AF391" s="1"/>
      <c r="AI391" s="3"/>
      <c r="AJ391" s="1"/>
      <c r="AM391" s="10"/>
      <c r="AN391" s="1"/>
      <c r="AP391" s="7"/>
      <c r="AQ391" s="1"/>
    </row>
    <row r="392" spans="1:43" x14ac:dyDescent="0.2">
      <c r="A392" s="1" t="s">
        <v>1557</v>
      </c>
      <c r="B392" s="1" t="s">
        <v>9</v>
      </c>
      <c r="C392" s="7">
        <v>8.4499999999999992E-2</v>
      </c>
      <c r="D392" s="7">
        <v>0.93700000000000006</v>
      </c>
      <c r="E392" s="7">
        <f>aktuelleAnleihen[[#This Row],[Aktueller Kurs]]-aktuelleAnleihen[[#This Row],[Kaufkurs]]</f>
        <v>1.6300000000000092E-2</v>
      </c>
      <c r="F392" s="8">
        <f>aktuelleAnleihen[[#This Row],[Stückelung]]*aktuelleAnleihen[[#This Row],[Aktueller Kurs]]*aktuelleAnleihen[[#This Row],[Anteile]]/aktuelleAnleihen[[#This Row],[Aktueller Wechselkurs]]+aktuelleAnleihen[[#This Row],[Stückzinsen]]</f>
        <v>1756.3980816131959</v>
      </c>
      <c r="G392" s="8">
        <f>aktuelleAnleihen[[#This Row],[Kursdifferenz]]*aktuelleAnleihen[[#This Row],[Anteile]]*aktuelleAnleihen[[#This Row],[Stückelung]]/aktuelleAnleihen[[#This Row],[Wechselkurs am Kauftag]]</f>
        <v>30.401939755665566</v>
      </c>
      <c r="H392" s="8">
        <f>aktuelleAnleihen[[#This Row],[Stückzinsen]]-aktuelleAnleihen[[#This Row],[Stückzinsen am Kauftag]]+aktuelleAnleihen[[#This Row],[Zinszahlungen]]</f>
        <v>15.848675993877052</v>
      </c>
      <c r="I392" s="8">
        <f>aktuelleAnleihen[[#This Row],[Gewinn gesamt]]-aktuelleAnleihen[[#This Row],[Gewinn aus Kursänderung]]-aktuelleAnleihen[[#This Row],[Gewinn aus Zinsen]]</f>
        <v>-26.95843413634671</v>
      </c>
      <c r="J392" s="7">
        <f>aktuelleAnleihen[[#This Row],[Gewinn gesamt]]/aktuelleAnleihen[[#This Row],[Kaufpreis]]</f>
        <v>1.1105932927402933E-2</v>
      </c>
      <c r="K392" s="3">
        <f>aktuelleAnleihen[[#This Row],[Verkaufspreis]]-aktuelleAnleihen[[#This Row],[Kaufpreis]]+aktuelleAnleihen[[#This Row],[Zinszahlungen]]</f>
        <v>19.292181613195908</v>
      </c>
      <c r="L392" s="4">
        <v>1737.1059</v>
      </c>
      <c r="M392" s="7">
        <v>0.92069999999999996</v>
      </c>
      <c r="N392" s="61">
        <v>1.0723</v>
      </c>
      <c r="O392" s="1">
        <v>1.0891</v>
      </c>
      <c r="P392" s="1" t="s">
        <v>887</v>
      </c>
      <c r="Q392" s="30">
        <v>45412</v>
      </c>
      <c r="R392" s="1">
        <v>2</v>
      </c>
      <c r="S392" s="1">
        <v>1000</v>
      </c>
      <c r="T392" s="9">
        <v>45366</v>
      </c>
      <c r="U392" s="1">
        <v>2</v>
      </c>
      <c r="V392" s="62">
        <f>aktuelleAnleihen[[#This Row],[Stückelung]]*aktuelleAnleihen[[#This Row],[Anteile]]*aktuelleAnleihen[[#This Row],[Coupon]]/aktuelleAnleihen[[#This Row],[Aktueller Wechselkurs]]*($AC$1-aktuelleAnleihen[[#This Row],[Letzte Zinszahlung]])/365</f>
        <v>35.711275993877052</v>
      </c>
      <c r="W392" s="4">
        <v>19.8626</v>
      </c>
      <c r="X392" s="120" t="s">
        <v>276</v>
      </c>
      <c r="Y392" s="120" t="s">
        <v>39</v>
      </c>
      <c r="Z392" s="1" t="s">
        <v>1558</v>
      </c>
      <c r="AA392" s="1" t="s">
        <v>1559</v>
      </c>
      <c r="AB392" s="3">
        <f>SUMIF('Zinszahlungen Anleihen'!K:K,aktuelleAnleihen[[#This Row],[ISIN]],'Zinszahlungen Anleihen'!D:D)</f>
        <v>0</v>
      </c>
      <c r="AE392" s="9"/>
      <c r="AF392" s="1"/>
      <c r="AI392" s="3"/>
      <c r="AJ392" s="1"/>
      <c r="AM392" s="10"/>
      <c r="AN392" s="1"/>
      <c r="AP392" s="7"/>
      <c r="AQ392" s="1"/>
    </row>
    <row r="393" spans="1:43" x14ac:dyDescent="0.2">
      <c r="A393" s="1" t="s">
        <v>459</v>
      </c>
      <c r="B393" s="1" t="s">
        <v>10</v>
      </c>
      <c r="C393" s="7">
        <v>0.08</v>
      </c>
      <c r="D393" s="7">
        <v>1.044</v>
      </c>
      <c r="E393" s="7">
        <f>aktuelleAnleihen[[#This Row],[Aktueller Kurs]]-aktuelleAnleihen[[#This Row],[Kaufkurs]]</f>
        <v>1.5500000000000069E-2</v>
      </c>
      <c r="F393" s="8">
        <f>aktuelleAnleihen[[#This Row],[Stückelung]]*aktuelleAnleihen[[#This Row],[Aktueller Kurs]]*aktuelleAnleihen[[#This Row],[Anteile]]/aktuelleAnleihen[[#This Row],[Aktueller Wechselkurs]]+aktuelleAnleihen[[#This Row],[Stückzinsen]]</f>
        <v>2158.1369863013697</v>
      </c>
      <c r="G393" s="8">
        <f>aktuelleAnleihen[[#This Row],[Kursdifferenz]]*aktuelleAnleihen[[#This Row],[Anteile]]*aktuelleAnleihen[[#This Row],[Stückelung]]/aktuelleAnleihen[[#This Row],[Wechselkurs am Kauftag]]</f>
        <v>31.000000000000139</v>
      </c>
      <c r="H393" s="8">
        <f>aktuelleAnleihen[[#This Row],[Stückzinsen]]-aktuelleAnleihen[[#This Row],[Stückzinsen am Kauftag]]+aktuelleAnleihen[[#This Row],[Zinszahlungen]]</f>
        <v>28.49318630136986</v>
      </c>
      <c r="I393" s="8">
        <f>aktuelleAnleihen[[#This Row],[Gewinn gesamt]]-aktuelleAnleihen[[#This Row],[Gewinn aus Kursänderung]]-aktuelleAnleihen[[#This Row],[Gewinn aus Zinsen]]</f>
        <v>-1.3855583347321954E-13</v>
      </c>
      <c r="J393" s="7">
        <f>aktuelleAnleihen[[#This Row],[Gewinn gesamt]]/aktuelleAnleihen[[#This Row],[Kaufpreis]]</f>
        <v>2.8348396379304513E-2</v>
      </c>
      <c r="K393" s="3">
        <f>aktuelleAnleihen[[#This Row],[Verkaufspreis]]-aktuelleAnleihen[[#This Row],[Kaufpreis]]+aktuelleAnleihen[[#This Row],[Zinszahlungen]]</f>
        <v>59.49318630136986</v>
      </c>
      <c r="L393" s="4">
        <v>2098.6437999999998</v>
      </c>
      <c r="M393" s="7">
        <v>1.0285</v>
      </c>
      <c r="N393" s="61">
        <v>1</v>
      </c>
      <c r="O393" s="1">
        <v>1</v>
      </c>
      <c r="P393" s="1" t="s">
        <v>925</v>
      </c>
      <c r="Q393" s="30">
        <v>45385</v>
      </c>
      <c r="R393" s="1">
        <v>2</v>
      </c>
      <c r="S393" s="1">
        <v>1000</v>
      </c>
      <c r="T393" s="9">
        <v>45290</v>
      </c>
      <c r="U393" s="1">
        <v>2</v>
      </c>
      <c r="V393" s="62">
        <f>aktuelleAnleihen[[#This Row],[Stückelung]]*aktuelleAnleihen[[#This Row],[Anteile]]*aktuelleAnleihen[[#This Row],[Coupon]]/aktuelleAnleihen[[#This Row],[Aktueller Wechselkurs]]*($AC$1-aktuelleAnleihen[[#This Row],[Letzte Zinszahlung]])/365</f>
        <v>70.136986301369859</v>
      </c>
      <c r="W393" s="4">
        <v>41.643799999999999</v>
      </c>
      <c r="X393" s="120" t="s">
        <v>56</v>
      </c>
      <c r="Y393" s="120" t="s">
        <v>81</v>
      </c>
      <c r="Z393" s="1" t="s">
        <v>460</v>
      </c>
      <c r="AA393" s="1" t="s">
        <v>461</v>
      </c>
      <c r="AB393" s="3">
        <f>SUMIF('Zinszahlungen Anleihen'!K:K,aktuelleAnleihen[[#This Row],[ISIN]],'Zinszahlungen Anleihen'!D:D)</f>
        <v>0</v>
      </c>
      <c r="AE393" s="9"/>
      <c r="AF393" s="1"/>
      <c r="AI393" s="3"/>
      <c r="AJ393" s="1"/>
      <c r="AM393" s="10"/>
      <c r="AN393" s="1"/>
      <c r="AP393" s="7"/>
      <c r="AQ393" s="1"/>
    </row>
    <row r="394" spans="1:43" x14ac:dyDescent="0.2">
      <c r="A394" s="1" t="s">
        <v>1003</v>
      </c>
      <c r="B394" s="1" t="s">
        <v>11</v>
      </c>
      <c r="C394" s="7">
        <v>0.11874999999999999</v>
      </c>
      <c r="D394" s="7">
        <v>1.2477</v>
      </c>
      <c r="E394" s="7">
        <f>aktuelleAnleihen[[#This Row],[Aktueller Kurs]]-aktuelleAnleihen[[#This Row],[Kaufkurs]]</f>
        <v>1.6799999999999926E-2</v>
      </c>
      <c r="F394" s="8">
        <f>aktuelleAnleihen[[#This Row],[Stückelung]]*aktuelleAnleihen[[#This Row],[Aktueller Kurs]]*aktuelleAnleihen[[#This Row],[Anteile]]/aktuelleAnleihen[[#This Row],[Aktueller Wechselkurs]]+aktuelleAnleihen[[#This Row],[Stückzinsen]]</f>
        <v>2377.2827381663633</v>
      </c>
      <c r="G394" s="8">
        <f>aktuelleAnleihen[[#This Row],[Kursdifferenz]]*aktuelleAnleihen[[#This Row],[Anteile]]*aktuelleAnleihen[[#This Row],[Stückelung]]/aktuelleAnleihen[[#This Row],[Wechselkurs am Kauftag]]</f>
        <v>31.334514594796094</v>
      </c>
      <c r="H394" s="8">
        <f>aktuelleAnleihen[[#This Row],[Stückzinsen]]-aktuelleAnleihen[[#This Row],[Stückzinsen am Kauftag]]+aktuelleAnleihen[[#This Row],[Zinszahlungen]]</f>
        <v>21.710982487362315</v>
      </c>
      <c r="I394" s="8">
        <f>aktuelleAnleihen[[#This Row],[Gewinn gesamt]]-aktuelleAnleihen[[#This Row],[Gewinn aus Kursänderung]]-aktuelleAnleihen[[#This Row],[Gewinn aus Zinsen]]</f>
        <v>-35.897658915795134</v>
      </c>
      <c r="J394" s="7">
        <f>aktuelleAnleihen[[#This Row],[Gewinn gesamt]]/aktuelleAnleihen[[#This Row],[Kaufpreis]]</f>
        <v>7.2656178112375149E-3</v>
      </c>
      <c r="K394" s="3">
        <f>aktuelleAnleihen[[#This Row],[Verkaufspreis]]-aktuelleAnleihen[[#This Row],[Kaufpreis]]+aktuelleAnleihen[[#This Row],[Zinszahlungen]]</f>
        <v>17.147838166363272</v>
      </c>
      <c r="L394" s="4">
        <v>2360.1349</v>
      </c>
      <c r="M394" s="7">
        <v>1.2309000000000001</v>
      </c>
      <c r="N394" s="61">
        <v>1.0723</v>
      </c>
      <c r="O394" s="1">
        <v>1.0891</v>
      </c>
      <c r="P394" s="1" t="s">
        <v>887</v>
      </c>
      <c r="Q394" s="30">
        <v>45412</v>
      </c>
      <c r="R394" s="1">
        <v>2</v>
      </c>
      <c r="S394" s="1">
        <v>1000</v>
      </c>
      <c r="T394" s="9">
        <v>45306</v>
      </c>
      <c r="U394" s="1">
        <v>2</v>
      </c>
      <c r="V394" s="62">
        <f>aktuelleAnleihen[[#This Row],[Stückelung]]*aktuelleAnleihen[[#This Row],[Anteile]]*aktuelleAnleihen[[#This Row],[Coupon]]/aktuelleAnleihen[[#This Row],[Aktueller Wechselkurs]]*($AC$1-aktuelleAnleihen[[#This Row],[Letzte Zinszahlung]])/365</f>
        <v>86.033082487362321</v>
      </c>
      <c r="W394" s="4">
        <v>64.322100000000006</v>
      </c>
      <c r="X394" s="120" t="s">
        <v>1004</v>
      </c>
      <c r="Y394" s="120" t="s">
        <v>39</v>
      </c>
      <c r="Z394" s="1" t="s">
        <v>1005</v>
      </c>
      <c r="AA394" s="1" t="s">
        <v>1006</v>
      </c>
      <c r="AB394" s="3">
        <f>SUMIF('Zinszahlungen Anleihen'!K:K,aktuelleAnleihen[[#This Row],[ISIN]],'Zinszahlungen Anleihen'!D:D)</f>
        <v>0</v>
      </c>
      <c r="AE394" s="9"/>
      <c r="AF394" s="1"/>
      <c r="AI394" s="3"/>
      <c r="AJ394" s="1"/>
      <c r="AM394" s="10"/>
      <c r="AN394" s="1"/>
      <c r="AP394" s="7"/>
      <c r="AQ394" s="1"/>
    </row>
    <row r="395" spans="1:43" x14ac:dyDescent="0.2">
      <c r="A395" s="1" t="s">
        <v>1430</v>
      </c>
      <c r="B395" s="1" t="s">
        <v>2</v>
      </c>
      <c r="C395" s="7">
        <v>8.5000000000000006E-2</v>
      </c>
      <c r="D395" s="7">
        <v>0.99570000000000003</v>
      </c>
      <c r="E395" s="7">
        <f>aktuelleAnleihen[[#This Row],[Aktueller Kurs]]-aktuelleAnleihen[[#This Row],[Kaufkurs]]</f>
        <v>1.6900000000000026E-2</v>
      </c>
      <c r="F395" s="8">
        <f>aktuelleAnleihen[[#This Row],[Stückelung]]*aktuelleAnleihen[[#This Row],[Aktueller Kurs]]*aktuelleAnleihen[[#This Row],[Anteile]]/aktuelleAnleihen[[#This Row],[Aktueller Wechselkurs]]+aktuelleAnleihen[[#This Row],[Stückzinsen]]</f>
        <v>1886.642609267675</v>
      </c>
      <c r="G395" s="8">
        <f>aktuelleAnleihen[[#This Row],[Kursdifferenz]]*aktuelleAnleihen[[#This Row],[Anteile]]*aktuelleAnleihen[[#This Row],[Stückelung]]/aktuelleAnleihen[[#This Row],[Wechselkurs am Kauftag]]</f>
        <v>31.521029562622449</v>
      </c>
      <c r="H395" s="8">
        <f>aktuelleAnleihen[[#This Row],[Stückzinsen]]-aktuelleAnleihen[[#This Row],[Stückzinsen am Kauftag]]+aktuelleAnleihen[[#This Row],[Zinszahlungen]]</f>
        <v>15.594076231222715</v>
      </c>
      <c r="I395" s="8">
        <f>aktuelleAnleihen[[#This Row],[Gewinn gesamt]]-aktuelleAnleihen[[#This Row],[Gewinn aus Kursänderung]]-aktuelleAnleihen[[#This Row],[Gewinn aus Zinsen]]</f>
        <v>-28.647296526170198</v>
      </c>
      <c r="J395" s="7">
        <f>aktuelleAnleihen[[#This Row],[Gewinn gesamt]]/aktuelleAnleihen[[#This Row],[Kaufpreis]]</f>
        <v>9.8854824867967202E-3</v>
      </c>
      <c r="K395" s="3">
        <f>aktuelleAnleihen[[#This Row],[Verkaufspreis]]-aktuelleAnleihen[[#This Row],[Kaufpreis]]+aktuelleAnleihen[[#This Row],[Zinszahlungen]]</f>
        <v>18.467809267674966</v>
      </c>
      <c r="L395" s="4">
        <v>1868.1748</v>
      </c>
      <c r="M395" s="7">
        <v>0.9788</v>
      </c>
      <c r="N395" s="61">
        <v>1.0723</v>
      </c>
      <c r="O395" s="1">
        <v>1.0891</v>
      </c>
      <c r="P395" s="1" t="s">
        <v>887</v>
      </c>
      <c r="Q395" s="30">
        <v>45412</v>
      </c>
      <c r="R395" s="1">
        <v>2</v>
      </c>
      <c r="S395" s="1">
        <v>1000</v>
      </c>
      <c r="T395" s="9">
        <v>45314</v>
      </c>
      <c r="U395" s="1">
        <v>2</v>
      </c>
      <c r="V395" s="62">
        <f>aktuelleAnleihen[[#This Row],[Stückelung]]*aktuelleAnleihen[[#This Row],[Anteile]]*aktuelleAnleihen[[#This Row],[Coupon]]/aktuelleAnleihen[[#This Row],[Aktueller Wechselkurs]]*($AC$1-aktuelleAnleihen[[#This Row],[Letzte Zinszahlung]])/365</f>
        <v>58.160376231222713</v>
      </c>
      <c r="W395" s="4">
        <v>42.566299999999998</v>
      </c>
      <c r="X395" s="120" t="s">
        <v>51</v>
      </c>
      <c r="Y395" s="120" t="s">
        <v>52</v>
      </c>
      <c r="Z395" s="1" t="s">
        <v>1449</v>
      </c>
      <c r="AA395" s="1" t="s">
        <v>1450</v>
      </c>
      <c r="AB395" s="3">
        <f>SUMIF('Zinszahlungen Anleihen'!K:K,aktuelleAnleihen[[#This Row],[ISIN]],'Zinszahlungen Anleihen'!D:D)</f>
        <v>0</v>
      </c>
      <c r="AE395" s="9"/>
      <c r="AF395" s="1"/>
      <c r="AI395" s="3"/>
      <c r="AJ395" s="1"/>
      <c r="AM395" s="10"/>
      <c r="AN395" s="1"/>
      <c r="AP395" s="7"/>
      <c r="AQ395" s="1"/>
    </row>
    <row r="396" spans="1:43" x14ac:dyDescent="0.2">
      <c r="A396" s="1" t="s">
        <v>1095</v>
      </c>
      <c r="B396" s="1" t="s">
        <v>0</v>
      </c>
      <c r="C396" s="7">
        <v>0.1</v>
      </c>
      <c r="D396" s="7">
        <v>1.0579000000000001</v>
      </c>
      <c r="E396" s="7">
        <f>aktuelleAnleihen[[#This Row],[Aktueller Kurs]]-aktuelleAnleihen[[#This Row],[Kaufkurs]]</f>
        <v>1.6900000000000137E-2</v>
      </c>
      <c r="F396" s="8">
        <f>aktuelleAnleihen[[#This Row],[Stückelung]]*aktuelleAnleihen[[#This Row],[Aktueller Kurs]]*aktuelleAnleihen[[#This Row],[Anteile]]/aktuelleAnleihen[[#This Row],[Aktueller Wechselkurs]]+aktuelleAnleihen[[#This Row],[Stückzinsen]]</f>
        <v>1954.7798043627831</v>
      </c>
      <c r="G396" s="8">
        <f>aktuelleAnleihen[[#This Row],[Kursdifferenz]]*aktuelleAnleihen[[#This Row],[Anteile]]*aktuelleAnleihen[[#This Row],[Stückelung]]/aktuelleAnleihen[[#This Row],[Wechselkurs am Kauftag]]</f>
        <v>31.521029562622655</v>
      </c>
      <c r="H396" s="8">
        <f>aktuelleAnleihen[[#This Row],[Stückzinsen]]-aktuelleAnleihen[[#This Row],[Stückzinsen am Kauftag]]+aktuelleAnleihen[[#This Row],[Zinszahlungen]]</f>
        <v>18.673892644823823</v>
      </c>
      <c r="I396" s="8">
        <f>aktuelleAnleihen[[#This Row],[Gewinn gesamt]]-aktuelleAnleihen[[#This Row],[Gewinn aus Kursänderung]]-aktuelleAnleihen[[#This Row],[Gewinn aus Zinsen]]</f>
        <v>-30.436843794557145</v>
      </c>
      <c r="J396" s="7">
        <f>aktuelleAnleihen[[#This Row],[Gewinn gesamt]]/aktuelleAnleihen[[#This Row],[Kaufpreis]]</f>
        <v>9.7451948029431239E-3</v>
      </c>
      <c r="K396" s="3">
        <f>aktuelleAnleihen[[#This Row],[Verkaufspreis]]-aktuelleAnleihen[[#This Row],[Kaufpreis]]+aktuelleAnleihen[[#This Row],[Zinszahlungen]]</f>
        <v>19.758078412889333</v>
      </c>
      <c r="L396" s="4">
        <v>2027.4688000000001</v>
      </c>
      <c r="M396" s="7">
        <v>1.0409999999999999</v>
      </c>
      <c r="N396" s="61">
        <v>1.0723</v>
      </c>
      <c r="O396" s="1">
        <v>1.0891</v>
      </c>
      <c r="P396" s="1" t="s">
        <v>887</v>
      </c>
      <c r="Q396" s="30">
        <v>45412</v>
      </c>
      <c r="R396" s="1">
        <v>2</v>
      </c>
      <c r="S396" s="1">
        <v>1000</v>
      </c>
      <c r="T396" s="9">
        <v>45426</v>
      </c>
      <c r="U396" s="1">
        <v>2</v>
      </c>
      <c r="V396" s="62">
        <f>aktuelleAnleihen[[#This Row],[Stückelung]]*aktuelleAnleihen[[#This Row],[Anteile]]*aktuelleAnleihen[[#This Row],[Coupon]]/aktuelleAnleihen[[#This Row],[Aktueller Wechselkurs]]*($AC$1-aktuelleAnleihen[[#This Row],[Letzte Zinszahlung]])/365</f>
        <v>12.07481859471752</v>
      </c>
      <c r="W396" s="4">
        <v>85.847999999999999</v>
      </c>
      <c r="X396" s="120" t="s">
        <v>102</v>
      </c>
      <c r="Y396" s="120" t="s">
        <v>81</v>
      </c>
      <c r="Z396" s="1" t="s">
        <v>1097</v>
      </c>
      <c r="AA396" s="1" t="s">
        <v>1098</v>
      </c>
      <c r="AB396" s="3">
        <f>SUMIF('Zinszahlungen Anleihen'!K:K,aktuelleAnleihen[[#This Row],[ISIN]],'Zinszahlungen Anleihen'!D:D)</f>
        <v>92.447074050106309</v>
      </c>
      <c r="AE396" s="9"/>
      <c r="AF396" s="1"/>
      <c r="AI396" s="3"/>
      <c r="AJ396" s="1"/>
      <c r="AM396" s="10"/>
      <c r="AN396" s="1"/>
      <c r="AP396" s="7"/>
      <c r="AQ396" s="1"/>
    </row>
    <row r="397" spans="1:43" x14ac:dyDescent="0.2">
      <c r="A397" s="1" t="s">
        <v>1714</v>
      </c>
      <c r="B397" s="1" t="s">
        <v>9</v>
      </c>
      <c r="C397" s="7">
        <v>0.08</v>
      </c>
      <c r="D397" s="7">
        <v>1.1225000000000001</v>
      </c>
      <c r="E397" s="7">
        <f>aktuelleAnleihen[[#This Row],[Aktueller Kurs]]-aktuelleAnleihen[[#This Row],[Kaufkurs]]</f>
        <v>1.7099999999999893E-2</v>
      </c>
      <c r="F397" s="8">
        <f>aktuelleAnleihen[[#This Row],[Stückelung]]*aktuelleAnleihen[[#This Row],[Aktueller Kurs]]*aktuelleAnleihen[[#This Row],[Anteile]]/aktuelleAnleihen[[#This Row],[Aktueller Wechselkurs]]+aktuelleAnleihen[[#This Row],[Stückzinsen]]</f>
        <v>2095.1445393519598</v>
      </c>
      <c r="G397" s="8">
        <f>aktuelleAnleihen[[#This Row],[Kursdifferenz]]*aktuelleAnleihen[[#This Row],[Anteile]]*aktuelleAnleihen[[#This Row],[Stückelung]]/aktuelleAnleihen[[#This Row],[Wechselkurs am Kauftag]]</f>
        <v>31.89405949827454</v>
      </c>
      <c r="H397" s="8">
        <f>aktuelleAnleihen[[#This Row],[Stückzinsen]]-aktuelleAnleihen[[#This Row],[Stückzinsen am Kauftag]]+aktuelleAnleihen[[#This Row],[Zinszahlungen]]</f>
        <v>15.004692065209056</v>
      </c>
      <c r="I397" s="8">
        <f>aktuelleAnleihen[[#This Row],[Gewinn gesamt]]-aktuelleAnleihen[[#This Row],[Gewinn aus Kursänderung]]-aktuelleAnleihen[[#This Row],[Gewinn aus Zinsen]]</f>
        <v>-32.295512211523672</v>
      </c>
      <c r="J397" s="7">
        <f>aktuelleAnleihen[[#This Row],[Gewinn gesamt]]/aktuelleAnleihen[[#This Row],[Kaufpreis]]</f>
        <v>7.0189615327318567E-3</v>
      </c>
      <c r="K397" s="3">
        <f>aktuelleAnleihen[[#This Row],[Verkaufspreis]]-aktuelleAnleihen[[#This Row],[Kaufpreis]]+aktuelleAnleihen[[#This Row],[Zinszahlungen]]</f>
        <v>14.603239351959928</v>
      </c>
      <c r="L397" s="4">
        <v>2080.5412999999999</v>
      </c>
      <c r="M397" s="7">
        <v>1.1054000000000002</v>
      </c>
      <c r="N397" s="61">
        <v>1.0723</v>
      </c>
      <c r="O397" s="1">
        <v>1.0891</v>
      </c>
      <c r="P397" s="1" t="s">
        <v>887</v>
      </c>
      <c r="Q397" s="30">
        <v>45412</v>
      </c>
      <c r="R397" s="1">
        <v>2</v>
      </c>
      <c r="S397" s="1">
        <v>1000</v>
      </c>
      <c r="T397" s="9">
        <v>45366</v>
      </c>
      <c r="U397" s="1">
        <v>2</v>
      </c>
      <c r="V397" s="62">
        <f>aktuelleAnleihen[[#This Row],[Stückelung]]*aktuelleAnleihen[[#This Row],[Anteile]]*aktuelleAnleihen[[#This Row],[Coupon]]/aktuelleAnleihen[[#This Row],[Aktueller Wechselkurs]]*($AC$1-aktuelleAnleihen[[#This Row],[Letzte Zinszahlung]])/365</f>
        <v>33.809492065209056</v>
      </c>
      <c r="W397" s="4">
        <v>18.8048</v>
      </c>
      <c r="X397" s="120" t="s">
        <v>276</v>
      </c>
      <c r="Y397" s="120" t="s">
        <v>39</v>
      </c>
      <c r="Z397" s="1" t="s">
        <v>1715</v>
      </c>
      <c r="AA397" s="1" t="s">
        <v>1716</v>
      </c>
      <c r="AB397" s="3">
        <f>SUMIF('Zinszahlungen Anleihen'!K:K,aktuelleAnleihen[[#This Row],[ISIN]],'Zinszahlungen Anleihen'!D:D)</f>
        <v>0</v>
      </c>
      <c r="AE397" s="9"/>
      <c r="AF397" s="1"/>
      <c r="AI397" s="3"/>
      <c r="AJ397" s="1"/>
      <c r="AM397" s="10"/>
      <c r="AN397" s="1"/>
      <c r="AP397" s="7"/>
      <c r="AQ397" s="1"/>
    </row>
    <row r="398" spans="1:43" x14ac:dyDescent="0.2">
      <c r="A398" s="1" t="s">
        <v>551</v>
      </c>
      <c r="B398" s="1" t="s">
        <v>4</v>
      </c>
      <c r="C398" s="7">
        <v>7.4999999999999997E-2</v>
      </c>
      <c r="D398" s="7">
        <v>0.96499999999999997</v>
      </c>
      <c r="E398" s="7">
        <f>aktuelleAnleihen[[#This Row],[Aktueller Kurs]]-aktuelleAnleihen[[#This Row],[Kaufkurs]]</f>
        <v>1.6000000000000014E-2</v>
      </c>
      <c r="F398" s="8">
        <f>aktuelleAnleihen[[#This Row],[Stückelung]]*aktuelleAnleihen[[#This Row],[Aktueller Kurs]]*aktuelleAnleihen[[#This Row],[Anteile]]/aktuelleAnleihen[[#This Row],[Aktueller Wechselkurs]]+aktuelleAnleihen[[#This Row],[Stückzinsen]]</f>
        <v>1938.2191780821918</v>
      </c>
      <c r="G398" s="8">
        <f>aktuelleAnleihen[[#This Row],[Kursdifferenz]]*aktuelleAnleihen[[#This Row],[Anteile]]*aktuelleAnleihen[[#This Row],[Stückelung]]/aktuelleAnleihen[[#This Row],[Wechselkurs am Kauftag]]</f>
        <v>32.000000000000028</v>
      </c>
      <c r="H398" s="8">
        <f>aktuelleAnleihen[[#This Row],[Stückzinsen]]-aktuelleAnleihen[[#This Row],[Stückzinsen am Kauftag]]+aktuelleAnleihen[[#This Row],[Zinszahlungen]]</f>
        <v>26.917778082191781</v>
      </c>
      <c r="I398" s="8">
        <f>aktuelleAnleihen[[#This Row],[Gewinn gesamt]]-aktuelleAnleihen[[#This Row],[Gewinn aus Kursänderung]]-aktuelleAnleihen[[#This Row],[Gewinn aus Zinsen]]</f>
        <v>-9.2370555648813024E-14</v>
      </c>
      <c r="J398" s="7">
        <f>aktuelleAnleihen[[#This Row],[Gewinn gesamt]]/aktuelleAnleihen[[#This Row],[Kaufpreis]]</f>
        <v>3.0147743885457851E-2</v>
      </c>
      <c r="K398" s="3">
        <f>aktuelleAnleihen[[#This Row],[Verkaufspreis]]-aktuelleAnleihen[[#This Row],[Kaufpreis]]+aktuelleAnleihen[[#This Row],[Zinszahlungen]]</f>
        <v>58.917778082191717</v>
      </c>
      <c r="L398" s="4">
        <v>1954.3014000000001</v>
      </c>
      <c r="M398" s="7">
        <v>0.94899999999999995</v>
      </c>
      <c r="N398" s="61">
        <v>1</v>
      </c>
      <c r="O398" s="1">
        <v>1</v>
      </c>
      <c r="P398" s="1" t="s">
        <v>925</v>
      </c>
      <c r="Q398" s="30">
        <v>45385</v>
      </c>
      <c r="R398" s="1">
        <v>2</v>
      </c>
      <c r="S398" s="1">
        <v>1000</v>
      </c>
      <c r="T398" s="9">
        <v>45430</v>
      </c>
      <c r="U398" s="1">
        <v>2</v>
      </c>
      <c r="V398" s="62">
        <f>aktuelleAnleihen[[#This Row],[Stückelung]]*aktuelleAnleihen[[#This Row],[Anteile]]*aktuelleAnleihen[[#This Row],[Coupon]]/aktuelleAnleihen[[#This Row],[Aktueller Wechselkurs]]*($AC$1-aktuelleAnleihen[[#This Row],[Letzte Zinszahlung]])/365</f>
        <v>8.2191780821917817</v>
      </c>
      <c r="W398" s="4">
        <v>56.301400000000001</v>
      </c>
      <c r="X398" s="120" t="s">
        <v>56</v>
      </c>
      <c r="Y398" s="120" t="s">
        <v>52</v>
      </c>
      <c r="Z398" s="1" t="s">
        <v>552</v>
      </c>
      <c r="AA398" s="1" t="s">
        <v>553</v>
      </c>
      <c r="AB398" s="3">
        <f>SUMIF('Zinszahlungen Anleihen'!K:K,aktuelleAnleihen[[#This Row],[ISIN]],'Zinszahlungen Anleihen'!D:D)</f>
        <v>75</v>
      </c>
      <c r="AE398" s="9"/>
      <c r="AF398" s="1"/>
      <c r="AI398" s="3"/>
      <c r="AJ398" s="1"/>
      <c r="AM398" s="10"/>
      <c r="AN398" s="1"/>
      <c r="AP398" s="7"/>
      <c r="AQ398" s="1"/>
    </row>
    <row r="399" spans="1:43" x14ac:dyDescent="0.2">
      <c r="A399" s="1" t="s">
        <v>1665</v>
      </c>
      <c r="B399" s="1" t="s">
        <v>6</v>
      </c>
      <c r="C399" s="7">
        <v>8.1300000000000011E-2</v>
      </c>
      <c r="D399" s="7">
        <v>1.0944</v>
      </c>
      <c r="E399" s="7">
        <f>aktuelleAnleihen[[#This Row],[Aktueller Kurs]]-aktuelleAnleihen[[#This Row],[Kaufkurs]]</f>
        <v>1.7300000000000093E-2</v>
      </c>
      <c r="F399" s="8">
        <f>aktuelleAnleihen[[#This Row],[Stückelung]]*aktuelleAnleihen[[#This Row],[Aktueller Kurs]]*aktuelleAnleihen[[#This Row],[Anteile]]/aktuelleAnleihen[[#This Row],[Aktueller Wechselkurs]]+aktuelleAnleihen[[#This Row],[Stückzinsen]]</f>
        <v>2044.0917032160526</v>
      </c>
      <c r="G399" s="8">
        <f>aktuelleAnleihen[[#This Row],[Kursdifferenz]]*aktuelleAnleihen[[#This Row],[Anteile]]*aktuelleAnleihen[[#This Row],[Stückelung]]/aktuelleAnleihen[[#This Row],[Wechselkurs am Kauftag]]</f>
        <v>32.267089433927246</v>
      </c>
      <c r="H399" s="8">
        <f>aktuelleAnleihen[[#This Row],[Stückzinsen]]-aktuelleAnleihen[[#This Row],[Stückzinsen am Kauftag]]+aktuelleAnleihen[[#This Row],[Zinszahlungen]]</f>
        <v>15.24849631126871</v>
      </c>
      <c r="I399" s="8">
        <f>aktuelleAnleihen[[#This Row],[Gewinn gesamt]]-aktuelleAnleihen[[#This Row],[Gewinn aus Kursänderung]]-aktuelleAnleihen[[#This Row],[Gewinn aus Zinsen]]</f>
        <v>-31.486982529143468</v>
      </c>
      <c r="J399" s="7">
        <f>aktuelleAnleihen[[#This Row],[Gewinn gesamt]]/aktuelleAnleihen[[#This Row],[Kaufpreis]]</f>
        <v>7.9034045913327286E-3</v>
      </c>
      <c r="K399" s="3">
        <f>aktuelleAnleihen[[#This Row],[Verkaufspreis]]-aktuelleAnleihen[[#This Row],[Kaufpreis]]+aktuelleAnleihen[[#This Row],[Zinszahlungen]]</f>
        <v>16.028603216052488</v>
      </c>
      <c r="L399" s="4">
        <v>2028.0631000000001</v>
      </c>
      <c r="M399" s="7">
        <v>1.0770999999999999</v>
      </c>
      <c r="N399" s="61">
        <v>1.0723</v>
      </c>
      <c r="O399" s="1">
        <v>1.0891</v>
      </c>
      <c r="P399" s="1" t="s">
        <v>887</v>
      </c>
      <c r="Q399" s="30">
        <v>45412</v>
      </c>
      <c r="R399" s="1">
        <v>2</v>
      </c>
      <c r="S399" s="1">
        <v>1000</v>
      </c>
      <c r="T399" s="9">
        <v>45366</v>
      </c>
      <c r="U399" s="1">
        <v>2</v>
      </c>
      <c r="V399" s="62">
        <f>aktuelleAnleihen[[#This Row],[Stückelung]]*aktuelleAnleihen[[#This Row],[Anteile]]*aktuelleAnleihen[[#This Row],[Coupon]]/aktuelleAnleihen[[#This Row],[Aktueller Wechselkurs]]*($AC$1-aktuelleAnleihen[[#This Row],[Letzte Zinszahlung]])/365</f>
        <v>34.358896311268708</v>
      </c>
      <c r="W399" s="4">
        <v>19.110399999999998</v>
      </c>
      <c r="X399" s="120" t="s">
        <v>51</v>
      </c>
      <c r="Y399" s="120" t="s">
        <v>39</v>
      </c>
      <c r="Z399" s="1" t="s">
        <v>1666</v>
      </c>
      <c r="AA399" s="1" t="s">
        <v>1667</v>
      </c>
      <c r="AB399" s="3">
        <f>SUMIF('Zinszahlungen Anleihen'!K:K,aktuelleAnleihen[[#This Row],[ISIN]],'Zinszahlungen Anleihen'!D:D)</f>
        <v>0</v>
      </c>
      <c r="AE399" s="9"/>
      <c r="AF399" s="1"/>
      <c r="AI399" s="3"/>
      <c r="AJ399" s="1"/>
      <c r="AM399" s="10"/>
      <c r="AN399" s="1"/>
      <c r="AP399" s="7"/>
      <c r="AQ399" s="1"/>
    </row>
    <row r="400" spans="1:43" x14ac:dyDescent="0.2">
      <c r="A400" s="1" t="s">
        <v>1399</v>
      </c>
      <c r="B400" s="1" t="s">
        <v>0</v>
      </c>
      <c r="C400" s="7">
        <v>8.7499999999999994E-2</v>
      </c>
      <c r="D400" s="7">
        <v>1.0002</v>
      </c>
      <c r="E400" s="7">
        <f>aktuelleAnleihen[[#This Row],[Aktueller Kurs]]-aktuelleAnleihen[[#This Row],[Kaufkurs]]</f>
        <v>1.7399999999999971E-2</v>
      </c>
      <c r="F400" s="8">
        <f>aktuelleAnleihen[[#This Row],[Stückelung]]*aktuelleAnleihen[[#This Row],[Aktueller Kurs]]*aktuelleAnleihen[[#This Row],[Anteile]]/aktuelleAnleihen[[#This Row],[Aktueller Wechselkurs]]+aktuelleAnleihen[[#This Row],[Stückzinsen]]</f>
        <v>1912.9053397111854</v>
      </c>
      <c r="G400" s="8">
        <f>aktuelleAnleihen[[#This Row],[Kursdifferenz]]*aktuelleAnleihen[[#This Row],[Anteile]]*aktuelleAnleihen[[#This Row],[Stückelung]]/aktuelleAnleihen[[#This Row],[Wechselkurs am Kauftag]]</f>
        <v>32.453604401753182</v>
      </c>
      <c r="H400" s="8">
        <f>aktuelleAnleihen[[#This Row],[Stückzinsen]]-aktuelleAnleihen[[#This Row],[Stückzinsen am Kauftag]]+aktuelleAnleihen[[#This Row],[Zinszahlungen]]</f>
        <v>15.79750269897351</v>
      </c>
      <c r="I400" s="8">
        <f>aktuelleAnleihen[[#This Row],[Gewinn gesamt]]-aktuelleAnleihen[[#This Row],[Gewinn aus Kursänderung]]-aktuelleAnleihen[[#This Row],[Gewinn aus Zinsen]]</f>
        <v>-28.776767389541298</v>
      </c>
      <c r="J400" s="7">
        <f>aktuelleAnleihen[[#This Row],[Gewinn gesamt]]/aktuelleAnleihen[[#This Row],[Kaufpreis]]</f>
        <v>1.0285212247599936E-2</v>
      </c>
      <c r="K400" s="3">
        <f>aktuelleAnleihen[[#This Row],[Verkaufspreis]]-aktuelleAnleihen[[#This Row],[Kaufpreis]]+aktuelleAnleihen[[#This Row],[Zinszahlungen]]</f>
        <v>19.474339711185394</v>
      </c>
      <c r="L400" s="4">
        <v>1893.431</v>
      </c>
      <c r="M400" s="7">
        <v>0.98280000000000001</v>
      </c>
      <c r="N400" s="61">
        <v>1.0723</v>
      </c>
      <c r="O400" s="1">
        <v>1.0891</v>
      </c>
      <c r="P400" s="1" t="s">
        <v>887</v>
      </c>
      <c r="Q400" s="30">
        <v>45412</v>
      </c>
      <c r="R400" s="1">
        <v>2</v>
      </c>
      <c r="S400" s="1">
        <v>1000</v>
      </c>
      <c r="T400" s="9">
        <v>45277</v>
      </c>
      <c r="U400" s="1">
        <v>2</v>
      </c>
      <c r="V400" s="62">
        <f>aktuelleAnleihen[[#This Row],[Stückelung]]*aktuelleAnleihen[[#This Row],[Anteile]]*aktuelleAnleihen[[#This Row],[Coupon]]/aktuelleAnleihen[[#This Row],[Aktueller Wechselkurs]]*($AC$1-aktuelleAnleihen[[#This Row],[Letzte Zinszahlung]])/365</f>
        <v>76.159402698973508</v>
      </c>
      <c r="W400" s="4">
        <v>60.361899999999999</v>
      </c>
      <c r="X400" s="120" t="s">
        <v>1400</v>
      </c>
      <c r="Y400" s="120" t="s">
        <v>39</v>
      </c>
      <c r="Z400" s="1" t="s">
        <v>1401</v>
      </c>
      <c r="AA400" s="1" t="s">
        <v>1402</v>
      </c>
      <c r="AB400" s="3">
        <f>SUMIF('Zinszahlungen Anleihen'!K:K,aktuelleAnleihen[[#This Row],[ISIN]],'Zinszahlungen Anleihen'!D:D)</f>
        <v>0</v>
      </c>
      <c r="AE400" s="9"/>
      <c r="AF400" s="1"/>
      <c r="AI400" s="3"/>
      <c r="AJ400" s="1"/>
      <c r="AM400" s="10"/>
      <c r="AN400" s="1"/>
      <c r="AP400" s="7"/>
      <c r="AQ400" s="1"/>
    </row>
    <row r="401" spans="1:43" x14ac:dyDescent="0.2">
      <c r="A401" s="1" t="s">
        <v>186</v>
      </c>
      <c r="B401" s="1" t="s">
        <v>0</v>
      </c>
      <c r="C401" s="7">
        <v>0.11874999999999999</v>
      </c>
      <c r="D401" s="7">
        <v>1.1087</v>
      </c>
      <c r="E401" s="7">
        <f>aktuelleAnleihen[[#This Row],[Aktueller Kurs]]-aktuelleAnleihen[[#This Row],[Kaufkurs]]</f>
        <v>1.6299999999999981E-2</v>
      </c>
      <c r="F401" s="8">
        <f>aktuelleAnleihen[[#This Row],[Stückelung]]*aktuelleAnleihen[[#This Row],[Aktueller Kurs]]*aktuelleAnleihen[[#This Row],[Anteile]]/aktuelleAnleihen[[#This Row],[Aktueller Wechselkurs]]+aktuelleAnleihen[[#This Row],[Stückzinsen]]</f>
        <v>2327.3657534246577</v>
      </c>
      <c r="G401" s="8">
        <f>aktuelleAnleihen[[#This Row],[Kursdifferenz]]*aktuelleAnleihen[[#This Row],[Anteile]]*aktuelleAnleihen[[#This Row],[Stückelung]]/aktuelleAnleihen[[#This Row],[Wechselkurs am Kauftag]]</f>
        <v>32.599999999999966</v>
      </c>
      <c r="H401" s="8">
        <f>aktuelleAnleihen[[#This Row],[Stückzinsen]]-aktuelleAnleihen[[#This Row],[Stückzinsen am Kauftag]]+aktuelleAnleihen[[#This Row],[Zinszahlungen]]</f>
        <v>42.294553424657536</v>
      </c>
      <c r="I401" s="8">
        <f>aktuelleAnleihen[[#This Row],[Gewinn gesamt]]-aktuelleAnleihen[[#This Row],[Gewinn aus Kursänderung]]-aktuelleAnleihen[[#This Row],[Gewinn aus Zinsen]]</f>
        <v>2.1316282072803006E-13</v>
      </c>
      <c r="J401" s="7">
        <f>aktuelleAnleihen[[#This Row],[Gewinn gesamt]]/aktuelleAnleihen[[#This Row],[Kaufpreis]]</f>
        <v>3.3249949399867008E-2</v>
      </c>
      <c r="K401" s="3">
        <f>aktuelleAnleihen[[#This Row],[Verkaufspreis]]-aktuelleAnleihen[[#This Row],[Kaufpreis]]+aktuelleAnleihen[[#This Row],[Zinszahlungen]]</f>
        <v>74.894553424657715</v>
      </c>
      <c r="L401" s="4">
        <v>2252.4712</v>
      </c>
      <c r="M401" s="7">
        <v>1.0924</v>
      </c>
      <c r="N401" s="61">
        <v>1</v>
      </c>
      <c r="O401" s="1">
        <v>1</v>
      </c>
      <c r="P401" s="1" t="s">
        <v>925</v>
      </c>
      <c r="Q401" s="30">
        <v>45385</v>
      </c>
      <c r="R401" s="1">
        <v>2</v>
      </c>
      <c r="S401" s="1">
        <v>1000</v>
      </c>
      <c r="T401" s="9">
        <v>45281</v>
      </c>
      <c r="U401" s="1">
        <v>2</v>
      </c>
      <c r="V401" s="62">
        <f>aktuelleAnleihen[[#This Row],[Stückelung]]*aktuelleAnleihen[[#This Row],[Anteile]]*aktuelleAnleihen[[#This Row],[Coupon]]/aktuelleAnleihen[[#This Row],[Aktueller Wechselkurs]]*($AC$1-aktuelleAnleihen[[#This Row],[Letzte Zinszahlung]])/365</f>
        <v>109.96575342465754</v>
      </c>
      <c r="W401" s="4">
        <v>67.671199999999999</v>
      </c>
      <c r="X401" s="120" t="s">
        <v>176</v>
      </c>
      <c r="Y401" s="120" t="s">
        <v>61</v>
      </c>
      <c r="Z401" s="1" t="s">
        <v>187</v>
      </c>
      <c r="AA401" s="1" t="s">
        <v>188</v>
      </c>
      <c r="AB401" s="3">
        <f>SUMIF('Zinszahlungen Anleihen'!K:K,aktuelleAnleihen[[#This Row],[ISIN]],'Zinszahlungen Anleihen'!D:D)</f>
        <v>0</v>
      </c>
      <c r="AE401" s="9"/>
      <c r="AF401" s="1"/>
      <c r="AI401" s="3"/>
      <c r="AJ401" s="1"/>
      <c r="AM401" s="10"/>
      <c r="AN401" s="1"/>
      <c r="AP401" s="7"/>
      <c r="AQ401" s="1"/>
    </row>
    <row r="402" spans="1:43" x14ac:dyDescent="0.2">
      <c r="A402" s="1" t="s">
        <v>239</v>
      </c>
      <c r="B402" s="1" t="s">
        <v>0</v>
      </c>
      <c r="C402" s="7">
        <v>0.1</v>
      </c>
      <c r="D402" s="7">
        <v>1.0075000000000001</v>
      </c>
      <c r="E402" s="7">
        <f>aktuelleAnleihen[[#This Row],[Aktueller Kurs]]-aktuelleAnleihen[[#This Row],[Kaufkurs]]</f>
        <v>1.6600000000000059E-2</v>
      </c>
      <c r="F402" s="8">
        <f>aktuelleAnleihen[[#This Row],[Stückelung]]*aktuelleAnleihen[[#This Row],[Aktueller Kurs]]*aktuelleAnleihen[[#This Row],[Anteile]]/aktuelleAnleihen[[#This Row],[Aktueller Wechselkurs]]+aktuelleAnleihen[[#This Row],[Stückzinsen]]</f>
        <v>2027.6027397260277</v>
      </c>
      <c r="G402" s="8">
        <f>aktuelleAnleihen[[#This Row],[Kursdifferenz]]*aktuelleAnleihen[[#This Row],[Anteile]]*aktuelleAnleihen[[#This Row],[Stückelung]]/aktuelleAnleihen[[#This Row],[Wechselkurs am Kauftag]]</f>
        <v>33.200000000000117</v>
      </c>
      <c r="H402" s="8">
        <f>aktuelleAnleihen[[#This Row],[Stückzinsen]]-aktuelleAnleihen[[#This Row],[Stückzinsen am Kauftag]]+aktuelleAnleihen[[#This Row],[Zinszahlungen]]</f>
        <v>35.890439726027395</v>
      </c>
      <c r="I402" s="8">
        <f>aktuelleAnleihen[[#This Row],[Gewinn gesamt]]-aktuelleAnleihen[[#This Row],[Gewinn aus Kursänderung]]-aktuelleAnleihen[[#This Row],[Gewinn aus Zinsen]]</f>
        <v>3.4106051316484809E-13</v>
      </c>
      <c r="J402" s="7">
        <f>aktuelleAnleihen[[#This Row],[Gewinn gesamt]]/aktuelleAnleihen[[#This Row],[Kaufpreis]]</f>
        <v>3.3563287295406426E-2</v>
      </c>
      <c r="K402" s="3">
        <f>aktuelleAnleihen[[#This Row],[Verkaufspreis]]-aktuelleAnleihen[[#This Row],[Kaufpreis]]+aktuelleAnleihen[[#This Row],[Zinszahlungen]]</f>
        <v>69.090439726027853</v>
      </c>
      <c r="L402" s="4">
        <v>2058.5122999999999</v>
      </c>
      <c r="M402" s="7">
        <v>0.9909</v>
      </c>
      <c r="N402" s="61">
        <v>1</v>
      </c>
      <c r="O402" s="1">
        <v>1</v>
      </c>
      <c r="P402" s="1" t="s">
        <v>925</v>
      </c>
      <c r="Q402" s="30">
        <v>45385</v>
      </c>
      <c r="R402" s="1">
        <v>2000</v>
      </c>
      <c r="S402" s="1">
        <v>1</v>
      </c>
      <c r="T402" s="9">
        <v>45427</v>
      </c>
      <c r="U402" s="1">
        <v>2</v>
      </c>
      <c r="V402" s="62">
        <f>aktuelleAnleihen[[#This Row],[Stückelung]]*aktuelleAnleihen[[#This Row],[Anteile]]*aktuelleAnleihen[[#This Row],[Coupon]]/aktuelleAnleihen[[#This Row],[Aktueller Wechselkurs]]*($AC$1-aktuelleAnleihen[[#This Row],[Letzte Zinszahlung]])/365</f>
        <v>12.602739726027398</v>
      </c>
      <c r="W402" s="4">
        <v>76.712299999999999</v>
      </c>
      <c r="X402" s="120" t="s">
        <v>51</v>
      </c>
      <c r="Y402" s="120" t="s">
        <v>109</v>
      </c>
      <c r="Z402" s="1" t="s">
        <v>240</v>
      </c>
      <c r="AA402" s="1" t="s">
        <v>241</v>
      </c>
      <c r="AB402" s="3">
        <f>SUMIF('Zinszahlungen Anleihen'!K:K,aktuelleAnleihen[[#This Row],[ISIN]],'Zinszahlungen Anleihen'!D:D)</f>
        <v>100</v>
      </c>
      <c r="AE402" s="9"/>
      <c r="AF402" s="1"/>
      <c r="AI402" s="3"/>
      <c r="AJ402" s="1"/>
      <c r="AM402" s="10"/>
      <c r="AN402" s="1"/>
      <c r="AP402" s="7"/>
      <c r="AQ402" s="1"/>
    </row>
    <row r="403" spans="1:43" x14ac:dyDescent="0.2">
      <c r="A403" s="1" t="s">
        <v>1738</v>
      </c>
      <c r="B403" s="1" t="s">
        <v>6</v>
      </c>
      <c r="C403" s="7">
        <v>0.08</v>
      </c>
      <c r="D403" s="7">
        <v>0.99560000000000004</v>
      </c>
      <c r="E403" s="7">
        <f>aktuelleAnleihen[[#This Row],[Aktueller Kurs]]-aktuelleAnleihen[[#This Row],[Kaufkurs]]</f>
        <v>1.7900000000000027E-2</v>
      </c>
      <c r="F403" s="8">
        <f>aktuelleAnleihen[[#This Row],[Stückelung]]*aktuelleAnleihen[[#This Row],[Aktueller Kurs]]*aktuelleAnleihen[[#This Row],[Anteile]]/aktuelleAnleihen[[#This Row],[Aktueller Wechselkurs]]+aktuelleAnleihen[[#This Row],[Stückzinsen]]</f>
        <v>1862.1080872355333</v>
      </c>
      <c r="G403" s="8">
        <f>aktuelleAnleihen[[#This Row],[Kursdifferenz]]*aktuelleAnleihen[[#This Row],[Anteile]]*aktuelleAnleihen[[#This Row],[Stückelung]]/aktuelleAnleihen[[#This Row],[Wechselkurs am Kauftag]]</f>
        <v>33.386179240884132</v>
      </c>
      <c r="H403" s="8">
        <f>aktuelleAnleihen[[#This Row],[Stückzinsen]]-aktuelleAnleihen[[#This Row],[Stückzinsen am Kauftag]]+aktuelleAnleihen[[#This Row],[Zinszahlungen]]</f>
        <v>15.004692065209056</v>
      </c>
      <c r="I403" s="8">
        <f>aktuelleAnleihen[[#This Row],[Gewinn gesamt]]-aktuelleAnleihen[[#This Row],[Gewinn aus Kursänderung]]-aktuelleAnleihen[[#This Row],[Gewinn aus Zinsen]]</f>
        <v>-28.644384070559866</v>
      </c>
      <c r="J403" s="7">
        <f>aktuelleAnleihen[[#This Row],[Gewinn gesamt]]/aktuelleAnleihen[[#This Row],[Kaufpreis]]</f>
        <v>1.0718030182312377E-2</v>
      </c>
      <c r="K403" s="3">
        <f>aktuelleAnleihen[[#This Row],[Verkaufspreis]]-aktuelleAnleihen[[#This Row],[Kaufpreis]]+aktuelleAnleihen[[#This Row],[Zinszahlungen]]</f>
        <v>19.746487235533323</v>
      </c>
      <c r="L403" s="4">
        <v>1842.3616</v>
      </c>
      <c r="M403" s="7">
        <v>0.97770000000000001</v>
      </c>
      <c r="N403" s="61">
        <v>1.0723</v>
      </c>
      <c r="O403" s="1">
        <v>1.0891</v>
      </c>
      <c r="P403" s="1" t="s">
        <v>887</v>
      </c>
      <c r="Q403" s="30">
        <v>45412</v>
      </c>
      <c r="R403" s="1">
        <v>2</v>
      </c>
      <c r="S403" s="1">
        <v>1000</v>
      </c>
      <c r="T403" s="9">
        <v>45366</v>
      </c>
      <c r="U403" s="1">
        <v>2</v>
      </c>
      <c r="V403" s="62">
        <f>aktuelleAnleihen[[#This Row],[Stückelung]]*aktuelleAnleihen[[#This Row],[Anteile]]*aktuelleAnleihen[[#This Row],[Coupon]]/aktuelleAnleihen[[#This Row],[Aktueller Wechselkurs]]*($AC$1-aktuelleAnleihen[[#This Row],[Letzte Zinszahlung]])/365</f>
        <v>33.809492065209056</v>
      </c>
      <c r="W403" s="4">
        <v>18.8048</v>
      </c>
      <c r="X403" s="120" t="s">
        <v>276</v>
      </c>
      <c r="Y403" s="120" t="s">
        <v>57</v>
      </c>
      <c r="Z403" s="1" t="s">
        <v>1739</v>
      </c>
      <c r="AA403" s="1" t="s">
        <v>1740</v>
      </c>
      <c r="AB403" s="3">
        <f>SUMIF('Zinszahlungen Anleihen'!K:K,aktuelleAnleihen[[#This Row],[ISIN]],'Zinszahlungen Anleihen'!D:D)</f>
        <v>0</v>
      </c>
      <c r="AE403" s="9"/>
      <c r="AF403" s="1"/>
      <c r="AI403" s="3"/>
      <c r="AJ403" s="1"/>
      <c r="AM403" s="10"/>
      <c r="AN403" s="1"/>
      <c r="AP403" s="7"/>
      <c r="AQ403" s="1"/>
    </row>
    <row r="404" spans="1:43" x14ac:dyDescent="0.2">
      <c r="A404" s="1" t="s">
        <v>1382</v>
      </c>
      <c r="B404" s="1" t="s">
        <v>4</v>
      </c>
      <c r="C404" s="7">
        <v>8.7499999999999994E-2</v>
      </c>
      <c r="D404" s="7">
        <v>1.1654</v>
      </c>
      <c r="E404" s="7">
        <f>aktuelleAnleihen[[#This Row],[Aktueller Kurs]]-aktuelleAnleihen[[#This Row],[Kaufkurs]]</f>
        <v>1.7900000000000027E-2</v>
      </c>
      <c r="F404" s="8">
        <f>aktuelleAnleihen[[#This Row],[Stückelung]]*aktuelleAnleihen[[#This Row],[Aktueller Kurs]]*aktuelleAnleihen[[#This Row],[Anteile]]/aktuelleAnleihen[[#This Row],[Aktueller Wechselkurs]]+aktuelleAnleihen[[#This Row],[Stückzinsen]]</f>
        <v>2217.1555500771656</v>
      </c>
      <c r="G404" s="8">
        <f>aktuelleAnleihen[[#This Row],[Kursdifferenz]]*aktuelleAnleihen[[#This Row],[Anteile]]*aktuelleAnleihen[[#This Row],[Stückelung]]/aktuelleAnleihen[[#This Row],[Wechselkurs am Kauftag]]</f>
        <v>33.386179240884132</v>
      </c>
      <c r="H404" s="8">
        <f>aktuelleAnleihen[[#This Row],[Stückzinsen]]-aktuelleAnleihen[[#This Row],[Stückzinsen am Kauftag]]+aktuelleAnleihen[[#This Row],[Zinszahlungen]]</f>
        <v>15.783758221504996</v>
      </c>
      <c r="I404" s="8">
        <f>aktuelleAnleihen[[#This Row],[Gewinn gesamt]]-aktuelleAnleihen[[#This Row],[Gewinn aus Kursänderung]]-aktuelleAnleihen[[#This Row],[Gewinn aus Zinsen]]</f>
        <v>-33.529787385223784</v>
      </c>
      <c r="J404" s="7">
        <f>aktuelleAnleihen[[#This Row],[Gewinn gesamt]]/aktuelleAnleihen[[#This Row],[Kaufpreis]]</f>
        <v>7.1042655786851833E-3</v>
      </c>
      <c r="K404" s="3">
        <f>aktuelleAnleihen[[#This Row],[Verkaufspreis]]-aktuelleAnleihen[[#This Row],[Kaufpreis]]+aktuelleAnleihen[[#This Row],[Zinszahlungen]]</f>
        <v>15.640150077165345</v>
      </c>
      <c r="L404" s="4">
        <v>2201.5154000000002</v>
      </c>
      <c r="M404" s="7">
        <v>1.1475</v>
      </c>
      <c r="N404" s="61">
        <v>1.0723</v>
      </c>
      <c r="O404" s="1">
        <v>1.0891</v>
      </c>
      <c r="P404" s="1" t="s">
        <v>887</v>
      </c>
      <c r="Q404" s="30">
        <v>45412</v>
      </c>
      <c r="R404" s="1">
        <v>2</v>
      </c>
      <c r="S404" s="1">
        <v>1000</v>
      </c>
      <c r="T404" s="9">
        <v>45275</v>
      </c>
      <c r="U404" s="1">
        <v>2</v>
      </c>
      <c r="V404" s="62">
        <f>aktuelleAnleihen[[#This Row],[Stückelung]]*aktuelleAnleihen[[#This Row],[Anteile]]*aktuelleAnleihen[[#This Row],[Coupon]]/aktuelleAnleihen[[#This Row],[Aktueller Wechselkurs]]*($AC$1-aktuelleAnleihen[[#This Row],[Letzte Zinszahlung]])/365</f>
        <v>77.039858221505</v>
      </c>
      <c r="W404" s="4">
        <v>61.256100000000004</v>
      </c>
      <c r="X404" s="120" t="s">
        <v>276</v>
      </c>
      <c r="Y404" s="120" t="s">
        <v>57</v>
      </c>
      <c r="Z404" s="1" t="s">
        <v>1383</v>
      </c>
      <c r="AA404" s="1" t="s">
        <v>1384</v>
      </c>
      <c r="AB404" s="3">
        <f>SUMIF('Zinszahlungen Anleihen'!K:K,aktuelleAnleihen[[#This Row],[ISIN]],'Zinszahlungen Anleihen'!D:D)</f>
        <v>0</v>
      </c>
      <c r="AE404" s="9"/>
      <c r="AF404" s="1"/>
      <c r="AI404" s="3"/>
      <c r="AJ404" s="1"/>
      <c r="AM404" s="10"/>
      <c r="AN404" s="1"/>
      <c r="AP404" s="7"/>
      <c r="AQ404" s="1"/>
    </row>
    <row r="405" spans="1:43" x14ac:dyDescent="0.2">
      <c r="A405" s="1" t="s">
        <v>1412</v>
      </c>
      <c r="B405" s="1" t="s">
        <v>0</v>
      </c>
      <c r="C405" s="7">
        <v>8.2360000000000003E-2</v>
      </c>
      <c r="D405" s="7">
        <v>0.97099999999999997</v>
      </c>
      <c r="E405" s="7">
        <f>aktuelleAnleihen[[#This Row],[Aktueller Kurs]]-aktuelleAnleihen[[#This Row],[Kaufkurs]]</f>
        <v>1.8000000000000016E-2</v>
      </c>
      <c r="F405" s="8">
        <f>aktuelleAnleihen[[#This Row],[Stückelung]]*aktuelleAnleihen[[#This Row],[Aktueller Kurs]]*aktuelleAnleihen[[#This Row],[Anteile]]/aktuelleAnleihen[[#This Row],[Aktueller Wechselkurs]]+aktuelleAnleihen[[#This Row],[Stückzinsen]]</f>
        <v>1806.3282614902589</v>
      </c>
      <c r="G405" s="8">
        <f>aktuelleAnleihen[[#This Row],[Kursdifferenz]]*aktuelleAnleihen[[#This Row],[Anteile]]*aktuelleAnleihen[[#This Row],[Stückelung]]/aktuelleAnleihen[[#This Row],[Wechselkurs am Kauftag]]</f>
        <v>33.572694208710274</v>
      </c>
      <c r="H405" s="8">
        <f>aktuelleAnleihen[[#This Row],[Stückzinsen]]-aktuelleAnleihen[[#This Row],[Stückzinsen am Kauftag]]+aktuelleAnleihen[[#This Row],[Zinszahlungen]]</f>
        <v>15.629081387421811</v>
      </c>
      <c r="I405" s="8">
        <f>aktuelleAnleihen[[#This Row],[Gewinn gesamt]]-aktuelleAnleihen[[#This Row],[Gewinn aus Kursänderung]]-aktuelleAnleihen[[#This Row],[Gewinn aus Zinsen]]</f>
        <v>-27.936614105873254</v>
      </c>
      <c r="J405" s="7">
        <f>aktuelleAnleihen[[#This Row],[Gewinn gesamt]]/aktuelleAnleihen[[#This Row],[Kaufpreis]]</f>
        <v>1.1912834616467525E-2</v>
      </c>
      <c r="K405" s="3">
        <f>aktuelleAnleihen[[#This Row],[Verkaufspreis]]-aktuelleAnleihen[[#This Row],[Kaufpreis]]+aktuelleAnleihen[[#This Row],[Zinszahlungen]]</f>
        <v>21.265161490258834</v>
      </c>
      <c r="L405" s="4">
        <v>1785.0631000000001</v>
      </c>
      <c r="M405" s="7">
        <v>0.95299999999999996</v>
      </c>
      <c r="N405" s="61">
        <v>1.0723</v>
      </c>
      <c r="O405" s="1">
        <v>1.0891</v>
      </c>
      <c r="P405" s="1" t="s">
        <v>887</v>
      </c>
      <c r="Q405" s="30">
        <v>45412</v>
      </c>
      <c r="R405" s="1">
        <v>2</v>
      </c>
      <c r="S405" s="1">
        <v>1000</v>
      </c>
      <c r="T405" s="9">
        <v>45394</v>
      </c>
      <c r="U405" s="1">
        <v>4</v>
      </c>
      <c r="V405" s="62">
        <f>aktuelleAnleihen[[#This Row],[Stückelung]]*aktuelleAnleihen[[#This Row],[Anteile]]*aktuelleAnleihen[[#This Row],[Coupon]]/aktuelleAnleihen[[#This Row],[Aktueller Wechselkurs]]*($AC$1-aktuelleAnleihen[[#This Row],[Letzte Zinszahlung]])/365</f>
        <v>23.204581387421811</v>
      </c>
      <c r="W405" s="4">
        <v>7.5754999999999999</v>
      </c>
      <c r="X405" s="120" t="s">
        <v>1096</v>
      </c>
      <c r="Y405" s="120" t="s">
        <v>61</v>
      </c>
      <c r="Z405" s="1" t="s">
        <v>1487</v>
      </c>
      <c r="AA405" s="1" t="s">
        <v>1488</v>
      </c>
      <c r="AB405" s="3">
        <f>SUMIF('Zinszahlungen Anleihen'!K:K,aktuelleAnleihen[[#This Row],[ISIN]],'Zinszahlungen Anleihen'!D:D)</f>
        <v>0</v>
      </c>
      <c r="AE405" s="9"/>
      <c r="AF405" s="1"/>
      <c r="AI405" s="3"/>
      <c r="AJ405" s="1"/>
      <c r="AM405" s="10"/>
      <c r="AN405" s="1"/>
      <c r="AP405" s="7"/>
      <c r="AQ405" s="1"/>
    </row>
    <row r="406" spans="1:43" x14ac:dyDescent="0.2">
      <c r="A406" s="1" t="s">
        <v>1431</v>
      </c>
      <c r="B406" s="1" t="s">
        <v>10</v>
      </c>
      <c r="C406" s="7">
        <v>8.5000000000000006E-2</v>
      </c>
      <c r="D406" s="7">
        <v>1.1984999999999999</v>
      </c>
      <c r="E406" s="7">
        <f>aktuelleAnleihen[[#This Row],[Aktueller Kurs]]-aktuelleAnleihen[[#This Row],[Kaufkurs]]</f>
        <v>1.8199999999999994E-2</v>
      </c>
      <c r="F406" s="8">
        <f>aktuelleAnleihen[[#This Row],[Stückelung]]*aktuelleAnleihen[[#This Row],[Aktueller Kurs]]*aktuelleAnleihen[[#This Row],[Anteile]]/aktuelleAnleihen[[#This Row],[Aktueller Wechselkurs]]+aktuelleAnleihen[[#This Row],[Stückzinsen]]</f>
        <v>2261.1984509013978</v>
      </c>
      <c r="G406" s="8">
        <f>aktuelleAnleihen[[#This Row],[Kursdifferenz]]*aktuelleAnleihen[[#This Row],[Anteile]]*aktuelleAnleihen[[#This Row],[Stückelung]]/aktuelleAnleihen[[#This Row],[Wechselkurs am Kauftag]]</f>
        <v>33.945724144362579</v>
      </c>
      <c r="H406" s="8">
        <f>aktuelleAnleihen[[#This Row],[Stückzinsen]]-aktuelleAnleihen[[#This Row],[Stückzinsen am Kauftag]]+aktuelleAnleihen[[#This Row],[Zinszahlungen]]</f>
        <v>15.560625357370604</v>
      </c>
      <c r="I406" s="8">
        <f>aktuelleAnleihen[[#This Row],[Gewinn gesamt]]-aktuelleAnleihen[[#This Row],[Gewinn aus Kursänderung]]-aktuelleAnleihen[[#This Row],[Gewinn aus Zinsen]]</f>
        <v>-34.48209860033532</v>
      </c>
      <c r="J406" s="7">
        <f>aktuelleAnleihen[[#This Row],[Gewinn gesamt]]/aktuelleAnleihen[[#This Row],[Kaufpreis]]</f>
        <v>6.6888182142764638E-3</v>
      </c>
      <c r="K406" s="3">
        <f>aktuelleAnleihen[[#This Row],[Verkaufspreis]]-aktuelleAnleihen[[#This Row],[Kaufpreis]]+aktuelleAnleihen[[#This Row],[Zinszahlungen]]</f>
        <v>15.024250901397863</v>
      </c>
      <c r="L406" s="4">
        <v>2246.1741999999999</v>
      </c>
      <c r="M406" s="7">
        <v>1.1802999999999999</v>
      </c>
      <c r="N406" s="61">
        <v>1.0723</v>
      </c>
      <c r="O406" s="1">
        <v>1.0891</v>
      </c>
      <c r="P406" s="1" t="s">
        <v>887</v>
      </c>
      <c r="Q406" s="30">
        <v>45412</v>
      </c>
      <c r="R406" s="1">
        <v>2</v>
      </c>
      <c r="S406" s="1">
        <v>1000</v>
      </c>
      <c r="T406" s="9">
        <v>45309</v>
      </c>
      <c r="U406" s="1">
        <v>2</v>
      </c>
      <c r="V406" s="62">
        <f>aktuelleAnleihen[[#This Row],[Stückelung]]*aktuelleAnleihen[[#This Row],[Anteile]]*aktuelleAnleihen[[#This Row],[Coupon]]/aktuelleAnleihen[[#This Row],[Aktueller Wechselkurs]]*($AC$1-aktuelleAnleihen[[#This Row],[Letzte Zinszahlung]])/365</f>
        <v>60.298625357370604</v>
      </c>
      <c r="W406" s="4">
        <v>44.738</v>
      </c>
      <c r="X406" s="120" t="s">
        <v>276</v>
      </c>
      <c r="Y406" s="120" t="s">
        <v>39</v>
      </c>
      <c r="Z406" s="1" t="s">
        <v>1432</v>
      </c>
      <c r="AA406" s="1" t="s">
        <v>1433</v>
      </c>
      <c r="AB406" s="3">
        <f>SUMIF('Zinszahlungen Anleihen'!K:K,aktuelleAnleihen[[#This Row],[ISIN]],'Zinszahlungen Anleihen'!D:D)</f>
        <v>0</v>
      </c>
      <c r="AE406" s="9"/>
      <c r="AF406" s="1"/>
      <c r="AI406" s="3"/>
      <c r="AJ406" s="1"/>
      <c r="AM406" s="10"/>
      <c r="AN406" s="1"/>
      <c r="AP406" s="7"/>
      <c r="AQ406" s="1"/>
    </row>
    <row r="407" spans="1:43" x14ac:dyDescent="0.2">
      <c r="A407" s="1" t="s">
        <v>696</v>
      </c>
      <c r="B407" s="1" t="s">
        <v>4</v>
      </c>
      <c r="C407" s="7">
        <v>6.7500000000000004E-2</v>
      </c>
      <c r="D407" s="7">
        <v>0.995</v>
      </c>
      <c r="E407" s="7">
        <f>aktuelleAnleihen[[#This Row],[Aktueller Kurs]]-aktuelleAnleihen[[#This Row],[Kaufkurs]]</f>
        <v>1.7000000000000015E-2</v>
      </c>
      <c r="F407" s="8">
        <f>aktuelleAnleihen[[#This Row],[Stückelung]]*aktuelleAnleihen[[#This Row],[Aktueller Kurs]]*aktuelleAnleihen[[#This Row],[Anteile]]/aktuelleAnleihen[[#This Row],[Aktueller Wechselkurs]]+aktuelleAnleihen[[#This Row],[Stückzinsen]]</f>
        <v>2028.4657534246576</v>
      </c>
      <c r="G407" s="8">
        <f>aktuelleAnleihen[[#This Row],[Kursdifferenz]]*aktuelleAnleihen[[#This Row],[Anteile]]*aktuelleAnleihen[[#This Row],[Stückelung]]/aktuelleAnleihen[[#This Row],[Wechselkurs am Kauftag]]</f>
        <v>34.000000000000028</v>
      </c>
      <c r="H407" s="8">
        <f>aktuelleAnleihen[[#This Row],[Stückzinsen]]-aktuelleAnleihen[[#This Row],[Stückzinsen am Kauftag]]+aktuelleAnleihen[[#This Row],[Zinszahlungen]]</f>
        <v>24.041053424657534</v>
      </c>
      <c r="I407" s="8">
        <f>aktuelleAnleihen[[#This Row],[Gewinn gesamt]]-aktuelleAnleihen[[#This Row],[Gewinn aus Kursänderung]]-aktuelleAnleihen[[#This Row],[Gewinn aus Zinsen]]</f>
        <v>0</v>
      </c>
      <c r="J407" s="7">
        <f>aktuelleAnleihen[[#This Row],[Gewinn gesamt]]/aktuelleAnleihen[[#This Row],[Kaufpreis]]</f>
        <v>2.9456113407763083E-2</v>
      </c>
      <c r="K407" s="3">
        <f>aktuelleAnleihen[[#This Row],[Verkaufspreis]]-aktuelleAnleihen[[#This Row],[Kaufpreis]]+aktuelleAnleihen[[#This Row],[Zinszahlungen]]</f>
        <v>58.041053424657548</v>
      </c>
      <c r="L407" s="4">
        <v>1970.4247</v>
      </c>
      <c r="M407" s="7">
        <v>0.97799999999999998</v>
      </c>
      <c r="N407" s="61">
        <v>1</v>
      </c>
      <c r="O407" s="1">
        <v>1</v>
      </c>
      <c r="P407" s="1" t="s">
        <v>925</v>
      </c>
      <c r="Q407" s="30">
        <v>45385</v>
      </c>
      <c r="R407" s="1">
        <v>2</v>
      </c>
      <c r="S407" s="1">
        <v>1000</v>
      </c>
      <c r="T407" s="9">
        <v>45346</v>
      </c>
      <c r="U407" s="1">
        <v>2</v>
      </c>
      <c r="V407" s="62">
        <f>aktuelleAnleihen[[#This Row],[Stückelung]]*aktuelleAnleihen[[#This Row],[Anteile]]*aktuelleAnleihen[[#This Row],[Coupon]]/aktuelleAnleihen[[#This Row],[Aktueller Wechselkurs]]*($AC$1-aktuelleAnleihen[[#This Row],[Letzte Zinszahlung]])/365</f>
        <v>38.465753424657535</v>
      </c>
      <c r="W407" s="4">
        <v>14.4247</v>
      </c>
      <c r="X407" s="120" t="s">
        <v>56</v>
      </c>
      <c r="Y407" s="120" t="s">
        <v>52</v>
      </c>
      <c r="Z407" s="1" t="s">
        <v>697</v>
      </c>
      <c r="AA407" s="1" t="s">
        <v>698</v>
      </c>
      <c r="AB407" s="3">
        <f>SUMIF('Zinszahlungen Anleihen'!K:K,aktuelleAnleihen[[#This Row],[ISIN]],'Zinszahlungen Anleihen'!D:D)</f>
        <v>0</v>
      </c>
      <c r="AE407" s="9"/>
      <c r="AF407" s="1"/>
      <c r="AI407" s="3"/>
      <c r="AJ407" s="1"/>
      <c r="AM407" s="10"/>
      <c r="AN407" s="1"/>
      <c r="AP407" s="7"/>
      <c r="AQ407" s="1"/>
    </row>
    <row r="408" spans="1:43" x14ac:dyDescent="0.2">
      <c r="A408" s="1" t="s">
        <v>1791</v>
      </c>
      <c r="B408" s="1" t="s">
        <v>1</v>
      </c>
      <c r="C408" s="7">
        <v>9.0740000000000001E-2</v>
      </c>
      <c r="D408" s="7">
        <v>1.026</v>
      </c>
      <c r="E408" s="7">
        <f>aktuelleAnleihen[[#This Row],[Aktueller Kurs]]-aktuelleAnleihen[[#This Row],[Kaufkurs]]</f>
        <v>1.7000000000000126E-2</v>
      </c>
      <c r="F408" s="8">
        <f>aktuelleAnleihen[[#This Row],[Stückelung]]*aktuelleAnleihen[[#This Row],[Aktueller Kurs]]*aktuelleAnleihen[[#This Row],[Anteile]]/aktuelleAnleihen[[#This Row],[Aktueller Wechselkurs]]+aktuelleAnleihen[[#This Row],[Stückzinsen]]</f>
        <v>2066.9161643835619</v>
      </c>
      <c r="G408" s="8">
        <f>aktuelleAnleihen[[#This Row],[Kursdifferenz]]*aktuelleAnleihen[[#This Row],[Anteile]]*aktuelleAnleihen[[#This Row],[Stückelung]]/aktuelleAnleihen[[#This Row],[Wechselkurs am Kauftag]]</f>
        <v>34.000000000000256</v>
      </c>
      <c r="H408" s="8">
        <f>aktuelleAnleihen[[#This Row],[Stückzinsen]]-aktuelleAnleihen[[#This Row],[Stückzinsen am Kauftag]]+aktuelleAnleihen[[#This Row],[Zinszahlungen]]</f>
        <v>11.435764383561644</v>
      </c>
      <c r="I408" s="8">
        <f>aktuelleAnleihen[[#This Row],[Gewinn gesamt]]-aktuelleAnleihen[[#This Row],[Gewinn aus Kursänderung]]-aktuelleAnleihen[[#This Row],[Gewinn aus Zinsen]]</f>
        <v>4.6185277824406512E-14</v>
      </c>
      <c r="J408" s="7">
        <f>aktuelleAnleihen[[#This Row],[Gewinn gesamt]]/aktuelleAnleihen[[#This Row],[Kaufpreis]]</f>
        <v>2.2476480298083499E-2</v>
      </c>
      <c r="K408" s="3">
        <f>aktuelleAnleihen[[#This Row],[Verkaufspreis]]-aktuelleAnleihen[[#This Row],[Kaufpreis]]+aktuelleAnleihen[[#This Row],[Zinszahlungen]]</f>
        <v>45.435764383561946</v>
      </c>
      <c r="L408" s="4">
        <v>2021.4803999999999</v>
      </c>
      <c r="M408" s="7">
        <v>1.0089999999999999</v>
      </c>
      <c r="N408" s="61">
        <v>1</v>
      </c>
      <c r="O408" s="1">
        <v>1</v>
      </c>
      <c r="P408" s="1" t="s">
        <v>925</v>
      </c>
      <c r="Q408" s="30">
        <v>45427</v>
      </c>
      <c r="R408" s="1">
        <v>2</v>
      </c>
      <c r="S408" s="1">
        <v>1000</v>
      </c>
      <c r="T408" s="9">
        <v>45420</v>
      </c>
      <c r="U408" s="1">
        <v>4</v>
      </c>
      <c r="V408" s="62">
        <f>aktuelleAnleihen[[#This Row],[Stückelung]]*aktuelleAnleihen[[#This Row],[Anteile]]*aktuelleAnleihen[[#This Row],[Coupon]]/aktuelleAnleihen[[#This Row],[Aktueller Wechselkurs]]*($AC$1-aktuelleAnleihen[[#This Row],[Letzte Zinszahlung]])/365</f>
        <v>14.916164383561643</v>
      </c>
      <c r="W408" s="4">
        <v>3.4803999999999999</v>
      </c>
      <c r="X408" s="120" t="s">
        <v>122</v>
      </c>
      <c r="Y408" s="120" t="s">
        <v>57</v>
      </c>
      <c r="Z408" s="1" t="s">
        <v>1792</v>
      </c>
      <c r="AA408" s="1" t="s">
        <v>1793</v>
      </c>
      <c r="AB408" s="3">
        <f>SUMIF('Zinszahlungen Anleihen'!K:K,aktuelleAnleihen[[#This Row],[ISIN]],'Zinszahlungen Anleihen'!D:D)</f>
        <v>0</v>
      </c>
      <c r="AE408" s="9"/>
      <c r="AF408" s="1"/>
      <c r="AI408" s="3"/>
      <c r="AJ408" s="1"/>
      <c r="AM408" s="10"/>
      <c r="AN408" s="1"/>
      <c r="AP408" s="7"/>
      <c r="AQ408" s="1"/>
    </row>
    <row r="409" spans="1:43" x14ac:dyDescent="0.2">
      <c r="A409" s="1" t="s">
        <v>1717</v>
      </c>
      <c r="B409" s="1" t="s">
        <v>0</v>
      </c>
      <c r="C409" s="7">
        <v>0.08</v>
      </c>
      <c r="D409" s="7">
        <v>1.0026999999999999</v>
      </c>
      <c r="E409" s="7">
        <f>aktuelleAnleihen[[#This Row],[Aktueller Kurs]]-aktuelleAnleihen[[#This Row],[Kaufkurs]]</f>
        <v>1.8299999999999872E-2</v>
      </c>
      <c r="F409" s="8">
        <f>aktuelleAnleihen[[#This Row],[Stückelung]]*aktuelleAnleihen[[#This Row],[Aktueller Kurs]]*aktuelleAnleihen[[#This Row],[Anteile]]/aktuelleAnleihen[[#This Row],[Aktueller Wechselkurs]]+aktuelleAnleihen[[#This Row],[Stückzinsen]]</f>
        <v>1870.3164482927339</v>
      </c>
      <c r="G409" s="8">
        <f>aktuelleAnleihen[[#This Row],[Kursdifferenz]]*aktuelleAnleihen[[#This Row],[Anteile]]*aktuelleAnleihen[[#This Row],[Stückelung]]/aktuelleAnleihen[[#This Row],[Wechselkurs am Kauftag]]</f>
        <v>34.132239112188515</v>
      </c>
      <c r="H409" s="8">
        <f>aktuelleAnleihen[[#This Row],[Stückzinsen]]-aktuelleAnleihen[[#This Row],[Stückzinsen am Kauftag]]+aktuelleAnleihen[[#This Row],[Zinszahlungen]]</f>
        <v>15.080364627322048</v>
      </c>
      <c r="I409" s="8">
        <f>aktuelleAnleihen[[#This Row],[Gewinn gesamt]]-aktuelleAnleihen[[#This Row],[Gewinn aus Kursänderung]]-aktuelleAnleihen[[#This Row],[Gewinn aus Zinsen]]</f>
        <v>-28.848655446776796</v>
      </c>
      <c r="J409" s="7">
        <f>aktuelleAnleihen[[#This Row],[Gewinn gesamt]]/aktuelleAnleihen[[#This Row],[Kaufpreis]]</f>
        <v>1.1007822250967938E-2</v>
      </c>
      <c r="K409" s="3">
        <f>aktuelleAnleihen[[#This Row],[Verkaufspreis]]-aktuelleAnleihen[[#This Row],[Kaufpreis]]+aktuelleAnleihen[[#This Row],[Zinszahlungen]]</f>
        <v>20.363948292733767</v>
      </c>
      <c r="L409" s="4">
        <v>1849.9525000000001</v>
      </c>
      <c r="M409" s="7">
        <v>0.98440000000000005</v>
      </c>
      <c r="N409" s="61">
        <v>1.0723</v>
      </c>
      <c r="O409" s="1">
        <v>1.0891</v>
      </c>
      <c r="P409" s="1" t="s">
        <v>887</v>
      </c>
      <c r="Q409" s="30">
        <v>45412</v>
      </c>
      <c r="R409" s="1">
        <v>2</v>
      </c>
      <c r="S409" s="1">
        <v>1000</v>
      </c>
      <c r="T409" s="9">
        <v>45378</v>
      </c>
      <c r="U409" s="1">
        <v>4</v>
      </c>
      <c r="V409" s="62">
        <f>aktuelleAnleihen[[#This Row],[Stückelung]]*aktuelleAnleihen[[#This Row],[Anteile]]*aktuelleAnleihen[[#This Row],[Coupon]]/aktuelleAnleihen[[#This Row],[Aktueller Wechselkurs]]*($AC$1-aktuelleAnleihen[[#This Row],[Letzte Zinszahlung]])/365</f>
        <v>28.979564627322048</v>
      </c>
      <c r="W409" s="4">
        <v>13.8992</v>
      </c>
      <c r="X409" s="120" t="s">
        <v>65</v>
      </c>
      <c r="Y409" s="120" t="s">
        <v>39</v>
      </c>
      <c r="Z409" s="1" t="s">
        <v>1718</v>
      </c>
      <c r="AA409" s="1" t="s">
        <v>1719</v>
      </c>
      <c r="AB409" s="3">
        <f>SUMIF('Zinszahlungen Anleihen'!K:K,aktuelleAnleihen[[#This Row],[ISIN]],'Zinszahlungen Anleihen'!D:D)</f>
        <v>0</v>
      </c>
      <c r="AE409" s="9"/>
      <c r="AF409" s="1"/>
      <c r="AI409" s="3"/>
      <c r="AJ409" s="1"/>
      <c r="AM409" s="10"/>
      <c r="AN409" s="1"/>
      <c r="AP409" s="7"/>
      <c r="AQ409" s="1"/>
    </row>
    <row r="410" spans="1:43" x14ac:dyDescent="0.2">
      <c r="A410" s="1" t="s">
        <v>1570</v>
      </c>
      <c r="B410" s="1" t="s">
        <v>0</v>
      </c>
      <c r="C410" s="7">
        <v>8.4000000000000005E-2</v>
      </c>
      <c r="D410" s="7">
        <v>1.0613999999999999</v>
      </c>
      <c r="E410" s="7">
        <f>aktuelleAnleihen[[#This Row],[Aktueller Kurs]]-aktuelleAnleihen[[#This Row],[Kaufkurs]]</f>
        <v>1.8299999999999983E-2</v>
      </c>
      <c r="F410" s="8">
        <f>aktuelleAnleihen[[#This Row],[Stückelung]]*aktuelleAnleihen[[#This Row],[Aktueller Kurs]]*aktuelleAnleihen[[#This Row],[Anteile]]/aktuelleAnleihen[[#This Row],[Aktueller Wechselkurs]]+aktuelleAnleihen[[#This Row],[Stückzinsen]]</f>
        <v>1959.2751587021078</v>
      </c>
      <c r="G410" s="8">
        <f>aktuelleAnleihen[[#This Row],[Kursdifferenz]]*aktuelleAnleihen[[#This Row],[Anteile]]*aktuelleAnleihen[[#This Row],[Stückelung]]/aktuelleAnleihen[[#This Row],[Wechselkurs am Kauftag]]</f>
        <v>34.132239112188721</v>
      </c>
      <c r="H410" s="8">
        <f>aktuelleAnleihen[[#This Row],[Stückzinsen]]-aktuelleAnleihen[[#This Row],[Stückzinsen am Kauftag]]+aktuelleAnleihen[[#This Row],[Zinszahlungen]]</f>
        <v>15.686089821652004</v>
      </c>
      <c r="I410" s="8">
        <f>aktuelleAnleihen[[#This Row],[Gewinn gesamt]]-aktuelleAnleihen[[#This Row],[Gewinn aus Kursänderung]]-aktuelleAnleihen[[#This Row],[Gewinn aus Zinsen]]</f>
        <v>-30.537528029643546</v>
      </c>
      <c r="J410" s="7">
        <f>aktuelleAnleihen[[#This Row],[Gewinn gesamt]]/aktuelleAnleihen[[#This Row],[Kaufpreis]]</f>
        <v>9.5560686242926393E-3</v>
      </c>
      <c r="K410" s="3">
        <f>aktuelleAnleihen[[#This Row],[Verkaufspreis]]-aktuelleAnleihen[[#This Row],[Kaufpreis]]+aktuelleAnleihen[[#This Row],[Zinszahlungen]]</f>
        <v>19.280800904197179</v>
      </c>
      <c r="L410" s="4">
        <v>2017.6498999999999</v>
      </c>
      <c r="M410" s="7">
        <v>1.0430999999999999</v>
      </c>
      <c r="N410" s="61">
        <v>1.0723</v>
      </c>
      <c r="O410" s="1">
        <v>1.0891</v>
      </c>
      <c r="P410" s="1" t="s">
        <v>887</v>
      </c>
      <c r="Q410" s="30">
        <v>45412</v>
      </c>
      <c r="R410" s="1">
        <v>2</v>
      </c>
      <c r="S410" s="1">
        <v>1000</v>
      </c>
      <c r="T410" s="9">
        <v>45426</v>
      </c>
      <c r="U410" s="1">
        <v>2</v>
      </c>
      <c r="V410" s="62">
        <f>aktuelleAnleihen[[#This Row],[Stückelung]]*aktuelleAnleihen[[#This Row],[Anteile]]*aktuelleAnleihen[[#This Row],[Coupon]]/aktuelleAnleihen[[#This Row],[Aktueller Wechselkurs]]*($AC$1-aktuelleAnleihen[[#This Row],[Letzte Zinszahlung]])/365</f>
        <v>10.142847619562716</v>
      </c>
      <c r="W410" s="4">
        <v>72.112300000000005</v>
      </c>
      <c r="X410" s="120" t="s">
        <v>276</v>
      </c>
      <c r="Y410" s="120" t="s">
        <v>39</v>
      </c>
      <c r="Z410" s="1" t="s">
        <v>1571</v>
      </c>
      <c r="AA410" s="1" t="s">
        <v>1572</v>
      </c>
      <c r="AB410" s="3">
        <f>SUMIF('Zinszahlungen Anleihen'!K:K,aktuelleAnleihen[[#This Row],[ISIN]],'Zinszahlungen Anleihen'!D:D)</f>
        <v>77.655542202089293</v>
      </c>
      <c r="AE410" s="9"/>
      <c r="AF410" s="1"/>
      <c r="AI410" s="3"/>
      <c r="AJ410" s="1"/>
      <c r="AM410" s="10"/>
      <c r="AN410" s="1"/>
      <c r="AP410" s="7"/>
      <c r="AQ410" s="1"/>
    </row>
    <row r="411" spans="1:43" x14ac:dyDescent="0.2">
      <c r="A411" s="1" t="s">
        <v>1130</v>
      </c>
      <c r="B411" s="1" t="s">
        <v>11</v>
      </c>
      <c r="C411" s="7">
        <v>9.7500000000000003E-2</v>
      </c>
      <c r="D411" s="7">
        <v>1.2527999999999999</v>
      </c>
      <c r="E411" s="7">
        <f>aktuelleAnleihen[[#This Row],[Aktueller Kurs]]-aktuelleAnleihen[[#This Row],[Kaufkurs]]</f>
        <v>1.8499999999999739E-2</v>
      </c>
      <c r="F411" s="8">
        <f>aktuelleAnleihen[[#This Row],[Stückelung]]*aktuelleAnleihen[[#This Row],[Aktueller Kurs]]*aktuelleAnleihen[[#This Row],[Anteile]]/aktuelleAnleihen[[#This Row],[Aktueller Wechselkurs]]+aktuelleAnleihen[[#This Row],[Stückzinsen]]</f>
        <v>2386.459600298349</v>
      </c>
      <c r="G411" s="8">
        <f>aktuelleAnleihen[[#This Row],[Kursdifferenz]]*aktuelleAnleihen[[#This Row],[Anteile]]*aktuelleAnleihen[[#This Row],[Stückelung]]/aktuelleAnleihen[[#This Row],[Wechselkurs am Kauftag]]</f>
        <v>34.505269047840599</v>
      </c>
      <c r="H411" s="8">
        <f>aktuelleAnleihen[[#This Row],[Stückzinsen]]-aktuelleAnleihen[[#This Row],[Stückzinsen am Kauftag]]+aktuelleAnleihen[[#This Row],[Zinszahlungen]]</f>
        <v>17.587613446819873</v>
      </c>
      <c r="I411" s="8">
        <f>aktuelleAnleihen[[#This Row],[Gewinn gesamt]]-aktuelleAnleihen[[#This Row],[Gewinn aus Kursänderung]]-aktuelleAnleihen[[#This Row],[Gewinn aus Zinsen]]</f>
        <v>-36.044382196311318</v>
      </c>
      <c r="J411" s="7">
        <f>aktuelleAnleihen[[#This Row],[Gewinn gesamt]]/aktuelleAnleihen[[#This Row],[Kaufpreis]]</f>
        <v>6.7703447298019977E-3</v>
      </c>
      <c r="K411" s="3">
        <f>aktuelleAnleihen[[#This Row],[Verkaufspreis]]-aktuelleAnleihen[[#This Row],[Kaufpreis]]+aktuelleAnleihen[[#This Row],[Zinszahlungen]]</f>
        <v>16.048500298349154</v>
      </c>
      <c r="L411" s="4">
        <v>2370.4110999999998</v>
      </c>
      <c r="M411" s="7">
        <v>1.2343000000000002</v>
      </c>
      <c r="N411" s="61">
        <v>1.0723</v>
      </c>
      <c r="O411" s="1">
        <v>1.0891</v>
      </c>
      <c r="P411" s="1" t="s">
        <v>887</v>
      </c>
      <c r="Q411" s="30">
        <v>45412</v>
      </c>
      <c r="R411" s="1">
        <v>2</v>
      </c>
      <c r="S411" s="1">
        <v>1000</v>
      </c>
      <c r="T411" s="9">
        <v>45275</v>
      </c>
      <c r="U411" s="1">
        <v>2</v>
      </c>
      <c r="V411" s="62">
        <f>aktuelleAnleihen[[#This Row],[Stückelung]]*aktuelleAnleihen[[#This Row],[Anteile]]*aktuelleAnleihen[[#This Row],[Coupon]]/aktuelleAnleihen[[#This Row],[Aktueller Wechselkurs]]*($AC$1-aktuelleAnleihen[[#This Row],[Letzte Zinszahlung]])/365</f>
        <v>85.844413446819871</v>
      </c>
      <c r="W411" s="4">
        <v>68.256799999999998</v>
      </c>
      <c r="X411" s="120" t="s">
        <v>1131</v>
      </c>
      <c r="Y411" s="120" t="s">
        <v>61</v>
      </c>
      <c r="Z411" s="1" t="s">
        <v>1132</v>
      </c>
      <c r="AA411" s="1" t="s">
        <v>1133</v>
      </c>
      <c r="AB411" s="3">
        <f>SUMIF('Zinszahlungen Anleihen'!K:K,aktuelleAnleihen[[#This Row],[ISIN]],'Zinszahlungen Anleihen'!D:D)</f>
        <v>0</v>
      </c>
      <c r="AE411" s="9"/>
      <c r="AF411" s="1"/>
      <c r="AI411" s="3"/>
      <c r="AJ411" s="1"/>
      <c r="AM411" s="10"/>
      <c r="AN411" s="1"/>
      <c r="AP411" s="7"/>
      <c r="AQ411" s="1"/>
    </row>
    <row r="412" spans="1:43" x14ac:dyDescent="0.2">
      <c r="A412" s="1" t="s">
        <v>221</v>
      </c>
      <c r="B412" s="1" t="s">
        <v>0</v>
      </c>
      <c r="C412" s="7">
        <v>0.10249999999999999</v>
      </c>
      <c r="D412" s="7">
        <v>0.92059999999999997</v>
      </c>
      <c r="E412" s="7">
        <f>aktuelleAnleihen[[#This Row],[Aktueller Kurs]]-aktuelleAnleihen[[#This Row],[Kaufkurs]]</f>
        <v>1.7399999999999971E-2</v>
      </c>
      <c r="F412" s="8">
        <f>aktuelleAnleihen[[#This Row],[Stückelung]]*aktuelleAnleihen[[#This Row],[Aktueller Kurs]]*aktuelleAnleihen[[#This Row],[Anteile]]/aktuelleAnleihen[[#This Row],[Aktueller Wechselkurs]]+aktuelleAnleihen[[#This Row],[Stückzinsen]]</f>
        <v>1922.0767123287671</v>
      </c>
      <c r="G412" s="8">
        <f>aktuelleAnleihen[[#This Row],[Kursdifferenz]]*aktuelleAnleihen[[#This Row],[Anteile]]*aktuelleAnleihen[[#This Row],[Stückelung]]/aktuelleAnleihen[[#This Row],[Wechselkurs am Kauftag]]</f>
        <v>34.79999999999994</v>
      </c>
      <c r="H412" s="8">
        <f>aktuelleAnleihen[[#This Row],[Stückzinsen]]-aktuelleAnleihen[[#This Row],[Stückzinsen am Kauftag]]+aktuelleAnleihen[[#This Row],[Zinszahlungen]]</f>
        <v>36.506812328767126</v>
      </c>
      <c r="I412" s="8">
        <f>aktuelleAnleihen[[#This Row],[Gewinn gesamt]]-aktuelleAnleihen[[#This Row],[Gewinn aus Kursänderung]]-aktuelleAnleihen[[#This Row],[Gewinn aus Zinsen]]</f>
        <v>7.1054273576010019E-14</v>
      </c>
      <c r="J412" s="7">
        <f>aktuelleAnleihen[[#This Row],[Gewinn gesamt]]/aktuelleAnleihen[[#This Row],[Kaufpreis]]</f>
        <v>3.8528188906015351E-2</v>
      </c>
      <c r="K412" s="3">
        <f>aktuelleAnleihen[[#This Row],[Verkaufspreis]]-aktuelleAnleihen[[#This Row],[Kaufpreis]]+aktuelleAnleihen[[#This Row],[Zinszahlungen]]</f>
        <v>71.306812328767137</v>
      </c>
      <c r="L412" s="4">
        <v>1850.7699</v>
      </c>
      <c r="M412" s="7">
        <v>0.9032</v>
      </c>
      <c r="N412" s="61">
        <v>1</v>
      </c>
      <c r="O412" s="1">
        <v>1</v>
      </c>
      <c r="P412" s="1" t="s">
        <v>925</v>
      </c>
      <c r="Q412" s="30">
        <v>45385</v>
      </c>
      <c r="R412" s="1">
        <v>2</v>
      </c>
      <c r="S412" s="1">
        <v>1000</v>
      </c>
      <c r="T412" s="9">
        <v>45306</v>
      </c>
      <c r="U412" s="1">
        <v>2</v>
      </c>
      <c r="V412" s="62">
        <f>aktuelleAnleihen[[#This Row],[Stückelung]]*aktuelleAnleihen[[#This Row],[Anteile]]*aktuelleAnleihen[[#This Row],[Coupon]]/aktuelleAnleihen[[#This Row],[Aktueller Wechselkurs]]*($AC$1-aktuelleAnleihen[[#This Row],[Letzte Zinszahlung]])/365</f>
        <v>80.876712328767127</v>
      </c>
      <c r="W412" s="4">
        <v>44.369900000000001</v>
      </c>
      <c r="X412" s="120" t="s">
        <v>122</v>
      </c>
      <c r="Y412" s="120" t="s">
        <v>52</v>
      </c>
      <c r="Z412" s="1" t="s">
        <v>222</v>
      </c>
      <c r="AA412" s="1" t="s">
        <v>223</v>
      </c>
      <c r="AB412" s="3">
        <f>SUMIF('Zinszahlungen Anleihen'!K:K,aktuelleAnleihen[[#This Row],[ISIN]],'Zinszahlungen Anleihen'!D:D)</f>
        <v>0</v>
      </c>
      <c r="AE412" s="9"/>
      <c r="AF412" s="1"/>
      <c r="AI412" s="3"/>
      <c r="AJ412" s="1"/>
      <c r="AM412" s="10"/>
      <c r="AN412" s="1"/>
      <c r="AP412" s="7"/>
      <c r="AQ412" s="1"/>
    </row>
    <row r="413" spans="1:43" x14ac:dyDescent="0.2">
      <c r="A413" s="1" t="s">
        <v>1480</v>
      </c>
      <c r="B413" s="1" t="s">
        <v>0</v>
      </c>
      <c r="C413" s="7">
        <v>8.4559999999999996E-2</v>
      </c>
      <c r="D413" s="7">
        <v>0.97960000000000003</v>
      </c>
      <c r="E413" s="7">
        <f>aktuelleAnleihen[[#This Row],[Aktueller Kurs]]-aktuelleAnleihen[[#This Row],[Kaufkurs]]</f>
        <v>1.9000000000000017E-2</v>
      </c>
      <c r="F413" s="8">
        <f>aktuelleAnleihen[[#This Row],[Stückelung]]*aktuelleAnleihen[[#This Row],[Aktueller Kurs]]*aktuelleAnleihen[[#This Row],[Anteile]]/aktuelleAnleihen[[#This Row],[Aktueller Wechselkurs]]+aktuelleAnleihen[[#This Row],[Stückzinsen]]</f>
        <v>1821.4646503396673</v>
      </c>
      <c r="G413" s="8">
        <f>aktuelleAnleihen[[#This Row],[Kursdifferenz]]*aktuelleAnleihen[[#This Row],[Anteile]]*aktuelleAnleihen[[#This Row],[Stückelung]]/aktuelleAnleihen[[#This Row],[Wechselkurs am Kauftag]]</f>
        <v>35.437843886971962</v>
      </c>
      <c r="H413" s="8">
        <f>aktuelleAnleihen[[#This Row],[Stückzinsen]]-aktuelleAnleihen[[#This Row],[Stückzinsen am Kauftag]]+aktuelleAnleihen[[#This Row],[Zinszahlungen]]</f>
        <v>16.066613749822338</v>
      </c>
      <c r="I413" s="8">
        <f>aktuelleAnleihen[[#This Row],[Gewinn gesamt]]-aktuelleAnleihen[[#This Row],[Gewinn aus Kursänderung]]-aktuelleAnleihen[[#This Row],[Gewinn aus Zinsen]]</f>
        <v>-28.184107297126943</v>
      </c>
      <c r="J413" s="7">
        <f>aktuelleAnleihen[[#This Row],[Gewinn gesamt]]/aktuelleAnleihen[[#This Row],[Kaufpreis]]</f>
        <v>1.2969120631568532E-2</v>
      </c>
      <c r="K413" s="3">
        <f>aktuelleAnleihen[[#This Row],[Verkaufspreis]]-aktuelleAnleihen[[#This Row],[Kaufpreis]]+aktuelleAnleihen[[#This Row],[Zinszahlungen]]</f>
        <v>23.320350339667357</v>
      </c>
      <c r="L413" s="4">
        <v>1798.1442999999999</v>
      </c>
      <c r="M413" s="7">
        <v>0.96060000000000001</v>
      </c>
      <c r="N413" s="61">
        <v>1.0723</v>
      </c>
      <c r="O413" s="1">
        <v>1.0891</v>
      </c>
      <c r="P413" s="1" t="s">
        <v>887</v>
      </c>
      <c r="Q413" s="30">
        <v>45412</v>
      </c>
      <c r="R413" s="1">
        <v>2</v>
      </c>
      <c r="S413" s="1">
        <v>1000</v>
      </c>
      <c r="T413" s="9">
        <v>45397</v>
      </c>
      <c r="U413" s="1">
        <v>4</v>
      </c>
      <c r="V413" s="62">
        <f>aktuelleAnleihen[[#This Row],[Stückelung]]*aktuelleAnleihen[[#This Row],[Anteile]]*aktuelleAnleihen[[#This Row],[Coupon]]/aktuelleAnleihen[[#This Row],[Aktueller Wechselkurs]]*($AC$1-aktuelleAnleihen[[#This Row],[Letzte Zinszahlung]])/365</f>
        <v>22.548113749822338</v>
      </c>
      <c r="W413" s="4">
        <v>6.4814999999999996</v>
      </c>
      <c r="X413" s="120" t="s">
        <v>276</v>
      </c>
      <c r="Y413" s="120" t="s">
        <v>39</v>
      </c>
      <c r="Z413" s="1" t="s">
        <v>1481</v>
      </c>
      <c r="AA413" s="1" t="s">
        <v>1482</v>
      </c>
      <c r="AB413" s="3">
        <f>SUMIF('Zinszahlungen Anleihen'!K:K,aktuelleAnleihen[[#This Row],[ISIN]],'Zinszahlungen Anleihen'!D:D)</f>
        <v>0</v>
      </c>
      <c r="AE413" s="9"/>
      <c r="AF413" s="1"/>
      <c r="AI413" s="3"/>
      <c r="AJ413" s="1"/>
      <c r="AM413" s="10"/>
      <c r="AN413" s="1"/>
      <c r="AP413" s="7"/>
      <c r="AQ413" s="1"/>
    </row>
    <row r="414" spans="1:43" x14ac:dyDescent="0.2">
      <c r="A414" s="1" t="s">
        <v>1351</v>
      </c>
      <c r="B414" s="1" t="s">
        <v>5</v>
      </c>
      <c r="C414" s="7">
        <v>8.8749999999999996E-2</v>
      </c>
      <c r="D414" s="7">
        <v>0.97399999999999998</v>
      </c>
      <c r="E414" s="7">
        <f>aktuelleAnleihen[[#This Row],[Aktueller Kurs]]-aktuelleAnleihen[[#This Row],[Kaufkurs]]</f>
        <v>1.9000000000000017E-2</v>
      </c>
      <c r="F414" s="8">
        <f>aktuelleAnleihen[[#This Row],[Stückelung]]*aktuelleAnleihen[[#This Row],[Aktueller Kurs]]*aktuelleAnleihen[[#This Row],[Anteile]]/aktuelleAnleihen[[#This Row],[Aktueller Wechselkurs]]+aktuelleAnleihen[[#This Row],[Stückzinsen]]</f>
        <v>1792.2049499209477</v>
      </c>
      <c r="G414" s="8">
        <f>aktuelleAnleihen[[#This Row],[Kursdifferenz]]*aktuelleAnleihen[[#This Row],[Anteile]]*aktuelleAnleihen[[#This Row],[Stückelung]]/aktuelleAnleihen[[#This Row],[Wechselkurs am Kauftag]]</f>
        <v>35.437843886971962</v>
      </c>
      <c r="H414" s="8">
        <f>aktuelleAnleihen[[#This Row],[Stückzinsen]]-aktuelleAnleihen[[#This Row],[Stückzinsen am Kauftag]]+aktuelleAnleihen[[#This Row],[Zinszahlungen]]</f>
        <v>16.556269647451344</v>
      </c>
      <c r="I414" s="8">
        <f>aktuelleAnleihen[[#This Row],[Gewinn gesamt]]-aktuelleAnleihen[[#This Row],[Gewinn aus Kursänderung]]-aktuelleAnleihen[[#This Row],[Gewinn aus Zinsen]]</f>
        <v>-28.02292780029498</v>
      </c>
      <c r="J414" s="7">
        <f>aktuelleAnleihen[[#This Row],[Gewinn gesamt]]/aktuelleAnleihen[[#This Row],[Kaufpreis]]</f>
        <v>1.2956334574345913E-2</v>
      </c>
      <c r="K414" s="3">
        <f>aktuelleAnleihen[[#This Row],[Verkaufspreis]]-aktuelleAnleihen[[#This Row],[Kaufpreis]]+aktuelleAnleihen[[#This Row],[Zinszahlungen]]</f>
        <v>23.971185734128326</v>
      </c>
      <c r="L414" s="4">
        <v>1850.1518000000001</v>
      </c>
      <c r="M414" s="7">
        <v>0.95499999999999996</v>
      </c>
      <c r="N414" s="61">
        <v>1.0723</v>
      </c>
      <c r="O414" s="1">
        <v>1.0891</v>
      </c>
      <c r="P414" s="1" t="s">
        <v>887</v>
      </c>
      <c r="Q414" s="30">
        <v>45412</v>
      </c>
      <c r="R414" s="1">
        <v>2</v>
      </c>
      <c r="S414" s="1">
        <v>1000</v>
      </c>
      <c r="T414" s="9">
        <v>45442</v>
      </c>
      <c r="U414" s="1">
        <v>2</v>
      </c>
      <c r="V414" s="62">
        <f>aktuelleAnleihen[[#This Row],[Stückelung]]*aktuelleAnleihen[[#This Row],[Anteile]]*aktuelleAnleihen[[#This Row],[Coupon]]/aktuelleAnleihen[[#This Row],[Aktueller Wechselkurs]]*($AC$1-aktuelleAnleihen[[#This Row],[Letzte Zinszahlung]])/365</f>
        <v>3.5721338342705997</v>
      </c>
      <c r="W414" s="4">
        <v>68.933899999999994</v>
      </c>
      <c r="X414" s="120" t="s">
        <v>276</v>
      </c>
      <c r="Y414" s="120" t="s">
        <v>39</v>
      </c>
      <c r="Z414" s="1" t="s">
        <v>1359</v>
      </c>
      <c r="AA414" s="1" t="s">
        <v>1360</v>
      </c>
      <c r="AB414" s="3">
        <f>SUMIF('Zinszahlungen Anleihen'!K:K,aktuelleAnleihen[[#This Row],[ISIN]],'Zinszahlungen Anleihen'!D:D)</f>
        <v>81.918035813180737</v>
      </c>
      <c r="AE414" s="9"/>
      <c r="AF414" s="1"/>
      <c r="AI414" s="3"/>
      <c r="AJ414" s="1"/>
      <c r="AM414" s="10"/>
      <c r="AN414" s="1"/>
      <c r="AP414" s="7"/>
      <c r="AQ414" s="1"/>
    </row>
    <row r="415" spans="1:43" x14ac:dyDescent="0.2">
      <c r="A415" s="1" t="s">
        <v>616</v>
      </c>
      <c r="B415" s="1" t="s">
        <v>10</v>
      </c>
      <c r="C415" s="7">
        <v>7.2499999999999995E-2</v>
      </c>
      <c r="D415" s="7">
        <v>1.0388999999999999</v>
      </c>
      <c r="E415" s="7">
        <f>aktuelleAnleihen[[#This Row],[Aktueller Kurs]]-aktuelleAnleihen[[#This Row],[Kaufkurs]]</f>
        <v>1.7800000000000038E-2</v>
      </c>
      <c r="F415" s="8">
        <f>aktuelleAnleihen[[#This Row],[Stückelung]]*aktuelleAnleihen[[#This Row],[Aktueller Kurs]]*aktuelleAnleihen[[#This Row],[Anteile]]/aktuelleAnleihen[[#This Row],[Aktueller Wechselkurs]]+aktuelleAnleihen[[#This Row],[Stückzinsen]]</f>
        <v>2140.5671232876712</v>
      </c>
      <c r="G415" s="8">
        <f>aktuelleAnleihen[[#This Row],[Kursdifferenz]]*aktuelleAnleihen[[#This Row],[Anteile]]*aktuelleAnleihen[[#This Row],[Stückelung]]/aktuelleAnleihen[[#This Row],[Wechselkurs am Kauftag]]</f>
        <v>35.60000000000008</v>
      </c>
      <c r="H415" s="8">
        <f>aktuelleAnleihen[[#This Row],[Stückzinsen]]-aktuelleAnleihen[[#This Row],[Stückzinsen am Kauftag]]+aktuelleAnleihen[[#This Row],[Zinszahlungen]]</f>
        <v>25.821923287671233</v>
      </c>
      <c r="I415" s="8">
        <f>aktuelleAnleihen[[#This Row],[Gewinn gesamt]]-aktuelleAnleihen[[#This Row],[Gewinn aus Kursänderung]]-aktuelleAnleihen[[#This Row],[Gewinn aus Zinsen]]</f>
        <v>-7.815970093361102E-14</v>
      </c>
      <c r="J415" s="7">
        <f>aktuelleAnleihen[[#This Row],[Gewinn gesamt]]/aktuelleAnleihen[[#This Row],[Kaufpreis]]</f>
        <v>2.9541911400738745E-2</v>
      </c>
      <c r="K415" s="3">
        <f>aktuelleAnleihen[[#This Row],[Verkaufspreis]]-aktuelleAnleihen[[#This Row],[Kaufpreis]]+aktuelleAnleihen[[#This Row],[Zinszahlungen]]</f>
        <v>61.421923287671234</v>
      </c>
      <c r="L415" s="4">
        <v>2079.1451999999999</v>
      </c>
      <c r="M415" s="7">
        <v>1.0210999999999999</v>
      </c>
      <c r="N415" s="61">
        <v>1</v>
      </c>
      <c r="O415" s="1">
        <v>1</v>
      </c>
      <c r="P415" s="1" t="s">
        <v>925</v>
      </c>
      <c r="Q415" s="30">
        <v>45385</v>
      </c>
      <c r="R415" s="1">
        <v>2</v>
      </c>
      <c r="S415" s="1">
        <v>1000</v>
      </c>
      <c r="T415" s="9">
        <v>45292</v>
      </c>
      <c r="U415" s="1">
        <v>2</v>
      </c>
      <c r="V415" s="62">
        <f>aktuelleAnleihen[[#This Row],[Stückelung]]*aktuelleAnleihen[[#This Row],[Anteile]]*aktuelleAnleihen[[#This Row],[Coupon]]/aktuelleAnleihen[[#This Row],[Aktueller Wechselkurs]]*($AC$1-aktuelleAnleihen[[#This Row],[Letzte Zinszahlung]])/365</f>
        <v>62.767123287671232</v>
      </c>
      <c r="W415" s="4">
        <v>36.9452</v>
      </c>
      <c r="X415" s="120" t="s">
        <v>65</v>
      </c>
      <c r="Y415" s="120" t="s">
        <v>61</v>
      </c>
      <c r="Z415" s="1" t="s">
        <v>617</v>
      </c>
      <c r="AA415" s="1" t="s">
        <v>618</v>
      </c>
      <c r="AB415" s="3">
        <f>SUMIF('Zinszahlungen Anleihen'!K:K,aktuelleAnleihen[[#This Row],[ISIN]],'Zinszahlungen Anleihen'!D:D)</f>
        <v>0</v>
      </c>
      <c r="AE415" s="9"/>
      <c r="AF415" s="1"/>
      <c r="AI415" s="3"/>
      <c r="AJ415" s="1"/>
      <c r="AM415" s="10"/>
      <c r="AN415" s="1"/>
      <c r="AP415" s="7"/>
      <c r="AQ415" s="1"/>
    </row>
    <row r="416" spans="1:43" x14ac:dyDescent="0.2">
      <c r="A416" s="1" t="s">
        <v>414</v>
      </c>
      <c r="B416" s="1" t="s">
        <v>10</v>
      </c>
      <c r="C416" s="7">
        <v>8.2500000000000004E-2</v>
      </c>
      <c r="D416" s="7">
        <v>1.0605</v>
      </c>
      <c r="E416" s="7">
        <f>aktuelleAnleihen[[#This Row],[Aktueller Kurs]]-aktuelleAnleihen[[#This Row],[Kaufkurs]]</f>
        <v>1.7800000000000038E-2</v>
      </c>
      <c r="F416" s="8">
        <f>aktuelleAnleihen[[#This Row],[Stückelung]]*aktuelleAnleihen[[#This Row],[Aktueller Kurs]]*aktuelleAnleihen[[#This Row],[Anteile]]/aktuelleAnleihen[[#This Row],[Aktueller Wechselkurs]]+aktuelleAnleihen[[#This Row],[Stückzinsen]]</f>
        <v>2179.3150684931506</v>
      </c>
      <c r="G416" s="8">
        <f>aktuelleAnleihen[[#This Row],[Kursdifferenz]]*aktuelleAnleihen[[#This Row],[Anteile]]*aktuelleAnleihen[[#This Row],[Stückelung]]/aktuelleAnleihen[[#This Row],[Wechselkurs am Kauftag]]</f>
        <v>35.60000000000008</v>
      </c>
      <c r="H416" s="8">
        <f>aktuelleAnleihen[[#This Row],[Stückzinsen]]-aktuelleAnleihen[[#This Row],[Stückzinsen am Kauftag]]+aktuelleAnleihen[[#This Row],[Zinszahlungen]]</f>
        <v>29.383568493150683</v>
      </c>
      <c r="I416" s="8">
        <f>aktuelleAnleihen[[#This Row],[Gewinn gesamt]]-aktuelleAnleihen[[#This Row],[Gewinn aus Kursänderung]]-aktuelleAnleihen[[#This Row],[Gewinn aus Zinsen]]</f>
        <v>1.0658141036401503E-13</v>
      </c>
      <c r="J416" s="7">
        <f>aktuelleAnleihen[[#This Row],[Gewinn gesamt]]/aktuelleAnleihen[[#This Row],[Kaufpreis]]</f>
        <v>3.0734806009914187E-2</v>
      </c>
      <c r="K416" s="3">
        <f>aktuelleAnleihen[[#This Row],[Verkaufspreis]]-aktuelleAnleihen[[#This Row],[Kaufpreis]]+aktuelleAnleihen[[#This Row],[Zinszahlungen]]</f>
        <v>64.983568493150869</v>
      </c>
      <c r="L416" s="4">
        <v>2114.3314999999998</v>
      </c>
      <c r="M416" s="7">
        <v>1.0427</v>
      </c>
      <c r="N416" s="61">
        <v>1</v>
      </c>
      <c r="O416" s="1">
        <v>1</v>
      </c>
      <c r="P416" s="1" t="s">
        <v>925</v>
      </c>
      <c r="Q416" s="30">
        <v>45385</v>
      </c>
      <c r="R416" s="1">
        <v>2</v>
      </c>
      <c r="S416" s="1">
        <v>1000</v>
      </c>
      <c r="T416" s="9">
        <v>45321</v>
      </c>
      <c r="U416" s="1">
        <v>2</v>
      </c>
      <c r="V416" s="62">
        <f>aktuelleAnleihen[[#This Row],[Stückelung]]*aktuelleAnleihen[[#This Row],[Anteile]]*aktuelleAnleihen[[#This Row],[Coupon]]/aktuelleAnleihen[[#This Row],[Aktueller Wechselkurs]]*($AC$1-aktuelleAnleihen[[#This Row],[Letzte Zinszahlung]])/365</f>
        <v>58.315068493150683</v>
      </c>
      <c r="W416" s="4">
        <v>28.9315</v>
      </c>
      <c r="X416" s="120" t="s">
        <v>65</v>
      </c>
      <c r="Y416" s="120" t="s">
        <v>61</v>
      </c>
      <c r="Z416" s="1" t="s">
        <v>415</v>
      </c>
      <c r="AA416" s="1" t="s">
        <v>416</v>
      </c>
      <c r="AB416" s="3">
        <f>SUMIF('Zinszahlungen Anleihen'!K:K,aktuelleAnleihen[[#This Row],[ISIN]],'Zinszahlungen Anleihen'!D:D)</f>
        <v>0</v>
      </c>
      <c r="AE416" s="9"/>
      <c r="AF416" s="1"/>
      <c r="AI416" s="3"/>
      <c r="AJ416" s="1"/>
      <c r="AM416" s="10"/>
      <c r="AN416" s="1"/>
      <c r="AP416" s="7"/>
      <c r="AQ416" s="1"/>
    </row>
    <row r="417" spans="1:43" x14ac:dyDescent="0.2">
      <c r="A417" s="1" t="s">
        <v>378</v>
      </c>
      <c r="B417" s="1" t="s">
        <v>7</v>
      </c>
      <c r="C417" s="7">
        <v>8.5000000000000006E-2</v>
      </c>
      <c r="D417" s="7">
        <v>0.60860000000000003</v>
      </c>
      <c r="E417" s="7">
        <f>aktuelleAnleihen[[#This Row],[Aktueller Kurs]]-aktuelleAnleihen[[#This Row],[Kaufkurs]]</f>
        <v>1.7900000000000027E-2</v>
      </c>
      <c r="F417" s="8">
        <f>aktuelleAnleihen[[#This Row],[Stückelung]]*aktuelleAnleihen[[#This Row],[Aktueller Kurs]]*aktuelleAnleihen[[#This Row],[Anteile]]/aktuelleAnleihen[[#This Row],[Aktueller Wechselkurs]]+aktuelleAnleihen[[#This Row],[Stückzinsen]]</f>
        <v>1229.3095890410959</v>
      </c>
      <c r="G417" s="8">
        <f>aktuelleAnleihen[[#This Row],[Kursdifferenz]]*aktuelleAnleihen[[#This Row],[Anteile]]*aktuelleAnleihen[[#This Row],[Stückelung]]/aktuelleAnleihen[[#This Row],[Wechselkurs am Kauftag]]</f>
        <v>35.800000000000054</v>
      </c>
      <c r="H417" s="8">
        <f>aktuelleAnleihen[[#This Row],[Stückzinsen]]-aktuelleAnleihen[[#This Row],[Stückzinsen am Kauftag]]+aktuelleAnleihen[[#This Row],[Zinszahlungen]]</f>
        <v>30.506889041095889</v>
      </c>
      <c r="I417" s="8">
        <f>aktuelleAnleihen[[#This Row],[Gewinn gesamt]]-aktuelleAnleihen[[#This Row],[Gewinn aus Kursänderung]]-aktuelleAnleihen[[#This Row],[Gewinn aus Zinsen]]</f>
        <v>0</v>
      </c>
      <c r="J417" s="7">
        <f>aktuelleAnleihen[[#This Row],[Gewinn gesamt]]/aktuelleAnleihen[[#This Row],[Kaufpreis]]</f>
        <v>5.313040511939271E-2</v>
      </c>
      <c r="K417" s="3">
        <f>aktuelleAnleihen[[#This Row],[Verkaufspreis]]-aktuelleAnleihen[[#This Row],[Kaufpreis]]+aktuelleAnleihen[[#This Row],[Zinszahlungen]]</f>
        <v>66.306889041095928</v>
      </c>
      <c r="L417" s="4">
        <v>1248.0027</v>
      </c>
      <c r="M417" s="7">
        <v>0.5907</v>
      </c>
      <c r="N417" s="61">
        <v>1</v>
      </c>
      <c r="O417" s="1">
        <v>1</v>
      </c>
      <c r="P417" s="1" t="s">
        <v>925</v>
      </c>
      <c r="Q417" s="30">
        <v>45385</v>
      </c>
      <c r="R417" s="1">
        <v>2</v>
      </c>
      <c r="S417" s="1">
        <v>1000</v>
      </c>
      <c r="T417" s="9">
        <v>45424</v>
      </c>
      <c r="U417" s="1">
        <v>2</v>
      </c>
      <c r="V417" s="62">
        <f>aktuelleAnleihen[[#This Row],[Stückelung]]*aktuelleAnleihen[[#This Row],[Anteile]]*aktuelleAnleihen[[#This Row],[Coupon]]/aktuelleAnleihen[[#This Row],[Aktueller Wechselkurs]]*($AC$1-aktuelleAnleihen[[#This Row],[Letzte Zinszahlung]])/365</f>
        <v>12.109589041095891</v>
      </c>
      <c r="W417" s="4">
        <v>66.602699999999999</v>
      </c>
      <c r="X417" s="120" t="s">
        <v>51</v>
      </c>
      <c r="Y417" s="120" t="s">
        <v>268</v>
      </c>
      <c r="Z417" s="1" t="s">
        <v>379</v>
      </c>
      <c r="AA417" s="1" t="s">
        <v>380</v>
      </c>
      <c r="AB417" s="3">
        <f>SUMIF('Zinszahlungen Anleihen'!K:K,aktuelleAnleihen[[#This Row],[ISIN]],'Zinszahlungen Anleihen'!D:D)</f>
        <v>85</v>
      </c>
      <c r="AE417" s="9"/>
      <c r="AF417" s="1"/>
      <c r="AI417" s="3"/>
      <c r="AJ417" s="1"/>
      <c r="AM417" s="10"/>
      <c r="AN417" s="1"/>
      <c r="AP417" s="7"/>
      <c r="AQ417" s="1"/>
    </row>
    <row r="418" spans="1:43" x14ac:dyDescent="0.2">
      <c r="A418" s="1" t="s">
        <v>1434</v>
      </c>
      <c r="B418" s="1" t="s">
        <v>4</v>
      </c>
      <c r="C418" s="7">
        <v>8.2500000000000004E-2</v>
      </c>
      <c r="D418" s="7">
        <v>1.0386</v>
      </c>
      <c r="E418" s="7">
        <f>aktuelleAnleihen[[#This Row],[Aktueller Kurs]]-aktuelleAnleihen[[#This Row],[Kaufkurs]]</f>
        <v>1.9299999999999873E-2</v>
      </c>
      <c r="F418" s="8">
        <f>aktuelleAnleihen[[#This Row],[Stückelung]]*aktuelleAnleihen[[#This Row],[Aktueller Kurs]]*aktuelleAnleihen[[#This Row],[Anteile]]/aktuelleAnleihen[[#This Row],[Aktueller Wechselkurs]]+aktuelleAnleihen[[#This Row],[Stückzinsen]]</f>
        <v>1967.0332296492138</v>
      </c>
      <c r="G418" s="8">
        <f>aktuelleAnleihen[[#This Row],[Kursdifferenz]]*aktuelleAnleihen[[#This Row],[Anteile]]*aktuelleAnleihen[[#This Row],[Stückelung]]/aktuelleAnleihen[[#This Row],[Wechselkurs am Kauftag]]</f>
        <v>35.997388790450195</v>
      </c>
      <c r="H418" s="8">
        <f>aktuelleAnleihen[[#This Row],[Stückzinsen]]-aktuelleAnleihen[[#This Row],[Stückzinsen am Kauftag]]+aktuelleAnleihen[[#This Row],[Zinszahlungen]]</f>
        <v>15.083452043851715</v>
      </c>
      <c r="I418" s="8">
        <f>aktuelleAnleihen[[#This Row],[Gewinn gesamt]]-aktuelleAnleihen[[#This Row],[Gewinn aus Kursänderung]]-aktuelleAnleihen[[#This Row],[Gewinn aus Zinsen]]</f>
        <v>-29.881611185088161</v>
      </c>
      <c r="J418" s="7">
        <f>aktuelleAnleihen[[#This Row],[Gewinn gesamt]]/aktuelleAnleihen[[#This Row],[Kaufpreis]]</f>
        <v>1.0894675316195394E-2</v>
      </c>
      <c r="K418" s="3">
        <f>aktuelleAnleihen[[#This Row],[Verkaufspreis]]-aktuelleAnleihen[[#This Row],[Kaufpreis]]+aktuelleAnleihen[[#This Row],[Zinszahlungen]]</f>
        <v>21.199229649213748</v>
      </c>
      <c r="L418" s="4">
        <v>1945.8340000000001</v>
      </c>
      <c r="M418" s="7">
        <v>1.0193000000000001</v>
      </c>
      <c r="N418" s="61">
        <v>1.0723</v>
      </c>
      <c r="O418" s="1">
        <v>1.0891</v>
      </c>
      <c r="P418" s="1" t="s">
        <v>887</v>
      </c>
      <c r="Q418" s="30">
        <v>45412</v>
      </c>
      <c r="R418" s="1">
        <v>2</v>
      </c>
      <c r="S418" s="1">
        <v>1000</v>
      </c>
      <c r="T418" s="9">
        <v>45306</v>
      </c>
      <c r="U418" s="1">
        <v>2</v>
      </c>
      <c r="V418" s="62">
        <f>aktuelleAnleihen[[#This Row],[Stückelung]]*aktuelleAnleihen[[#This Row],[Anteile]]*aktuelleAnleihen[[#This Row],[Coupon]]/aktuelleAnleihen[[#This Row],[Aktueller Wechselkurs]]*($AC$1-aktuelleAnleihen[[#This Row],[Letzte Zinszahlung]])/365</f>
        <v>59.770352043851716</v>
      </c>
      <c r="W418" s="4">
        <v>44.686900000000001</v>
      </c>
      <c r="X418" s="120" t="s">
        <v>1096</v>
      </c>
      <c r="Y418" s="120" t="s">
        <v>39</v>
      </c>
      <c r="Z418" s="1" t="s">
        <v>1536</v>
      </c>
      <c r="AA418" s="1" t="s">
        <v>1537</v>
      </c>
      <c r="AB418" s="3">
        <f>SUMIF('Zinszahlungen Anleihen'!K:K,aktuelleAnleihen[[#This Row],[ISIN]],'Zinszahlungen Anleihen'!D:D)</f>
        <v>0</v>
      </c>
      <c r="AE418" s="9"/>
      <c r="AF418" s="1"/>
      <c r="AI418" s="3"/>
      <c r="AJ418" s="1"/>
      <c r="AM418" s="10"/>
      <c r="AN418" s="1"/>
      <c r="AP418" s="7"/>
      <c r="AQ418" s="1"/>
    </row>
    <row r="419" spans="1:43" x14ac:dyDescent="0.2">
      <c r="A419" s="1" t="s">
        <v>1189</v>
      </c>
      <c r="B419" s="1" t="s">
        <v>0</v>
      </c>
      <c r="C419" s="7">
        <v>9.5000000000000001E-2</v>
      </c>
      <c r="D419" s="7">
        <v>0.97130000000000005</v>
      </c>
      <c r="E419" s="7">
        <f>aktuelleAnleihen[[#This Row],[Aktueller Kurs]]-aktuelleAnleihen[[#This Row],[Kaufkurs]]</f>
        <v>1.980000000000004E-2</v>
      </c>
      <c r="F419" s="8">
        <f>aktuelleAnleihen[[#This Row],[Stückelung]]*aktuelleAnleihen[[#This Row],[Aktueller Kurs]]*aktuelleAnleihen[[#This Row],[Anteile]]/aktuelleAnleihen[[#This Row],[Aktueller Wechselkurs]]+aktuelleAnleihen[[#This Row],[Stückzinsen]]</f>
        <v>1842.4638667342522</v>
      </c>
      <c r="G419" s="8">
        <f>aktuelleAnleihen[[#This Row],[Kursdifferenz]]*aktuelleAnleihen[[#This Row],[Anteile]]*aktuelleAnleihen[[#This Row],[Stückelung]]/aktuelleAnleihen[[#This Row],[Wechselkurs am Kauftag]]</f>
        <v>36.929963629581344</v>
      </c>
      <c r="H419" s="8">
        <f>aktuelleAnleihen[[#This Row],[Stückzinsen]]-aktuelleAnleihen[[#This Row],[Stückzinsen am Kauftag]]+aktuelleAnleihen[[#This Row],[Zinszahlungen]]</f>
        <v>17.526073033030926</v>
      </c>
      <c r="I419" s="8">
        <f>aktuelleAnleihen[[#This Row],[Gewinn gesamt]]-aktuelleAnleihen[[#This Row],[Gewinn aus Kursänderung]]-aktuelleAnleihen[[#This Row],[Gewinn aus Zinsen]]</f>
        <v>-27.945369928360016</v>
      </c>
      <c r="J419" s="7">
        <f>aktuelleAnleihen[[#This Row],[Gewinn gesamt]]/aktuelleAnleihen[[#This Row],[Kaufpreis]]</f>
        <v>1.459876098913356E-2</v>
      </c>
      <c r="K419" s="3">
        <f>aktuelleAnleihen[[#This Row],[Verkaufspreis]]-aktuelleAnleihen[[#This Row],[Kaufpreis]]+aktuelleAnleihen[[#This Row],[Zinszahlungen]]</f>
        <v>26.510666734252254</v>
      </c>
      <c r="L419" s="4">
        <v>1815.9531999999999</v>
      </c>
      <c r="M419" s="7">
        <v>0.95150000000000001</v>
      </c>
      <c r="N419" s="61">
        <v>1.0723</v>
      </c>
      <c r="O419" s="1">
        <v>1.0891</v>
      </c>
      <c r="P419" s="1" t="s">
        <v>887</v>
      </c>
      <c r="Q419" s="30">
        <v>45412</v>
      </c>
      <c r="R419" s="1">
        <v>2</v>
      </c>
      <c r="S419" s="1">
        <v>1000</v>
      </c>
      <c r="T419" s="9">
        <v>45327</v>
      </c>
      <c r="U419" s="1">
        <v>2</v>
      </c>
      <c r="V419" s="62">
        <f>aktuelleAnleihen[[#This Row],[Stückelung]]*aktuelleAnleihen[[#This Row],[Anteile]]*aktuelleAnleihen[[#This Row],[Coupon]]/aktuelleAnleihen[[#This Row],[Aktueller Wechselkurs]]*($AC$1-aktuelleAnleihen[[#This Row],[Letzte Zinszahlung]])/365</f>
        <v>58.789273033030923</v>
      </c>
      <c r="W419" s="4">
        <v>41.263199999999998</v>
      </c>
      <c r="X419" s="120" t="s">
        <v>1190</v>
      </c>
      <c r="Y419" s="120" t="s">
        <v>39</v>
      </c>
      <c r="Z419" s="1" t="s">
        <v>1191</v>
      </c>
      <c r="AA419" s="1" t="s">
        <v>1192</v>
      </c>
      <c r="AB419" s="3">
        <f>SUMIF('Zinszahlungen Anleihen'!K:K,aktuelleAnleihen[[#This Row],[ISIN]],'Zinszahlungen Anleihen'!D:D)</f>
        <v>0</v>
      </c>
      <c r="AE419" s="9"/>
      <c r="AF419" s="1"/>
      <c r="AI419" s="3"/>
      <c r="AJ419" s="1"/>
      <c r="AM419" s="10"/>
      <c r="AN419" s="1"/>
      <c r="AP419" s="7"/>
      <c r="AQ419" s="1"/>
    </row>
    <row r="420" spans="1:43" x14ac:dyDescent="0.2">
      <c r="A420" s="1" t="s">
        <v>1213</v>
      </c>
      <c r="B420" s="1" t="s">
        <v>11</v>
      </c>
      <c r="C420" s="7">
        <v>9.375E-2</v>
      </c>
      <c r="D420" s="7">
        <v>1.1074999999999999</v>
      </c>
      <c r="E420" s="7">
        <f>aktuelleAnleihen[[#This Row],[Aktueller Kurs]]-aktuelleAnleihen[[#This Row],[Kaufkurs]]</f>
        <v>2.0299999999999985E-2</v>
      </c>
      <c r="F420" s="8">
        <f>aktuelleAnleihen[[#This Row],[Stückelung]]*aktuelleAnleihen[[#This Row],[Aktueller Kurs]]*aktuelleAnleihen[[#This Row],[Anteile]]/aktuelleAnleihen[[#This Row],[Aktueller Wechselkurs]]+aktuelleAnleihen[[#This Row],[Stückzinsen]]</f>
        <v>2065.3914316584137</v>
      </c>
      <c r="G420" s="8">
        <f>aktuelleAnleihen[[#This Row],[Kursdifferenz]]*aktuelleAnleihen[[#This Row],[Anteile]]*aktuelleAnleihen[[#This Row],[Stückelung]]/aktuelleAnleihen[[#This Row],[Wechselkurs am Kauftag]]</f>
        <v>37.862538468712081</v>
      </c>
      <c r="H420" s="8">
        <f>aktuelleAnleihen[[#This Row],[Stückzinsen]]-aktuelleAnleihen[[#This Row],[Stückzinsen am Kauftag]]+aktuelleAnleihen[[#This Row],[Zinszahlungen]]</f>
        <v>17.709264290862251</v>
      </c>
      <c r="I420" s="8">
        <f>aktuelleAnleihen[[#This Row],[Gewinn gesamt]]-aktuelleAnleihen[[#This Row],[Gewinn aus Kursänderung]]-aktuelleAnleihen[[#This Row],[Gewinn aus Zinsen]]</f>
        <v>-31.863871101160733</v>
      </c>
      <c r="J420" s="7">
        <f>aktuelleAnleihen[[#This Row],[Gewinn gesamt]]/aktuelleAnleihen[[#This Row],[Kaufpreis]]</f>
        <v>1.1611952419860178E-2</v>
      </c>
      <c r="K420" s="3">
        <f>aktuelleAnleihen[[#This Row],[Verkaufspreis]]-aktuelleAnleihen[[#This Row],[Kaufpreis]]+aktuelleAnleihen[[#This Row],[Zinszahlungen]]</f>
        <v>23.7079316584136</v>
      </c>
      <c r="L420" s="4">
        <v>2041.6835000000001</v>
      </c>
      <c r="M420" s="7">
        <v>1.0871999999999999</v>
      </c>
      <c r="N420" s="61">
        <v>1.0723</v>
      </c>
      <c r="O420" s="1">
        <v>1.0891</v>
      </c>
      <c r="P420" s="1" t="s">
        <v>887</v>
      </c>
      <c r="Q420" s="30">
        <v>45412</v>
      </c>
      <c r="R420" s="1">
        <v>2</v>
      </c>
      <c r="S420" s="1">
        <v>1000</v>
      </c>
      <c r="T420" s="9">
        <v>45383</v>
      </c>
      <c r="U420" s="1">
        <v>2</v>
      </c>
      <c r="V420" s="62">
        <f>aktuelleAnleihen[[#This Row],[Stückelung]]*aktuelleAnleihen[[#This Row],[Anteile]]*aktuelleAnleihen[[#This Row],[Coupon]]/aktuelleAnleihen[[#This Row],[Aktueller Wechselkurs]]*($AC$1-aktuelleAnleihen[[#This Row],[Letzte Zinszahlung]])/365</f>
        <v>31.602064290862252</v>
      </c>
      <c r="W420" s="4">
        <v>13.892799999999999</v>
      </c>
      <c r="X420" s="120" t="s">
        <v>533</v>
      </c>
      <c r="Y420" s="120" t="s">
        <v>39</v>
      </c>
      <c r="Z420" s="1" t="s">
        <v>1214</v>
      </c>
      <c r="AA420" s="1" t="s">
        <v>1215</v>
      </c>
      <c r="AB420" s="3">
        <f>SUMIF('Zinszahlungen Anleihen'!K:K,aktuelleAnleihen[[#This Row],[ISIN]],'Zinszahlungen Anleihen'!D:D)</f>
        <v>0</v>
      </c>
      <c r="AE420" s="9"/>
      <c r="AF420" s="1"/>
      <c r="AI420" s="3"/>
      <c r="AJ420" s="1"/>
      <c r="AM420" s="10"/>
      <c r="AN420" s="1"/>
      <c r="AP420" s="7"/>
      <c r="AQ420" s="1"/>
    </row>
    <row r="421" spans="1:43" x14ac:dyDescent="0.2">
      <c r="A421" s="1" t="s">
        <v>1567</v>
      </c>
      <c r="B421" s="1" t="s">
        <v>9</v>
      </c>
      <c r="C421" s="7">
        <v>8.4499999999999992E-2</v>
      </c>
      <c r="D421" s="7">
        <v>0.83290000000000008</v>
      </c>
      <c r="E421" s="7">
        <f>aktuelleAnleihen[[#This Row],[Aktueller Kurs]]-aktuelleAnleihen[[#This Row],[Kaufkurs]]</f>
        <v>2.100000000000013E-2</v>
      </c>
      <c r="F421" s="8">
        <f>aktuelleAnleihen[[#This Row],[Stückelung]]*aktuelleAnleihen[[#This Row],[Aktueller Kurs]]*aktuelleAnleihen[[#This Row],[Anteile]]/aktuelleAnleihen[[#This Row],[Aktueller Wechselkurs]]+aktuelleAnleihen[[#This Row],[Stückzinsen]]</f>
        <v>1546.1000222629468</v>
      </c>
      <c r="G421" s="8">
        <f>aktuelleAnleihen[[#This Row],[Kursdifferenz]]*aktuelleAnleihen[[#This Row],[Anteile]]*aktuelleAnleihen[[#This Row],[Stückelung]]/aktuelleAnleihen[[#This Row],[Wechselkurs am Kauftag]]</f>
        <v>39.168143243495528</v>
      </c>
      <c r="H421" s="8">
        <f>aktuelleAnleihen[[#This Row],[Stückzinsen]]-aktuelleAnleihen[[#This Row],[Stückzinsen am Kauftag]]+aktuelleAnleihen[[#This Row],[Zinszahlungen]]</f>
        <v>16.148435282871493</v>
      </c>
      <c r="I421" s="8">
        <f>aktuelleAnleihen[[#This Row],[Gewinn gesamt]]-aktuelleAnleihen[[#This Row],[Gewinn aus Kursänderung]]-aktuelleAnleihen[[#This Row],[Gewinn aus Zinsen]]</f>
        <v>-23.963356263420092</v>
      </c>
      <c r="J421" s="7">
        <f>aktuelleAnleihen[[#This Row],[Gewinn gesamt]]/aktuelleAnleihen[[#This Row],[Kaufpreis]]</f>
        <v>2.0698655552827003E-2</v>
      </c>
      <c r="K421" s="3">
        <f>aktuelleAnleihen[[#This Row],[Verkaufspreis]]-aktuelleAnleihen[[#This Row],[Kaufpreis]]+aktuelleAnleihen[[#This Row],[Zinszahlungen]]</f>
        <v>31.353222262946929</v>
      </c>
      <c r="L421" s="4">
        <v>1514.7467999999999</v>
      </c>
      <c r="M421" s="7">
        <v>0.81189999999999996</v>
      </c>
      <c r="N421" s="61">
        <v>1.0723</v>
      </c>
      <c r="O421" s="1">
        <v>1.0891</v>
      </c>
      <c r="P421" s="1" t="s">
        <v>887</v>
      </c>
      <c r="Q421" s="30">
        <v>45412</v>
      </c>
      <c r="R421" s="1">
        <v>2</v>
      </c>
      <c r="S421" s="1">
        <v>1000</v>
      </c>
      <c r="T421" s="9">
        <v>45411</v>
      </c>
      <c r="U421" s="1">
        <v>2</v>
      </c>
      <c r="V421" s="62">
        <f>aktuelleAnleihen[[#This Row],[Stückelung]]*aktuelleAnleihen[[#This Row],[Anteile]]*aktuelleAnleihen[[#This Row],[Coupon]]/aktuelleAnleihen[[#This Row],[Aktueller Wechselkurs]]*($AC$1-aktuelleAnleihen[[#This Row],[Letzte Zinszahlung]])/365</f>
        <v>16.580235282871492</v>
      </c>
      <c r="W421" s="4">
        <v>0.43180000000000002</v>
      </c>
      <c r="X421" s="120" t="s">
        <v>176</v>
      </c>
      <c r="Y421" s="120" t="s">
        <v>52</v>
      </c>
      <c r="Z421" s="1" t="s">
        <v>1568</v>
      </c>
      <c r="AA421" s="1" t="s">
        <v>1569</v>
      </c>
      <c r="AB421" s="3">
        <f>SUMIF('Zinszahlungen Anleihen'!K:K,aktuelleAnleihen[[#This Row],[ISIN]],'Zinszahlungen Anleihen'!D:D)</f>
        <v>0</v>
      </c>
      <c r="AE421" s="9"/>
      <c r="AF421" s="1"/>
      <c r="AI421" s="3"/>
      <c r="AJ421" s="1"/>
      <c r="AM421" s="10"/>
      <c r="AN421" s="1"/>
      <c r="AP421" s="7"/>
      <c r="AQ421" s="1"/>
    </row>
    <row r="422" spans="1:43" x14ac:dyDescent="0.2">
      <c r="A422" s="1" t="s">
        <v>1243</v>
      </c>
      <c r="B422" s="1" t="s">
        <v>10</v>
      </c>
      <c r="C422" s="7">
        <v>9.2999999999999999E-2</v>
      </c>
      <c r="D422" s="7">
        <v>1.1408</v>
      </c>
      <c r="E422" s="7">
        <f>aktuelleAnleihen[[#This Row],[Aktueller Kurs]]-aktuelleAnleihen[[#This Row],[Kaufkurs]]</f>
        <v>2.1100000000000119E-2</v>
      </c>
      <c r="F422" s="8">
        <f>aktuelleAnleihen[[#This Row],[Stückelung]]*aktuelleAnleihen[[#This Row],[Aktueller Kurs]]*aktuelleAnleihen[[#This Row],[Anteile]]/aktuelleAnleihen[[#This Row],[Aktueller Wechselkurs]]+aktuelleAnleihen[[#This Row],[Stückzinsen]]</f>
        <v>2140.7949004016136</v>
      </c>
      <c r="G422" s="8">
        <f>aktuelleAnleihen[[#This Row],[Kursdifferenz]]*aktuelleAnleihen[[#This Row],[Anteile]]*aktuelleAnleihen[[#This Row],[Stückelung]]/aktuelleAnleihen[[#This Row],[Wechselkurs am Kauftag]]</f>
        <v>39.354658211321677</v>
      </c>
      <c r="H422" s="8">
        <f>aktuelleAnleihen[[#This Row],[Stückzinsen]]-aktuelleAnleihen[[#This Row],[Stückzinsen am Kauftag]]+aktuelleAnleihen[[#This Row],[Zinszahlungen]]</f>
        <v>17.340323613439782</v>
      </c>
      <c r="I422" s="8">
        <f>aktuelleAnleihen[[#This Row],[Gewinn gesamt]]-aktuelleAnleihen[[#This Row],[Gewinn aus Kursänderung]]-aktuelleAnleihen[[#This Row],[Gewinn aus Zinsen]]</f>
        <v>-32.821981423147648</v>
      </c>
      <c r="J422" s="7">
        <f>aktuelleAnleihen[[#This Row],[Gewinn gesamt]]/aktuelleAnleihen[[#This Row],[Kaufpreis]]</f>
        <v>1.1277223029160316E-2</v>
      </c>
      <c r="K422" s="3">
        <f>aktuelleAnleihen[[#This Row],[Verkaufspreis]]-aktuelleAnleihen[[#This Row],[Kaufpreis]]+aktuelleAnleihen[[#This Row],[Zinszahlungen]]</f>
        <v>23.873000401613808</v>
      </c>
      <c r="L422" s="4">
        <v>2116.9218999999998</v>
      </c>
      <c r="M422" s="7">
        <v>1.1196999999999999</v>
      </c>
      <c r="N422" s="61">
        <v>1.0723</v>
      </c>
      <c r="O422" s="1">
        <v>1.0891</v>
      </c>
      <c r="P422" s="1" t="s">
        <v>887</v>
      </c>
      <c r="Q422" s="30">
        <v>45412</v>
      </c>
      <c r="R422" s="1">
        <v>2</v>
      </c>
      <c r="S422" s="1">
        <v>1000</v>
      </c>
      <c r="T422" s="9">
        <v>45352</v>
      </c>
      <c r="U422" s="1">
        <v>2</v>
      </c>
      <c r="V422" s="62">
        <f>aktuelleAnleihen[[#This Row],[Stückelung]]*aktuelleAnleihen[[#This Row],[Anteile]]*aktuelleAnleihen[[#This Row],[Coupon]]/aktuelleAnleihen[[#This Row],[Aktueller Wechselkurs]]*($AC$1-aktuelleAnleihen[[#This Row],[Letzte Zinszahlung]])/365</f>
        <v>45.854123613439782</v>
      </c>
      <c r="W422" s="4">
        <v>28.5138</v>
      </c>
      <c r="X422" s="120" t="s">
        <v>276</v>
      </c>
      <c r="Y422" s="120" t="s">
        <v>61</v>
      </c>
      <c r="Z422" s="1" t="s">
        <v>1244</v>
      </c>
      <c r="AA422" s="1" t="s">
        <v>1245</v>
      </c>
      <c r="AB422" s="3">
        <f>SUMIF('Zinszahlungen Anleihen'!K:K,aktuelleAnleihen[[#This Row],[ISIN]],'Zinszahlungen Anleihen'!D:D)</f>
        <v>0</v>
      </c>
      <c r="AE422" s="9"/>
      <c r="AF422" s="1"/>
      <c r="AI422" s="3"/>
      <c r="AJ422" s="1"/>
      <c r="AM422" s="10"/>
      <c r="AN422" s="1"/>
      <c r="AP422" s="7"/>
      <c r="AQ422" s="1"/>
    </row>
    <row r="423" spans="1:43" x14ac:dyDescent="0.2">
      <c r="A423" s="1" t="s">
        <v>1573</v>
      </c>
      <c r="B423" s="1" t="s">
        <v>0</v>
      </c>
      <c r="C423" s="7">
        <v>8.3750000000000005E-2</v>
      </c>
      <c r="D423" s="7">
        <v>0.99875000000000003</v>
      </c>
      <c r="E423" s="7">
        <f>aktuelleAnleihen[[#This Row],[Aktueller Kurs]]-aktuelleAnleihen[[#This Row],[Kaufkurs]]</f>
        <v>2.1249999999999991E-2</v>
      </c>
      <c r="F423" s="8">
        <f>aktuelleAnleihen[[#This Row],[Stückelung]]*aktuelleAnleihen[[#This Row],[Aktueller Kurs]]*aktuelleAnleihen[[#This Row],[Anteile]]/aktuelleAnleihen[[#This Row],[Aktueller Wechselkurs]]+aktuelleAnleihen[[#This Row],[Stückzinsen]]</f>
        <v>1887.5960168192159</v>
      </c>
      <c r="G423" s="8">
        <f>aktuelleAnleihen[[#This Row],[Kursdifferenz]]*aktuelleAnleihen[[#This Row],[Anteile]]*aktuelleAnleihen[[#This Row],[Stückelung]]/aktuelleAnleihen[[#This Row],[Wechselkurs am Kauftag]]</f>
        <v>39.634430663060698</v>
      </c>
      <c r="H423" s="8">
        <f>aktuelleAnleihen[[#This Row],[Stückzinsen]]-aktuelleAnleihen[[#This Row],[Stückzinsen am Kauftag]]+aktuelleAnleihen[[#This Row],[Zinszahlungen]]</f>
        <v>15.424128865860091</v>
      </c>
      <c r="I423" s="8">
        <f>aktuelleAnleihen[[#This Row],[Gewinn gesamt]]-aktuelleAnleihen[[#This Row],[Gewinn aus Kursänderung]]-aktuelleAnleihen[[#This Row],[Gewinn aus Zinsen]]</f>
        <v>-28.735042709704878</v>
      </c>
      <c r="J423" s="7">
        <f>aktuelleAnleihen[[#This Row],[Gewinn gesamt]]/aktuelleAnleihen[[#This Row],[Kaufpreis]]</f>
        <v>1.4142752777584104E-2</v>
      </c>
      <c r="K423" s="3">
        <f>aktuelleAnleihen[[#This Row],[Verkaufspreis]]-aktuelleAnleihen[[#This Row],[Kaufpreis]]+aktuelleAnleihen[[#This Row],[Zinszahlungen]]</f>
        <v>26.323516819215911</v>
      </c>
      <c r="L423" s="4">
        <v>1861.2725</v>
      </c>
      <c r="M423" s="7">
        <v>0.97750000000000004</v>
      </c>
      <c r="N423" s="61">
        <v>1.0723</v>
      </c>
      <c r="O423" s="1">
        <v>1.0891</v>
      </c>
      <c r="P423" s="1" t="s">
        <v>887</v>
      </c>
      <c r="Q423" s="30">
        <v>45412</v>
      </c>
      <c r="R423" s="1">
        <v>2</v>
      </c>
      <c r="S423" s="1">
        <v>1000</v>
      </c>
      <c r="T423" s="9">
        <v>45323</v>
      </c>
      <c r="U423" s="1">
        <v>2</v>
      </c>
      <c r="V423" s="62">
        <f>aktuelleAnleihen[[#This Row],[Stückelung]]*aktuelleAnleihen[[#This Row],[Anteile]]*aktuelleAnleihen[[#This Row],[Coupon]]/aktuelleAnleihen[[#This Row],[Aktueller Wechselkurs]]*($AC$1-aktuelleAnleihen[[#This Row],[Letzte Zinszahlung]])/365</f>
        <v>53.512828865860094</v>
      </c>
      <c r="W423" s="4">
        <v>38.088700000000003</v>
      </c>
      <c r="X423" s="120" t="s">
        <v>276</v>
      </c>
      <c r="Y423" s="120" t="s">
        <v>1011</v>
      </c>
      <c r="Z423" s="1" t="s">
        <v>1574</v>
      </c>
      <c r="AA423" s="1" t="s">
        <v>1575</v>
      </c>
      <c r="AB423" s="3">
        <f>SUMIF('Zinszahlungen Anleihen'!K:K,aktuelleAnleihen[[#This Row],[ISIN]],'Zinszahlungen Anleihen'!D:D)</f>
        <v>0</v>
      </c>
      <c r="AE423" s="9"/>
      <c r="AF423" s="1"/>
      <c r="AI423" s="3"/>
      <c r="AJ423" s="1"/>
      <c r="AM423" s="10"/>
      <c r="AN423" s="1"/>
      <c r="AP423" s="7"/>
      <c r="AQ423" s="1"/>
    </row>
    <row r="424" spans="1:43" x14ac:dyDescent="0.2">
      <c r="A424" s="1" t="s">
        <v>982</v>
      </c>
      <c r="B424" s="1" t="s">
        <v>0</v>
      </c>
      <c r="C424" s="7">
        <v>8.5999999999999993E-2</v>
      </c>
      <c r="D424" s="7">
        <v>1.1608000000000001</v>
      </c>
      <c r="E424" s="7">
        <f>aktuelleAnleihen[[#This Row],[Aktueller Kurs]]-aktuelleAnleihen[[#This Row],[Kaufkurs]]</f>
        <v>2.1500000000000075E-2</v>
      </c>
      <c r="F424" s="8">
        <f>aktuelleAnleihen[[#This Row],[Stückelung]]*aktuelleAnleihen[[#This Row],[Aktueller Kurs]]*aktuelleAnleihen[[#This Row],[Anteile]]/aktuelleAnleihen[[#This Row],[Aktueller Wechselkurs]]+aktuelleAnleihen[[#This Row],[Stückzinsen]]</f>
        <v>2207.3875249514808</v>
      </c>
      <c r="G424" s="8">
        <f>aktuelleAnleihen[[#This Row],[Kursdifferenz]]*aktuelleAnleihen[[#This Row],[Anteile]]*aktuelleAnleihen[[#This Row],[Stückelung]]/aktuelleAnleihen[[#This Row],[Wechselkurs am Kauftag]]</f>
        <v>40.100718082626265</v>
      </c>
      <c r="H424" s="8">
        <f>aktuelleAnleihen[[#This Row],[Stückzinsen]]-aktuelleAnleihen[[#This Row],[Stückzinsen am Kauftag]]+aktuelleAnleihen[[#This Row],[Zinszahlungen]]</f>
        <v>15.513174937707774</v>
      </c>
      <c r="I424" s="8">
        <f>aktuelleAnleihen[[#This Row],[Gewinn gesamt]]-aktuelleAnleihen[[#This Row],[Gewinn aus Kursänderung]]-aktuelleAnleihen[[#This Row],[Gewinn aus Zinsen]]</f>
        <v>-33.397368068853034</v>
      </c>
      <c r="J424" s="7">
        <f>aktuelleAnleihen[[#This Row],[Gewinn gesamt]]/aktuelleAnleihen[[#This Row],[Kaufpreis]]</f>
        <v>1.0166950298846638E-2</v>
      </c>
      <c r="K424" s="3">
        <f>aktuelleAnleihen[[#This Row],[Verkaufspreis]]-aktuelleAnleihen[[#This Row],[Kaufpreis]]+aktuelleAnleihen[[#This Row],[Zinszahlungen]]</f>
        <v>22.216524951481006</v>
      </c>
      <c r="L424" s="4">
        <v>2185.1709999999998</v>
      </c>
      <c r="M424" s="7">
        <v>1.1393</v>
      </c>
      <c r="N424" s="61">
        <v>1.0723</v>
      </c>
      <c r="O424" s="1">
        <v>1.0891</v>
      </c>
      <c r="P424" s="1" t="s">
        <v>887</v>
      </c>
      <c r="Q424" s="30">
        <v>45412</v>
      </c>
      <c r="R424" s="1">
        <v>2</v>
      </c>
      <c r="S424" s="1">
        <v>1000</v>
      </c>
      <c r="T424" s="9">
        <v>45275</v>
      </c>
      <c r="U424" s="1">
        <v>2</v>
      </c>
      <c r="V424" s="62">
        <f>aktuelleAnleihen[[#This Row],[Stückelung]]*aktuelleAnleihen[[#This Row],[Anteile]]*aktuelleAnleihen[[#This Row],[Coupon]]/aktuelleAnleihen[[#This Row],[Aktueller Wechselkurs]]*($AC$1-aktuelleAnleihen[[#This Row],[Letzte Zinszahlung]])/365</f>
        <v>75.719174937707777</v>
      </c>
      <c r="W424" s="4">
        <v>60.206000000000003</v>
      </c>
      <c r="X424" s="120" t="s">
        <v>102</v>
      </c>
      <c r="Y424" s="120" t="s">
        <v>61</v>
      </c>
      <c r="Z424" s="1" t="s">
        <v>1422</v>
      </c>
      <c r="AA424" s="1" t="s">
        <v>1423</v>
      </c>
      <c r="AB424" s="3">
        <f>SUMIF('Zinszahlungen Anleihen'!K:K,aktuelleAnleihen[[#This Row],[ISIN]],'Zinszahlungen Anleihen'!D:D)</f>
        <v>0</v>
      </c>
      <c r="AE424" s="9"/>
      <c r="AF424" s="1"/>
      <c r="AI424" s="3"/>
      <c r="AJ424" s="1"/>
      <c r="AM424" s="10"/>
      <c r="AN424" s="1"/>
      <c r="AP424" s="7"/>
      <c r="AQ424" s="1"/>
    </row>
    <row r="425" spans="1:43" x14ac:dyDescent="0.2">
      <c r="A425" s="1" t="s">
        <v>1720</v>
      </c>
      <c r="B425" s="1" t="s">
        <v>7</v>
      </c>
      <c r="C425" s="7">
        <v>0.08</v>
      </c>
      <c r="D425" s="7">
        <v>1.1639999999999999</v>
      </c>
      <c r="E425" s="7">
        <f>aktuelleAnleihen[[#This Row],[Aktueller Kurs]]-aktuelleAnleihen[[#This Row],[Kaufkurs]]</f>
        <v>2.1900000000000031E-2</v>
      </c>
      <c r="F425" s="8">
        <f>aktuelleAnleihen[[#This Row],[Stückelung]]*aktuelleAnleihen[[#This Row],[Aktueller Kurs]]*aktuelleAnleihen[[#This Row],[Anteile]]/aktuelleAnleihen[[#This Row],[Aktueller Wechselkurs]]+aktuelleAnleihen[[#This Row],[Stückzinsen]]</f>
        <v>2176.9891691392791</v>
      </c>
      <c r="G425" s="8">
        <f>aktuelleAnleihen[[#This Row],[Kursdifferenz]]*aktuelleAnleihen[[#This Row],[Anteile]]*aktuelleAnleihen[[#This Row],[Stückelung]]/aktuelleAnleihen[[#This Row],[Wechselkurs am Kauftag]]</f>
        <v>40.846777953930861</v>
      </c>
      <c r="H425" s="8">
        <f>aktuelleAnleihen[[#This Row],[Stückzinsen]]-aktuelleAnleihen[[#This Row],[Stückzinsen am Kauftag]]+aktuelleAnleihen[[#This Row],[Zinszahlungen]]</f>
        <v>14.916407409410567</v>
      </c>
      <c r="I425" s="8">
        <f>aktuelleAnleihen[[#This Row],[Gewinn gesamt]]-aktuelleAnleihen[[#This Row],[Gewinn aus Kursänderung]]-aktuelleAnleihen[[#This Row],[Gewinn aus Zinsen]]</f>
        <v>-33.489416224062417</v>
      </c>
      <c r="J425" s="7">
        <f>aktuelleAnleihen[[#This Row],[Gewinn gesamt]]/aktuelleAnleihen[[#This Row],[Kaufpreis]]</f>
        <v>1.0337220933808247E-2</v>
      </c>
      <c r="K425" s="3">
        <f>aktuelleAnleihen[[#This Row],[Verkaufspreis]]-aktuelleAnleihen[[#This Row],[Kaufpreis]]+aktuelleAnleihen[[#This Row],[Zinszahlungen]]</f>
        <v>22.273769139279011</v>
      </c>
      <c r="L425" s="4">
        <v>2154.7154</v>
      </c>
      <c r="M425" s="7">
        <v>1.1420999999999999</v>
      </c>
      <c r="N425" s="61">
        <v>1.0723</v>
      </c>
      <c r="O425" s="1">
        <v>1.0891</v>
      </c>
      <c r="P425" s="1" t="s">
        <v>887</v>
      </c>
      <c r="Q425" s="30">
        <v>45412</v>
      </c>
      <c r="R425" s="1">
        <v>2</v>
      </c>
      <c r="S425" s="1">
        <v>1000</v>
      </c>
      <c r="T425" s="9">
        <v>45352</v>
      </c>
      <c r="U425" s="1">
        <v>2</v>
      </c>
      <c r="V425" s="62">
        <f>aktuelleAnleihen[[#This Row],[Stückelung]]*aktuelleAnleihen[[#This Row],[Anteile]]*aktuelleAnleihen[[#This Row],[Coupon]]/aktuelleAnleihen[[#This Row],[Aktueller Wechselkurs]]*($AC$1-aktuelleAnleihen[[#This Row],[Letzte Zinszahlung]])/365</f>
        <v>39.444407409410566</v>
      </c>
      <c r="W425" s="4">
        <v>24.527999999999999</v>
      </c>
      <c r="X425" s="120" t="s">
        <v>276</v>
      </c>
      <c r="Y425" s="120" t="s">
        <v>57</v>
      </c>
      <c r="Z425" s="1" t="s">
        <v>1721</v>
      </c>
      <c r="AA425" s="1" t="s">
        <v>1722</v>
      </c>
      <c r="AB425" s="3">
        <f>SUMIF('Zinszahlungen Anleihen'!K:K,aktuelleAnleihen[[#This Row],[ISIN]],'Zinszahlungen Anleihen'!D:D)</f>
        <v>0</v>
      </c>
      <c r="AE425" s="9"/>
      <c r="AF425" s="1"/>
      <c r="AI425" s="3"/>
      <c r="AJ425" s="1"/>
      <c r="AM425" s="10"/>
      <c r="AN425" s="1"/>
      <c r="AP425" s="7"/>
      <c r="AQ425" s="1"/>
    </row>
    <row r="426" spans="1:43" x14ac:dyDescent="0.2">
      <c r="A426" s="1" t="s">
        <v>1108</v>
      </c>
      <c r="B426" s="1" t="s">
        <v>10</v>
      </c>
      <c r="C426" s="7">
        <v>9.6250000000000002E-2</v>
      </c>
      <c r="D426" s="7">
        <v>1.1645000000000001</v>
      </c>
      <c r="E426" s="7">
        <f>aktuelleAnleihen[[#This Row],[Aktueller Kurs]]-aktuelleAnleihen[[#This Row],[Kaufkurs]]</f>
        <v>2.1900000000000031E-2</v>
      </c>
      <c r="F426" s="8">
        <f>aktuelleAnleihen[[#This Row],[Stückelung]]*aktuelleAnleihen[[#This Row],[Aktueller Kurs]]*aktuelleAnleihen[[#This Row],[Anteile]]/aktuelleAnleihen[[#This Row],[Aktueller Wechselkurs]]+aktuelleAnleihen[[#This Row],[Stückzinsen]]</f>
        <v>2160.7384757805553</v>
      </c>
      <c r="G426" s="8">
        <f>aktuelleAnleihen[[#This Row],[Kursdifferenz]]*aktuelleAnleihen[[#This Row],[Anteile]]*aktuelleAnleihen[[#This Row],[Stückelung]]/aktuelleAnleihen[[#This Row],[Wechselkurs am Kauftag]]</f>
        <v>40.846777953930861</v>
      </c>
      <c r="H426" s="8">
        <f>aktuelleAnleihen[[#This Row],[Stückzinsen]]-aktuelleAnleihen[[#This Row],[Stückzinsen am Kauftag]]+aktuelleAnleihen[[#This Row],[Zinszahlungen]]</f>
        <v>18.340824720046587</v>
      </c>
      <c r="I426" s="8">
        <f>aktuelleAnleihen[[#This Row],[Gewinn gesamt]]-aktuelleAnleihen[[#This Row],[Gewinn aus Kursänderung]]-aktuelleAnleihen[[#This Row],[Gewinn aus Zinsen]]</f>
        <v>-33.5038268934223</v>
      </c>
      <c r="J426" s="7">
        <f>aktuelleAnleihen[[#This Row],[Gewinn gesamt]]/aktuelleAnleihen[[#This Row],[Kaufpreis]]</f>
        <v>1.202956335524104E-2</v>
      </c>
      <c r="K426" s="3">
        <f>aktuelleAnleihen[[#This Row],[Verkaufspreis]]-aktuelleAnleihen[[#This Row],[Kaufpreis]]+aktuelleAnleihen[[#This Row],[Zinszahlungen]]</f>
        <v>25.683775780555152</v>
      </c>
      <c r="L426" s="4">
        <v>2135.0547000000001</v>
      </c>
      <c r="M426" s="7">
        <v>1.1426000000000001</v>
      </c>
      <c r="N426" s="61">
        <v>1.0723</v>
      </c>
      <c r="O426" s="1">
        <v>1.0891</v>
      </c>
      <c r="P426" s="1" t="s">
        <v>887</v>
      </c>
      <c r="Q426" s="30">
        <v>45412</v>
      </c>
      <c r="R426" s="1">
        <v>2</v>
      </c>
      <c r="S426" s="1">
        <v>1000</v>
      </c>
      <c r="T426" s="9">
        <v>45404</v>
      </c>
      <c r="U426" s="1">
        <v>2</v>
      </c>
      <c r="V426" s="62">
        <f>aktuelleAnleihen[[#This Row],[Stückelung]]*aktuelleAnleihen[[#This Row],[Anteile]]*aktuelleAnleihen[[#This Row],[Coupon]]/aktuelleAnleihen[[#This Row],[Aktueller Wechselkurs]]*($AC$1-aktuelleAnleihen[[#This Row],[Letzte Zinszahlung]])/365</f>
        <v>22.275524720046587</v>
      </c>
      <c r="W426" s="4">
        <v>3.9346999999999999</v>
      </c>
      <c r="X426" s="120" t="s">
        <v>276</v>
      </c>
      <c r="Y426" s="120" t="s">
        <v>61</v>
      </c>
      <c r="Z426" s="1" t="s">
        <v>1162</v>
      </c>
      <c r="AA426" s="1" t="s">
        <v>1163</v>
      </c>
      <c r="AB426" s="3">
        <f>SUMIF('Zinszahlungen Anleihen'!K:K,aktuelleAnleihen[[#This Row],[ISIN]],'Zinszahlungen Anleihen'!D:D)</f>
        <v>0</v>
      </c>
      <c r="AE426" s="9"/>
      <c r="AF426" s="1"/>
      <c r="AI426" s="3"/>
      <c r="AJ426" s="1"/>
      <c r="AM426" s="10"/>
      <c r="AN426" s="1"/>
      <c r="AP426" s="7"/>
      <c r="AQ426" s="1"/>
    </row>
    <row r="427" spans="1:43" x14ac:dyDescent="0.2">
      <c r="A427" s="1" t="s">
        <v>1741</v>
      </c>
      <c r="B427" s="1" t="s">
        <v>0</v>
      </c>
      <c r="C427" s="7">
        <v>0.08</v>
      </c>
      <c r="D427" s="7">
        <v>1.0668</v>
      </c>
      <c r="E427" s="7">
        <f>aktuelleAnleihen[[#This Row],[Aktueller Kurs]]-aktuelleAnleihen[[#This Row],[Kaufkurs]]</f>
        <v>2.2100000000000009E-2</v>
      </c>
      <c r="F427" s="8">
        <f>aktuelleAnleihen[[#This Row],[Stückelung]]*aktuelleAnleihen[[#This Row],[Aktueller Kurs]]*aktuelleAnleihen[[#This Row],[Anteile]]/aktuelleAnleihen[[#This Row],[Aktueller Wechselkurs]]+aktuelleAnleihen[[#This Row],[Stückzinsen]]</f>
        <v>1964.2811772445011</v>
      </c>
      <c r="G427" s="8">
        <f>aktuelleAnleihen[[#This Row],[Kursdifferenz]]*aktuelleAnleihen[[#This Row],[Anteile]]*aktuelleAnleihen[[#This Row],[Stückelung]]/aktuelleAnleihen[[#This Row],[Wechselkurs am Kauftag]]</f>
        <v>41.219807889583151</v>
      </c>
      <c r="H427" s="8">
        <f>aktuelleAnleihen[[#This Row],[Stückzinsen]]-aktuelleAnleihen[[#This Row],[Stückzinsen am Kauftag]]+aktuelleAnleihen[[#This Row],[Zinszahlungen]]</f>
        <v>14.803932850433952</v>
      </c>
      <c r="I427" s="8">
        <f>aktuelleAnleihen[[#This Row],[Gewinn gesamt]]-aktuelleAnleihen[[#This Row],[Gewinn aus Kursänderung]]-aktuelleAnleihen[[#This Row],[Gewinn aus Zinsen]]</f>
        <v>-30.692952036126357</v>
      </c>
      <c r="J427" s="7">
        <f>aktuelleAnleihen[[#This Row],[Gewinn gesamt]]/aktuelleAnleihen[[#This Row],[Kaufpreis]]</f>
        <v>1.2585454690117419E-2</v>
      </c>
      <c r="K427" s="3">
        <f>aktuelleAnleihen[[#This Row],[Verkaufspreis]]-aktuelleAnleihen[[#This Row],[Kaufpreis]]+aktuelleAnleihen[[#This Row],[Zinszahlungen]]</f>
        <v>25.330788703890747</v>
      </c>
      <c r="L427" s="4">
        <v>2012.7035000000001</v>
      </c>
      <c r="M427" s="7">
        <v>1.0447</v>
      </c>
      <c r="N427" s="61">
        <v>1.0723</v>
      </c>
      <c r="O427" s="1">
        <v>1.0891</v>
      </c>
      <c r="P427" s="1" t="s">
        <v>887</v>
      </c>
      <c r="Q427" s="30">
        <v>45412</v>
      </c>
      <c r="R427" s="1">
        <v>2</v>
      </c>
      <c r="S427" s="1">
        <v>1000</v>
      </c>
      <c r="T427" s="9">
        <v>45437</v>
      </c>
      <c r="U427" s="1">
        <v>2</v>
      </c>
      <c r="V427" s="62">
        <f>aktuelleAnleihen[[#This Row],[Stückelung]]*aktuelleAnleihen[[#This Row],[Anteile]]*aktuelleAnleihen[[#This Row],[Coupon]]/aktuelleAnleihen[[#This Row],[Aktueller Wechselkurs]]*($AC$1-aktuelleAnleihen[[#This Row],[Letzte Zinszahlung]])/365</f>
        <v>5.2324213910442587</v>
      </c>
      <c r="W427" s="4">
        <v>64.181600000000003</v>
      </c>
      <c r="X427" s="120" t="s">
        <v>276</v>
      </c>
      <c r="Y427" s="120" t="s">
        <v>39</v>
      </c>
      <c r="Z427" s="1" t="s">
        <v>1742</v>
      </c>
      <c r="AA427" s="1" t="s">
        <v>1743</v>
      </c>
      <c r="AB427" s="3">
        <f>SUMIF('Zinszahlungen Anleihen'!K:K,aktuelleAnleihen[[#This Row],[ISIN]],'Zinszahlungen Anleihen'!D:D)</f>
        <v>73.7531114593897</v>
      </c>
      <c r="AE427" s="9"/>
      <c r="AF427" s="1"/>
      <c r="AI427" s="3"/>
      <c r="AJ427" s="1"/>
      <c r="AM427" s="10"/>
      <c r="AN427" s="1"/>
      <c r="AP427" s="7"/>
      <c r="AQ427" s="1"/>
    </row>
    <row r="428" spans="1:43" x14ac:dyDescent="0.2">
      <c r="A428" s="1" t="s">
        <v>1626</v>
      </c>
      <c r="B428" s="1" t="s">
        <v>10</v>
      </c>
      <c r="C428" s="7">
        <v>8.2500000000000004E-2</v>
      </c>
      <c r="D428" s="7">
        <v>1.0454000000000001</v>
      </c>
      <c r="E428" s="7">
        <f>aktuelleAnleihen[[#This Row],[Aktueller Kurs]]-aktuelleAnleihen[[#This Row],[Kaufkurs]]</f>
        <v>2.2100000000000009E-2</v>
      </c>
      <c r="F428" s="8">
        <f>aktuelleAnleihen[[#This Row],[Stückelung]]*aktuelleAnleihen[[#This Row],[Aktueller Kurs]]*aktuelleAnleihen[[#This Row],[Anteile]]/aktuelleAnleihen[[#This Row],[Aktueller Wechselkurs]]+aktuelleAnleihen[[#This Row],[Stückzinsen]]</f>
        <v>1941.749062629317</v>
      </c>
      <c r="G428" s="8">
        <f>aktuelleAnleihen[[#This Row],[Kursdifferenz]]*aktuelleAnleihen[[#This Row],[Anteile]]*aktuelleAnleihen[[#This Row],[Stückelung]]/aktuelleAnleihen[[#This Row],[Wechselkurs am Kauftag]]</f>
        <v>41.219807889583151</v>
      </c>
      <c r="H428" s="8">
        <f>aktuelleAnleihen[[#This Row],[Stückzinsen]]-aktuelleAnleihen[[#This Row],[Stückzinsen am Kauftag]]+aktuelleAnleihen[[#This Row],[Zinszahlungen]]</f>
        <v>15.675210127250978</v>
      </c>
      <c r="I428" s="8">
        <f>aktuelleAnleihen[[#This Row],[Gewinn gesamt]]-aktuelleAnleihen[[#This Row],[Gewinn aus Kursänderung]]-aktuelleAnleihen[[#This Row],[Gewinn aus Zinsen]]</f>
        <v>-30.077255387517098</v>
      </c>
      <c r="J428" s="7">
        <f>aktuelleAnleihen[[#This Row],[Gewinn gesamt]]/aktuelleAnleihen[[#This Row],[Kaufpreis]]</f>
        <v>1.4004556001208519E-2</v>
      </c>
      <c r="K428" s="3">
        <f>aktuelleAnleihen[[#This Row],[Verkaufspreis]]-aktuelleAnleihen[[#This Row],[Kaufpreis]]+aktuelleAnleihen[[#This Row],[Zinszahlungen]]</f>
        <v>26.817762629317031</v>
      </c>
      <c r="L428" s="4">
        <v>1914.9313</v>
      </c>
      <c r="M428" s="7">
        <v>1.0233000000000001</v>
      </c>
      <c r="N428" s="61">
        <v>1.0723</v>
      </c>
      <c r="O428" s="1">
        <v>1.0891</v>
      </c>
      <c r="P428" s="1" t="s">
        <v>887</v>
      </c>
      <c r="Q428" s="30">
        <v>45412</v>
      </c>
      <c r="R428" s="1">
        <v>2</v>
      </c>
      <c r="S428" s="1">
        <v>1000</v>
      </c>
      <c r="T428" s="9">
        <v>45397</v>
      </c>
      <c r="U428" s="1">
        <v>2</v>
      </c>
      <c r="V428" s="62">
        <f>aktuelleAnleihen[[#This Row],[Stückelung]]*aktuelleAnleihen[[#This Row],[Anteile]]*aktuelleAnleihen[[#This Row],[Coupon]]/aktuelleAnleihen[[#This Row],[Aktueller Wechselkurs]]*($AC$1-aktuelleAnleihen[[#This Row],[Letzte Zinszahlung]])/365</f>
        <v>21.998810127250977</v>
      </c>
      <c r="W428" s="4">
        <v>6.3235999999999999</v>
      </c>
      <c r="X428" s="120" t="s">
        <v>284</v>
      </c>
      <c r="Y428" s="120" t="s">
        <v>61</v>
      </c>
      <c r="Z428" s="1" t="s">
        <v>1627</v>
      </c>
      <c r="AA428" s="1" t="s">
        <v>1628</v>
      </c>
      <c r="AB428" s="3">
        <f>SUMIF('Zinszahlungen Anleihen'!K:K,aktuelleAnleihen[[#This Row],[ISIN]],'Zinszahlungen Anleihen'!D:D)</f>
        <v>0</v>
      </c>
      <c r="AE428" s="9"/>
      <c r="AF428" s="1"/>
      <c r="AI428" s="3"/>
      <c r="AJ428" s="1"/>
      <c r="AM428" s="10"/>
      <c r="AN428" s="1"/>
      <c r="AP428" s="7"/>
      <c r="AQ428" s="1"/>
    </row>
    <row r="429" spans="1:43" x14ac:dyDescent="0.2">
      <c r="A429" s="1" t="s">
        <v>1617</v>
      </c>
      <c r="B429" s="1" t="s">
        <v>8</v>
      </c>
      <c r="C429" s="7">
        <v>8.2500000000000004E-2</v>
      </c>
      <c r="D429" s="7">
        <v>1.137</v>
      </c>
      <c r="E429" s="7">
        <f>aktuelleAnleihen[[#This Row],[Aktueller Kurs]]-aktuelleAnleihen[[#This Row],[Kaufkurs]]</f>
        <v>2.2599999999999953E-2</v>
      </c>
      <c r="F429" s="8">
        <f>aktuelleAnleihen[[#This Row],[Stückelung]]*aktuelleAnleihen[[#This Row],[Aktueller Kurs]]*aktuelleAnleihen[[#This Row],[Anteile]]/aktuelleAnleihen[[#This Row],[Aktueller Wechselkurs]]+aktuelleAnleihen[[#This Row],[Stückzinsen]]</f>
        <v>2122.8285765675569</v>
      </c>
      <c r="G429" s="8">
        <f>aktuelleAnleihen[[#This Row],[Kursdifferenz]]*aktuelleAnleihen[[#This Row],[Anteile]]*aktuelleAnleihen[[#This Row],[Stückelung]]/aktuelleAnleihen[[#This Row],[Wechselkurs am Kauftag]]</f>
        <v>42.152382728713889</v>
      </c>
      <c r="H429" s="8">
        <f>aktuelleAnleihen[[#This Row],[Stückzinsen]]-aktuelleAnleihen[[#This Row],[Stückzinsen am Kauftag]]+aktuelleAnleihen[[#This Row],[Zinszahlungen]]</f>
        <v>15.473638692246833</v>
      </c>
      <c r="I429" s="8">
        <f>aktuelleAnleihen[[#This Row],[Gewinn gesamt]]-aktuelleAnleihen[[#This Row],[Gewinn aus Kursänderung]]-aktuelleAnleihen[[#This Row],[Gewinn aus Zinsen]]</f>
        <v>-32.712644853403773</v>
      </c>
      <c r="J429" s="7">
        <f>aktuelleAnleihen[[#This Row],[Gewinn gesamt]]/aktuelleAnleihen[[#This Row],[Kaufpreis]]</f>
        <v>1.1875301998649399E-2</v>
      </c>
      <c r="K429" s="3">
        <f>aktuelleAnleihen[[#This Row],[Verkaufspreis]]-aktuelleAnleihen[[#This Row],[Kaufpreis]]+aktuelleAnleihen[[#This Row],[Zinszahlungen]]</f>
        <v>24.913376567556952</v>
      </c>
      <c r="L429" s="4">
        <v>2097.9151999999999</v>
      </c>
      <c r="M429" s="7">
        <v>1.1144000000000001</v>
      </c>
      <c r="N429" s="61">
        <v>1.0723</v>
      </c>
      <c r="O429" s="1">
        <v>1.0891</v>
      </c>
      <c r="P429" s="1" t="s">
        <v>887</v>
      </c>
      <c r="Q429" s="30">
        <v>45412</v>
      </c>
      <c r="R429" s="1">
        <v>2</v>
      </c>
      <c r="S429" s="1">
        <v>1000</v>
      </c>
      <c r="T429" s="9">
        <v>45366</v>
      </c>
      <c r="U429" s="1">
        <v>2</v>
      </c>
      <c r="V429" s="62">
        <f>aktuelleAnleihen[[#This Row],[Stückelung]]*aktuelleAnleihen[[#This Row],[Anteile]]*aktuelleAnleihen[[#This Row],[Coupon]]/aktuelleAnleihen[[#This Row],[Aktueller Wechselkurs]]*($AC$1-aktuelleAnleihen[[#This Row],[Letzte Zinszahlung]])/365</f>
        <v>34.866038692246832</v>
      </c>
      <c r="W429" s="4">
        <v>19.392399999999999</v>
      </c>
      <c r="X429" s="120" t="s">
        <v>51</v>
      </c>
      <c r="Y429" s="120" t="s">
        <v>61</v>
      </c>
      <c r="Z429" s="1" t="s">
        <v>1618</v>
      </c>
      <c r="AA429" s="1" t="s">
        <v>1619</v>
      </c>
      <c r="AB429" s="3">
        <f>SUMIF('Zinszahlungen Anleihen'!K:K,aktuelleAnleihen[[#This Row],[ISIN]],'Zinszahlungen Anleihen'!D:D)</f>
        <v>0</v>
      </c>
      <c r="AE429" s="9"/>
      <c r="AF429" s="1"/>
      <c r="AI429" s="3"/>
      <c r="AJ429" s="1"/>
      <c r="AM429" s="10"/>
      <c r="AN429" s="1"/>
      <c r="AP429" s="7"/>
      <c r="AQ429" s="1"/>
    </row>
    <row r="430" spans="1:43" x14ac:dyDescent="0.2">
      <c r="A430" s="1" t="s">
        <v>1026</v>
      </c>
      <c r="B430" s="1" t="s">
        <v>8</v>
      </c>
      <c r="C430" s="7">
        <v>0.1125</v>
      </c>
      <c r="D430" s="7">
        <v>1.0558000000000001</v>
      </c>
      <c r="E430" s="7">
        <f>aktuelleAnleihen[[#This Row],[Aktueller Kurs]]-aktuelleAnleihen[[#This Row],[Kaufkurs]]</f>
        <v>2.2700000000000164E-2</v>
      </c>
      <c r="F430" s="8">
        <f>aktuelleAnleihen[[#This Row],[Stückelung]]*aktuelleAnleihen[[#This Row],[Aktueller Kurs]]*aktuelleAnleihen[[#This Row],[Anteile]]/aktuelleAnleihen[[#This Row],[Aktueller Wechselkurs]]+aktuelleAnleihen[[#This Row],[Stückzinsen]]</f>
        <v>2002.8073953232724</v>
      </c>
      <c r="G430" s="8">
        <f>aktuelleAnleihen[[#This Row],[Kursdifferenz]]*aktuelleAnleihen[[#This Row],[Anteile]]*aktuelleAnleihen[[#This Row],[Stückelung]]/aktuelleAnleihen[[#This Row],[Wechselkurs am Kauftag]]</f>
        <v>42.338897696540457</v>
      </c>
      <c r="H430" s="8">
        <f>aktuelleAnleihen[[#This Row],[Stückzinsen]]-aktuelleAnleihen[[#This Row],[Stückzinsen am Kauftag]]+aktuelleAnleihen[[#This Row],[Zinszahlungen]]</f>
        <v>20.843204743894354</v>
      </c>
      <c r="I430" s="8">
        <f>aktuelleAnleihen[[#This Row],[Gewinn gesamt]]-aktuelleAnleihen[[#This Row],[Gewinn aus Kursänderung]]-aktuelleAnleihen[[#This Row],[Gewinn aus Zinsen]]</f>
        <v>-30.376507117162383</v>
      </c>
      <c r="J430" s="7">
        <f>aktuelleAnleihen[[#This Row],[Gewinn gesamt]]/aktuelleAnleihen[[#This Row],[Kaufpreis]]</f>
        <v>1.6652571242966593E-2</v>
      </c>
      <c r="K430" s="3">
        <f>aktuelleAnleihen[[#This Row],[Verkaufspreis]]-aktuelleAnleihen[[#This Row],[Kaufpreis]]+aktuelleAnleihen[[#This Row],[Zinszahlungen]]</f>
        <v>32.805595323272428</v>
      </c>
      <c r="L430" s="4">
        <v>1970.0018</v>
      </c>
      <c r="M430" s="7">
        <v>1.0330999999999999</v>
      </c>
      <c r="N430" s="61">
        <v>1.0723</v>
      </c>
      <c r="O430" s="1">
        <v>1.0891</v>
      </c>
      <c r="P430" s="1" t="s">
        <v>887</v>
      </c>
      <c r="Q430" s="30">
        <v>45412</v>
      </c>
      <c r="R430" s="1">
        <v>2</v>
      </c>
      <c r="S430" s="1">
        <v>1000</v>
      </c>
      <c r="T430" s="9">
        <v>45337</v>
      </c>
      <c r="U430" s="1">
        <v>2</v>
      </c>
      <c r="V430" s="62">
        <f>aktuelleAnleihen[[#This Row],[Stückelung]]*aktuelleAnleihen[[#This Row],[Anteile]]*aktuelleAnleihen[[#This Row],[Coupon]]/aktuelleAnleihen[[#This Row],[Aktueller Wechselkurs]]*($AC$1-aktuelleAnleihen[[#This Row],[Letzte Zinszahlung]])/365</f>
        <v>63.958804743894355</v>
      </c>
      <c r="W430" s="4">
        <v>43.115600000000001</v>
      </c>
      <c r="X430" s="120" t="s">
        <v>1027</v>
      </c>
      <c r="Y430" s="120" t="s">
        <v>109</v>
      </c>
      <c r="Z430" s="1" t="s">
        <v>1028</v>
      </c>
      <c r="AA430" s="1" t="s">
        <v>1029</v>
      </c>
      <c r="AB430" s="3">
        <f>SUMIF('Zinszahlungen Anleihen'!K:K,aktuelleAnleihen[[#This Row],[ISIN]],'Zinszahlungen Anleihen'!D:D)</f>
        <v>0</v>
      </c>
      <c r="AE430" s="9"/>
      <c r="AF430" s="1"/>
      <c r="AI430" s="3"/>
      <c r="AJ430" s="1"/>
      <c r="AM430" s="10"/>
      <c r="AN430" s="1"/>
      <c r="AP430" s="7"/>
      <c r="AQ430" s="1"/>
    </row>
    <row r="431" spans="1:43" x14ac:dyDescent="0.2">
      <c r="A431" s="1" t="s">
        <v>1127</v>
      </c>
      <c r="B431" s="1" t="s">
        <v>4</v>
      </c>
      <c r="C431" s="7">
        <v>9.7500000000000003E-2</v>
      </c>
      <c r="D431" s="7">
        <v>1.0359</v>
      </c>
      <c r="E431" s="7">
        <f>aktuelleAnleihen[[#This Row],[Aktueller Kurs]]-aktuelleAnleihen[[#This Row],[Kaufkurs]]</f>
        <v>2.2900000000000142E-2</v>
      </c>
      <c r="F431" s="8">
        <f>aktuelleAnleihen[[#This Row],[Stückelung]]*aktuelleAnleihen[[#This Row],[Aktueller Kurs]]*aktuelleAnleihen[[#This Row],[Anteile]]/aktuelleAnleihen[[#This Row],[Aktueller Wechselkurs]]+aktuelleAnleihen[[#This Row],[Stückzinsen]]</f>
        <v>1932.7181045553514</v>
      </c>
      <c r="G431" s="8">
        <f>aktuelleAnleihen[[#This Row],[Kursdifferenz]]*aktuelleAnleihen[[#This Row],[Anteile]]*aktuelleAnleihen[[#This Row],[Stückelung]]/aktuelleAnleihen[[#This Row],[Wechselkurs am Kauftag]]</f>
        <v>42.711927632192747</v>
      </c>
      <c r="H431" s="8">
        <f>aktuelleAnleihen[[#This Row],[Stückzinsen]]-aktuelleAnleihen[[#This Row],[Stückzinsen am Kauftag]]+aktuelleAnleihen[[#This Row],[Zinszahlungen]]</f>
        <v>18.456049335444753</v>
      </c>
      <c r="I431" s="8">
        <f>aktuelleAnleihen[[#This Row],[Gewinn gesamt]]-aktuelleAnleihen[[#This Row],[Gewinn aus Kursänderung]]-aktuelleAnleihen[[#This Row],[Gewinn aus Zinsen]]</f>
        <v>-29.803872412286168</v>
      </c>
      <c r="J431" s="7">
        <f>aktuelleAnleihen[[#This Row],[Gewinn gesamt]]/aktuelleAnleihen[[#This Row],[Kaufpreis]]</f>
        <v>1.6495668116169492E-2</v>
      </c>
      <c r="K431" s="3">
        <f>aktuelleAnleihen[[#This Row],[Verkaufspreis]]-aktuelleAnleihen[[#This Row],[Kaufpreis]]+aktuelleAnleihen[[#This Row],[Zinszahlungen]]</f>
        <v>31.364104555351332</v>
      </c>
      <c r="L431" s="4">
        <v>1901.354</v>
      </c>
      <c r="M431" s="7">
        <v>1.0129999999999999</v>
      </c>
      <c r="N431" s="61">
        <v>1.0723</v>
      </c>
      <c r="O431" s="1">
        <v>1.0891</v>
      </c>
      <c r="P431" s="1" t="s">
        <v>887</v>
      </c>
      <c r="Q431" s="30">
        <v>45412</v>
      </c>
      <c r="R431" s="1">
        <v>2</v>
      </c>
      <c r="S431" s="1">
        <v>1000</v>
      </c>
      <c r="T431" s="9">
        <v>45388</v>
      </c>
      <c r="U431" s="1">
        <v>4</v>
      </c>
      <c r="V431" s="62">
        <f>aktuelleAnleihen[[#This Row],[Stückelung]]*aktuelleAnleihen[[#This Row],[Anteile]]*aktuelleAnleihen[[#This Row],[Coupon]]/aktuelleAnleihen[[#This Row],[Aktueller Wechselkurs]]*($AC$1-aktuelleAnleihen[[#This Row],[Letzte Zinszahlung]])/365</f>
        <v>30.413449335444753</v>
      </c>
      <c r="W431" s="4">
        <v>11.9574</v>
      </c>
      <c r="X431" s="120" t="s">
        <v>276</v>
      </c>
      <c r="Y431" s="120" t="s">
        <v>39</v>
      </c>
      <c r="Z431" s="1" t="s">
        <v>1128</v>
      </c>
      <c r="AA431" s="1" t="s">
        <v>1129</v>
      </c>
      <c r="AB431" s="3">
        <f>SUMIF('Zinszahlungen Anleihen'!K:K,aktuelleAnleihen[[#This Row],[ISIN]],'Zinszahlungen Anleihen'!D:D)</f>
        <v>0</v>
      </c>
      <c r="AE431" s="9"/>
      <c r="AF431" s="1"/>
      <c r="AI431" s="3"/>
      <c r="AJ431" s="1"/>
      <c r="AM431" s="10"/>
      <c r="AN431" s="1"/>
      <c r="AP431" s="7"/>
      <c r="AQ431" s="1"/>
    </row>
    <row r="432" spans="1:43" x14ac:dyDescent="0.2">
      <c r="A432" s="1" t="s">
        <v>79</v>
      </c>
      <c r="B432" s="1" t="s">
        <v>8</v>
      </c>
      <c r="C432" s="7">
        <v>0.11178</v>
      </c>
      <c r="D432" s="7">
        <v>1.0249999999999999</v>
      </c>
      <c r="E432" s="7">
        <f>aktuelleAnleihen[[#This Row],[Aktueller Kurs]]-aktuelleAnleihen[[#This Row],[Kaufkurs]]</f>
        <v>1.7499999999999849E-2</v>
      </c>
      <c r="F432" s="8">
        <f>aktuelleAnleihen[[#This Row],[Stückelung]]*aktuelleAnleihen[[#This Row],[Aktueller Kurs]]*aktuelleAnleihen[[#This Row],[Anteile]]/aktuelleAnleihen[[#This Row],[Aktueller Wechselkurs]]+aktuelleAnleihen[[#This Row],[Stückzinsen]]</f>
        <v>2624.5149315068493</v>
      </c>
      <c r="G432" s="8">
        <f>aktuelleAnleihen[[#This Row],[Kursdifferenz]]*aktuelleAnleihen[[#This Row],[Anteile]]*aktuelleAnleihen[[#This Row],[Stückelung]]/aktuelleAnleihen[[#This Row],[Wechselkurs am Kauftag]]</f>
        <v>43.749999999999623</v>
      </c>
      <c r="H432" s="8">
        <f>aktuelleAnleihen[[#This Row],[Stückzinsen]]-aktuelleAnleihen[[#This Row],[Stückzinsen am Kauftag]]+aktuelleAnleihen[[#This Row],[Zinszahlungen]]</f>
        <v>55.124431506849312</v>
      </c>
      <c r="I432" s="8">
        <f>aktuelleAnleihen[[#This Row],[Gewinn gesamt]]-aktuelleAnleihen[[#This Row],[Gewinn aus Kursänderung]]-aktuelleAnleihen[[#This Row],[Gewinn aus Zinsen]]</f>
        <v>3.694822225952521E-13</v>
      </c>
      <c r="J432" s="7">
        <f>aktuelleAnleihen[[#This Row],[Gewinn gesamt]]/aktuelleAnleihen[[#This Row],[Kaufpreis]]</f>
        <v>3.9148260216309211E-2</v>
      </c>
      <c r="K432" s="3">
        <f>aktuelleAnleihen[[#This Row],[Verkaufspreis]]-aktuelleAnleihen[[#This Row],[Kaufpreis]]+aktuelleAnleihen[[#This Row],[Zinszahlungen]]</f>
        <v>98.874431506849305</v>
      </c>
      <c r="L432" s="4">
        <v>2525.6405</v>
      </c>
      <c r="M432" s="7">
        <v>1.0075000000000001</v>
      </c>
      <c r="N432" s="61">
        <v>1</v>
      </c>
      <c r="O432" s="1">
        <v>1</v>
      </c>
      <c r="P432" s="1" t="s">
        <v>925</v>
      </c>
      <c r="Q432" s="30">
        <v>45378</v>
      </c>
      <c r="R432" s="1">
        <v>1</v>
      </c>
      <c r="S432" s="1">
        <v>2500</v>
      </c>
      <c r="T432" s="9">
        <v>45369</v>
      </c>
      <c r="U432" s="1">
        <v>4</v>
      </c>
      <c r="V432" s="62">
        <f>aktuelleAnleihen[[#This Row],[Stückelung]]*aktuelleAnleihen[[#This Row],[Anteile]]*aktuelleAnleihen[[#This Row],[Coupon]]/aktuelleAnleihen[[#This Row],[Aktueller Wechselkurs]]*($AC$1-aktuelleAnleihen[[#This Row],[Letzte Zinszahlung]])/365</f>
        <v>62.014931506849315</v>
      </c>
      <c r="W432" s="4">
        <v>6.8905000000000003</v>
      </c>
      <c r="X432" s="120" t="s">
        <v>80</v>
      </c>
      <c r="Y432" s="120" t="s">
        <v>81</v>
      </c>
      <c r="Z432" s="1" t="s">
        <v>82</v>
      </c>
      <c r="AA432" s="1" t="s">
        <v>83</v>
      </c>
      <c r="AB432" s="3">
        <f>SUMIF('Zinszahlungen Anleihen'!K:K,aktuelleAnleihen[[#This Row],[ISIN]],'Zinszahlungen Anleihen'!D:D)</f>
        <v>0</v>
      </c>
      <c r="AE432" s="9"/>
      <c r="AF432" s="1"/>
      <c r="AI432" s="3"/>
      <c r="AJ432" s="1"/>
      <c r="AM432" s="10"/>
      <c r="AN432" s="1"/>
      <c r="AP432" s="7"/>
      <c r="AQ432" s="1"/>
    </row>
    <row r="433" spans="1:43" x14ac:dyDescent="0.2">
      <c r="A433" s="1" t="s">
        <v>279</v>
      </c>
      <c r="B433" s="1" t="s">
        <v>10</v>
      </c>
      <c r="C433" s="7">
        <v>9.4320000000000001E-2</v>
      </c>
      <c r="D433" s="7">
        <v>0.99770000000000003</v>
      </c>
      <c r="E433" s="7">
        <f>aktuelleAnleihen[[#This Row],[Aktueller Kurs]]-aktuelleAnleihen[[#This Row],[Kaufkurs]]</f>
        <v>2.200000000000002E-2</v>
      </c>
      <c r="F433" s="8">
        <f>aktuelleAnleihen[[#This Row],[Stückelung]]*aktuelleAnleihen[[#This Row],[Aktueller Kurs]]*aktuelleAnleihen[[#This Row],[Anteile]]/aktuelleAnleihen[[#This Row],[Aktueller Wechselkurs]]+aktuelleAnleihen[[#This Row],[Stückzinsen]]</f>
        <v>2021.7579178082192</v>
      </c>
      <c r="G433" s="8">
        <f>aktuelleAnleihen[[#This Row],[Kursdifferenz]]*aktuelleAnleihen[[#This Row],[Anteile]]*aktuelleAnleihen[[#This Row],[Stückelung]]/aktuelleAnleihen[[#This Row],[Wechselkurs am Kauftag]]</f>
        <v>44.000000000000043</v>
      </c>
      <c r="H433" s="8">
        <f>aktuelleAnleihen[[#This Row],[Stückzinsen]]-aktuelleAnleihen[[#This Row],[Stückzinsen am Kauftag]]+aktuelleAnleihen[[#This Row],[Zinszahlungen]]</f>
        <v>33.722617808219184</v>
      </c>
      <c r="I433" s="8">
        <f>aktuelleAnleihen[[#This Row],[Gewinn gesamt]]-aktuelleAnleihen[[#This Row],[Gewinn aus Kursänderung]]-aktuelleAnleihen[[#This Row],[Gewinn aus Zinsen]]</f>
        <v>-1.2789769243681803E-13</v>
      </c>
      <c r="J433" s="7">
        <f>aktuelleAnleihen[[#This Row],[Gewinn gesamt]]/aktuelleAnleihen[[#This Row],[Kaufpreis]]</f>
        <v>3.9033146476500372E-2</v>
      </c>
      <c r="K433" s="3">
        <f>aktuelleAnleihen[[#This Row],[Verkaufspreis]]-aktuelleAnleihen[[#This Row],[Kaufpreis]]+aktuelleAnleihen[[#This Row],[Zinszahlungen]]</f>
        <v>77.722617808219098</v>
      </c>
      <c r="L433" s="4">
        <v>1991.1953000000001</v>
      </c>
      <c r="M433" s="7">
        <v>0.97570000000000001</v>
      </c>
      <c r="N433" s="61">
        <v>1</v>
      </c>
      <c r="O433" s="1">
        <v>1</v>
      </c>
      <c r="P433" s="1" t="s">
        <v>925</v>
      </c>
      <c r="Q433" s="30">
        <v>45385</v>
      </c>
      <c r="R433" s="1">
        <v>2</v>
      </c>
      <c r="S433" s="1">
        <v>1000</v>
      </c>
      <c r="T433" s="9">
        <v>45399</v>
      </c>
      <c r="U433" s="1">
        <v>4</v>
      </c>
      <c r="V433" s="62">
        <f>aktuelleAnleihen[[#This Row],[Stückelung]]*aktuelleAnleihen[[#This Row],[Anteile]]*aktuelleAnleihen[[#This Row],[Coupon]]/aktuelleAnleihen[[#This Row],[Aktueller Wechselkurs]]*($AC$1-aktuelleAnleihen[[#This Row],[Letzte Zinszahlung]])/365</f>
        <v>26.357917808219181</v>
      </c>
      <c r="W433" s="4">
        <v>39.795299999999997</v>
      </c>
      <c r="X433" s="120" t="s">
        <v>280</v>
      </c>
      <c r="Y433" s="120" t="s">
        <v>39</v>
      </c>
      <c r="Z433" s="1" t="s">
        <v>281</v>
      </c>
      <c r="AA433" s="1" t="s">
        <v>282</v>
      </c>
      <c r="AB433" s="3">
        <f>SUMIF('Zinszahlungen Anleihen'!K:K,aktuelleAnleihen[[#This Row],[ISIN]],'Zinszahlungen Anleihen'!D:D)</f>
        <v>47.160000000000004</v>
      </c>
      <c r="AE433" s="9"/>
      <c r="AF433" s="1"/>
      <c r="AI433" s="3"/>
      <c r="AJ433" s="1"/>
      <c r="AM433" s="10"/>
      <c r="AN433" s="1"/>
      <c r="AP433" s="7"/>
      <c r="AQ433" s="1"/>
    </row>
    <row r="434" spans="1:43" x14ac:dyDescent="0.2">
      <c r="A434" s="1" t="s">
        <v>299</v>
      </c>
      <c r="B434" s="1" t="s">
        <v>0</v>
      </c>
      <c r="C434" s="7">
        <v>9.2499999999999999E-2</v>
      </c>
      <c r="D434" s="7">
        <v>0.98250999999999999</v>
      </c>
      <c r="E434" s="7">
        <f>aktuelleAnleihen[[#This Row],[Aktueller Kurs]]-aktuelleAnleihen[[#This Row],[Kaufkurs]]</f>
        <v>2.2209999999999952E-2</v>
      </c>
      <c r="F434" s="8">
        <f>aktuelleAnleihen[[#This Row],[Stückelung]]*aktuelleAnleihen[[#This Row],[Aktueller Kurs]]*aktuelleAnleihen[[#This Row],[Anteile]]/aktuelleAnleihen[[#This Row],[Aktueller Wechselkurs]]+aktuelleAnleihen[[#This Row],[Stückzinsen]]</f>
        <v>1984.2802739726028</v>
      </c>
      <c r="G434" s="8">
        <f>aktuelleAnleihen[[#This Row],[Kursdifferenz]]*aktuelleAnleihen[[#This Row],[Anteile]]*aktuelleAnleihen[[#This Row],[Stückelung]]/aktuelleAnleihen[[#This Row],[Wechselkurs am Kauftag]]</f>
        <v>44.419999999999902</v>
      </c>
      <c r="H434" s="8">
        <f>aktuelleAnleihen[[#This Row],[Stückzinsen]]-aktuelleAnleihen[[#This Row],[Stückzinsen am Kauftag]]+aktuelleAnleihen[[#This Row],[Zinszahlungen]]</f>
        <v>32.691773972602739</v>
      </c>
      <c r="I434" s="8">
        <f>aktuelleAnleihen[[#This Row],[Gewinn gesamt]]-aktuelleAnleihen[[#This Row],[Gewinn aus Kursänderung]]-aktuelleAnleihen[[#This Row],[Gewinn aus Zinsen]]</f>
        <v>1.6342482922482304E-13</v>
      </c>
      <c r="J434" s="7">
        <f>aktuelleAnleihen[[#This Row],[Gewinn gesamt]]/aktuelleAnleihen[[#This Row],[Kaufpreis]]</f>
        <v>3.8562278683993277E-2</v>
      </c>
      <c r="K434" s="3">
        <f>aktuelleAnleihen[[#This Row],[Verkaufspreis]]-aktuelleAnleihen[[#This Row],[Kaufpreis]]+aktuelleAnleihen[[#This Row],[Zinszahlungen]]</f>
        <v>77.111773972602805</v>
      </c>
      <c r="L434" s="4">
        <v>1999.6685</v>
      </c>
      <c r="M434" s="7">
        <v>0.96030000000000004</v>
      </c>
      <c r="N434" s="61">
        <v>1</v>
      </c>
      <c r="O434" s="1">
        <v>1</v>
      </c>
      <c r="P434" s="1" t="s">
        <v>925</v>
      </c>
      <c r="Q434" s="30">
        <v>45385</v>
      </c>
      <c r="R434" s="1">
        <v>2</v>
      </c>
      <c r="S434" s="1">
        <v>1000</v>
      </c>
      <c r="T434" s="9">
        <v>45412</v>
      </c>
      <c r="U434" s="1">
        <v>2</v>
      </c>
      <c r="V434" s="62">
        <f>aktuelleAnleihen[[#This Row],[Stückelung]]*aktuelleAnleihen[[#This Row],[Anteile]]*aktuelleAnleihen[[#This Row],[Coupon]]/aktuelleAnleihen[[#This Row],[Aktueller Wechselkurs]]*($AC$1-aktuelleAnleihen[[#This Row],[Letzte Zinszahlung]])/365</f>
        <v>19.260273972602739</v>
      </c>
      <c r="W434" s="4">
        <v>79.0685</v>
      </c>
      <c r="X434" s="120" t="s">
        <v>35</v>
      </c>
      <c r="Y434" s="120" t="s">
        <v>52</v>
      </c>
      <c r="Z434" s="1" t="s">
        <v>300</v>
      </c>
      <c r="AA434" s="1" t="s">
        <v>301</v>
      </c>
      <c r="AB434" s="3">
        <f>SUMIF('Zinszahlungen Anleihen'!K:K,aktuelleAnleihen[[#This Row],[ISIN]],'Zinszahlungen Anleihen'!D:D)</f>
        <v>92.5</v>
      </c>
      <c r="AE434" s="9"/>
      <c r="AF434" s="1"/>
      <c r="AI434" s="3"/>
      <c r="AJ434" s="1"/>
      <c r="AM434" s="10"/>
      <c r="AN434" s="1"/>
      <c r="AP434" s="7"/>
      <c r="AQ434" s="1"/>
    </row>
    <row r="435" spans="1:43" x14ac:dyDescent="0.2">
      <c r="A435" s="1" t="s">
        <v>1379</v>
      </c>
      <c r="B435" s="1" t="s">
        <v>8</v>
      </c>
      <c r="C435" s="7">
        <v>8.7499999999999994E-2</v>
      </c>
      <c r="D435" s="7">
        <v>1.1999</v>
      </c>
      <c r="E435" s="7">
        <f>aktuelleAnleihen[[#This Row],[Aktueller Kurs]]-aktuelleAnleihen[[#This Row],[Kaufkurs]]</f>
        <v>2.4299999999999988E-2</v>
      </c>
      <c r="F435" s="8">
        <f>aktuelleAnleihen[[#This Row],[Stückelung]]*aktuelleAnleihen[[#This Row],[Aktueller Kurs]]*aktuelleAnleihen[[#This Row],[Anteile]]/aktuelleAnleihen[[#This Row],[Aktueller Wechselkurs]]+aktuelleAnleihen[[#This Row],[Stückzinsen]]</f>
        <v>2240.4498876161415</v>
      </c>
      <c r="G435" s="8">
        <f>aktuelleAnleihen[[#This Row],[Kursdifferenz]]*aktuelleAnleihen[[#This Row],[Anteile]]*aktuelleAnleihen[[#This Row],[Stückelung]]/aktuelleAnleihen[[#This Row],[Wechselkurs am Kauftag]]</f>
        <v>45.323137181758817</v>
      </c>
      <c r="H435" s="8">
        <f>aktuelleAnleihen[[#This Row],[Stückzinsen]]-aktuelleAnleihen[[#This Row],[Stückzinsen am Kauftag]]+aktuelleAnleihen[[#This Row],[Zinszahlungen]]</f>
        <v>16.411431946322406</v>
      </c>
      <c r="I435" s="8">
        <f>aktuelleAnleihen[[#This Row],[Gewinn gesamt]]-aktuelleAnleihen[[#This Row],[Gewinn aus Kursänderung]]-aktuelleAnleihen[[#This Row],[Gewinn aus Zinsen]]</f>
        <v>-34.522381511939855</v>
      </c>
      <c r="J435" s="7">
        <f>aktuelleAnleihen[[#This Row],[Gewinn gesamt]]/aktuelleAnleihen[[#This Row],[Kaufpreis]]</f>
        <v>1.2295194328264588E-2</v>
      </c>
      <c r="K435" s="3">
        <f>aktuelleAnleihen[[#This Row],[Verkaufspreis]]-aktuelleAnleihen[[#This Row],[Kaufpreis]]+aktuelleAnleihen[[#This Row],[Zinszahlungen]]</f>
        <v>27.212187616141364</v>
      </c>
      <c r="L435" s="4">
        <v>2213.2377000000001</v>
      </c>
      <c r="M435" s="7">
        <v>1.1756</v>
      </c>
      <c r="N435" s="61">
        <v>1.0723</v>
      </c>
      <c r="O435" s="1">
        <v>1.0891</v>
      </c>
      <c r="P435" s="1" t="s">
        <v>887</v>
      </c>
      <c r="Q435" s="30">
        <v>45412</v>
      </c>
      <c r="R435" s="1">
        <v>2</v>
      </c>
      <c r="S435" s="1">
        <v>1000</v>
      </c>
      <c r="T435" s="9">
        <v>45366</v>
      </c>
      <c r="U435" s="1">
        <v>2</v>
      </c>
      <c r="V435" s="62">
        <f>aktuelleAnleihen[[#This Row],[Stückelung]]*aktuelleAnleihen[[#This Row],[Anteile]]*aktuelleAnleihen[[#This Row],[Coupon]]/aktuelleAnleihen[[#This Row],[Aktueller Wechselkurs]]*($AC$1-aktuelleAnleihen[[#This Row],[Letzte Zinszahlung]])/365</f>
        <v>36.979131946322404</v>
      </c>
      <c r="W435" s="4">
        <v>20.567699999999999</v>
      </c>
      <c r="X435" s="120" t="s">
        <v>276</v>
      </c>
      <c r="Y435" s="120" t="s">
        <v>109</v>
      </c>
      <c r="Z435" s="1" t="s">
        <v>1380</v>
      </c>
      <c r="AA435" s="1" t="s">
        <v>1381</v>
      </c>
      <c r="AB435" s="3">
        <f>SUMIF('Zinszahlungen Anleihen'!K:K,aktuelleAnleihen[[#This Row],[ISIN]],'Zinszahlungen Anleihen'!D:D)</f>
        <v>0</v>
      </c>
      <c r="AE435" s="9"/>
      <c r="AF435" s="1"/>
      <c r="AI435" s="3"/>
      <c r="AJ435" s="1"/>
      <c r="AM435" s="10"/>
      <c r="AN435" s="1"/>
      <c r="AP435" s="7"/>
      <c r="AQ435" s="1"/>
    </row>
    <row r="436" spans="1:43" x14ac:dyDescent="0.2">
      <c r="A436" s="1" t="s">
        <v>1686</v>
      </c>
      <c r="B436" s="1" t="s">
        <v>11</v>
      </c>
      <c r="C436" s="7">
        <v>8.1250000000000003E-2</v>
      </c>
      <c r="D436" s="7">
        <v>1.0822000000000001</v>
      </c>
      <c r="E436" s="7">
        <f>aktuelleAnleihen[[#This Row],[Aktueller Kurs]]-aktuelleAnleihen[[#This Row],[Kaufkurs]]</f>
        <v>2.4499999999999966E-2</v>
      </c>
      <c r="F436" s="8">
        <f>aktuelleAnleihen[[#This Row],[Stückelung]]*aktuelleAnleihen[[#This Row],[Aktueller Kurs]]*aktuelleAnleihen[[#This Row],[Anteile]]/aktuelleAnleihen[[#This Row],[Aktueller Wechselkurs]]+aktuelleAnleihen[[#This Row],[Stückzinsen]]</f>
        <v>2012.6735283500393</v>
      </c>
      <c r="G436" s="8">
        <f>aktuelleAnleihen[[#This Row],[Kursdifferenz]]*aktuelleAnleihen[[#This Row],[Anteile]]*aktuelleAnleihen[[#This Row],[Stückelung]]/aktuelleAnleihen[[#This Row],[Wechselkurs am Kauftag]]</f>
        <v>45.696167117411107</v>
      </c>
      <c r="H436" s="8">
        <f>aktuelleAnleihen[[#This Row],[Stückzinsen]]-aktuelleAnleihen[[#This Row],[Stückzinsen am Kauftag]]+aktuelleAnleihen[[#This Row],[Zinszahlungen]]</f>
        <v>15.380041112870627</v>
      </c>
      <c r="I436" s="8">
        <f>aktuelleAnleihen[[#This Row],[Gewinn gesamt]]-aktuelleAnleihen[[#This Row],[Gewinn aus Kursänderung]]-aktuelleAnleihen[[#This Row],[Gewinn aus Zinsen]]</f>
        <v>-31.13597988024253</v>
      </c>
      <c r="J436" s="7">
        <f>aktuelleAnleihen[[#This Row],[Gewinn gesamt]]/aktuelleAnleihen[[#This Row],[Kaufpreis]]</f>
        <v>1.510048192060889E-2</v>
      </c>
      <c r="K436" s="3">
        <f>aktuelleAnleihen[[#This Row],[Verkaufspreis]]-aktuelleAnleihen[[#This Row],[Kaufpreis]]+aktuelleAnleihen[[#This Row],[Zinszahlungen]]</f>
        <v>29.940228350039206</v>
      </c>
      <c r="L436" s="4">
        <v>1982.7333000000001</v>
      </c>
      <c r="M436" s="7">
        <v>1.0577000000000001</v>
      </c>
      <c r="N436" s="61">
        <v>1.0723</v>
      </c>
      <c r="O436" s="1">
        <v>1.0891</v>
      </c>
      <c r="P436" s="1" t="s">
        <v>887</v>
      </c>
      <c r="Q436" s="30">
        <v>45412</v>
      </c>
      <c r="R436" s="1">
        <v>2</v>
      </c>
      <c r="S436" s="1">
        <v>1000</v>
      </c>
      <c r="T436" s="9">
        <v>45388</v>
      </c>
      <c r="U436" s="1">
        <v>2</v>
      </c>
      <c r="V436" s="62">
        <f>aktuelleAnleihen[[#This Row],[Stückelung]]*aktuelleAnleihen[[#This Row],[Anteile]]*aktuelleAnleihen[[#This Row],[Coupon]]/aktuelleAnleihen[[#This Row],[Aktueller Wechselkurs]]*($AC$1-aktuelleAnleihen[[#This Row],[Letzte Zinszahlung]])/365</f>
        <v>25.344541112870626</v>
      </c>
      <c r="W436" s="4">
        <v>9.9644999999999992</v>
      </c>
      <c r="X436" s="120" t="s">
        <v>1687</v>
      </c>
      <c r="Y436" s="120" t="s">
        <v>52</v>
      </c>
      <c r="Z436" s="1" t="s">
        <v>1688</v>
      </c>
      <c r="AA436" s="1" t="s">
        <v>1689</v>
      </c>
      <c r="AB436" s="3">
        <f>SUMIF('Zinszahlungen Anleihen'!K:K,aktuelleAnleihen[[#This Row],[ISIN]],'Zinszahlungen Anleihen'!D:D)</f>
        <v>0</v>
      </c>
      <c r="AE436" s="9"/>
      <c r="AF436" s="1"/>
      <c r="AI436" s="3"/>
      <c r="AJ436" s="1"/>
      <c r="AM436" s="10"/>
      <c r="AN436" s="1"/>
      <c r="AP436" s="7"/>
      <c r="AQ436" s="1"/>
    </row>
    <row r="437" spans="1:43" x14ac:dyDescent="0.2">
      <c r="A437" s="1" t="s">
        <v>1629</v>
      </c>
      <c r="B437" s="1" t="s">
        <v>0</v>
      </c>
      <c r="C437" s="7">
        <v>8.2500000000000004E-2</v>
      </c>
      <c r="D437" s="7">
        <v>0.32150000000000001</v>
      </c>
      <c r="E437" s="7">
        <f>aktuelleAnleihen[[#This Row],[Aktueller Kurs]]-aktuelleAnleihen[[#This Row],[Kaufkurs]]</f>
        <v>2.4500000000000022E-2</v>
      </c>
      <c r="F437" s="8">
        <f>aktuelleAnleihen[[#This Row],[Stückelung]]*aktuelleAnleihen[[#This Row],[Aktueller Kurs]]*aktuelleAnleihen[[#This Row],[Anteile]]/aktuelleAnleihen[[#This Row],[Aktueller Wechselkurs]]+aktuelleAnleihen[[#This Row],[Stückzinsen]]</f>
        <v>638.95915063713539</v>
      </c>
      <c r="G437" s="8">
        <f>aktuelleAnleihen[[#This Row],[Kursdifferenz]]*aktuelleAnleihen[[#This Row],[Anteile]]*aktuelleAnleihen[[#This Row],[Stückelung]]/aktuelleAnleihen[[#This Row],[Wechselkurs am Kauftag]]</f>
        <v>45.696167117411214</v>
      </c>
      <c r="H437" s="8">
        <f>aktuelleAnleihen[[#This Row],[Stückzinsen]]-aktuelleAnleihen[[#This Row],[Stückzinsen am Kauftag]]+aktuelleAnleihen[[#This Row],[Zinszahlungen]]</f>
        <v>15.259011035629513</v>
      </c>
      <c r="I437" s="8">
        <f>aktuelleAnleihen[[#This Row],[Gewinn gesamt]]-aktuelleAnleihen[[#This Row],[Gewinn aus Kursänderung]]-aktuelleAnleihen[[#This Row],[Gewinn aus Zinsen]]</f>
        <v>-9.2499275159053767</v>
      </c>
      <c r="J437" s="7">
        <f>aktuelleAnleihen[[#This Row],[Gewinn gesamt]]/aktuelleAnleihen[[#This Row],[Kaufpreis]]</f>
        <v>8.804581908631913E-2</v>
      </c>
      <c r="K437" s="3">
        <f>aktuelleAnleihen[[#This Row],[Verkaufspreis]]-aktuelleAnleihen[[#This Row],[Kaufpreis]]+aktuelleAnleihen[[#This Row],[Zinszahlungen]]</f>
        <v>51.70525063713535</v>
      </c>
      <c r="L437" s="4">
        <v>587.25390000000004</v>
      </c>
      <c r="M437" s="7">
        <v>0.29699999999999999</v>
      </c>
      <c r="N437" s="61">
        <v>1.0723</v>
      </c>
      <c r="O437" s="1">
        <v>1.0891</v>
      </c>
      <c r="P437" s="1" t="s">
        <v>887</v>
      </c>
      <c r="Q437" s="30">
        <v>45412</v>
      </c>
      <c r="R437" s="1">
        <v>2</v>
      </c>
      <c r="S437" s="1">
        <v>1000</v>
      </c>
      <c r="T437" s="9">
        <v>45333</v>
      </c>
      <c r="U437" s="1">
        <v>2</v>
      </c>
      <c r="V437" s="62">
        <f>aktuelleAnleihen[[#This Row],[Stückelung]]*aktuelleAnleihen[[#This Row],[Anteile]]*aktuelleAnleihen[[#This Row],[Coupon]]/aktuelleAnleihen[[#This Row],[Aktueller Wechselkurs]]*($AC$1-aktuelleAnleihen[[#This Row],[Letzte Zinszahlung]])/365</f>
        <v>48.563411035629514</v>
      </c>
      <c r="W437" s="4">
        <v>33.304400000000001</v>
      </c>
      <c r="X437" s="120" t="s">
        <v>1020</v>
      </c>
      <c r="Y437" s="120" t="s">
        <v>39</v>
      </c>
      <c r="Z437" s="1" t="s">
        <v>1630</v>
      </c>
      <c r="AA437" s="1" t="s">
        <v>1631</v>
      </c>
      <c r="AB437" s="3">
        <f>SUMIF('Zinszahlungen Anleihen'!K:K,aktuelleAnleihen[[#This Row],[ISIN]],'Zinszahlungen Anleihen'!D:D)</f>
        <v>0</v>
      </c>
      <c r="AE437" s="9"/>
      <c r="AF437" s="1"/>
      <c r="AI437" s="3"/>
      <c r="AJ437" s="1"/>
      <c r="AM437" s="10"/>
      <c r="AN437" s="1"/>
      <c r="AP437" s="7"/>
      <c r="AQ437" s="1"/>
    </row>
    <row r="438" spans="1:43" x14ac:dyDescent="0.2">
      <c r="A438" s="1" t="s">
        <v>1409</v>
      </c>
      <c r="B438" s="1" t="s">
        <v>0</v>
      </c>
      <c r="C438" s="7">
        <v>8.6259999999999989E-2</v>
      </c>
      <c r="D438" s="7">
        <v>0.98719999999999997</v>
      </c>
      <c r="E438" s="7">
        <f>aktuelleAnleihen[[#This Row],[Aktueller Kurs]]-aktuelleAnleihen[[#This Row],[Kaufkurs]]</f>
        <v>2.4599999999999955E-2</v>
      </c>
      <c r="F438" s="8">
        <f>aktuelleAnleihen[[#This Row],[Stückelung]]*aktuelleAnleihen[[#This Row],[Aktueller Kurs]]*aktuelleAnleihen[[#This Row],[Anteile]]/aktuelleAnleihen[[#This Row],[Aktueller Wechselkurs]]+aktuelleAnleihen[[#This Row],[Stückzinsen]]</f>
        <v>1842.8182626600071</v>
      </c>
      <c r="G438" s="8">
        <f>aktuelleAnleihen[[#This Row],[Kursdifferenz]]*aktuelleAnleihen[[#This Row],[Anteile]]*aktuelleAnleihen[[#This Row],[Stückelung]]/aktuelleAnleihen[[#This Row],[Wechselkurs am Kauftag]]</f>
        <v>45.882682085237256</v>
      </c>
      <c r="H438" s="8">
        <f>aktuelleAnleihen[[#This Row],[Stückzinsen]]-aktuelleAnleihen[[#This Row],[Stückzinsen am Kauftag]]+aktuelleAnleihen[[#This Row],[Zinszahlungen]]</f>
        <v>16.280848244434576</v>
      </c>
      <c r="I438" s="8">
        <f>aktuelleAnleihen[[#This Row],[Gewinn gesamt]]-aktuelleAnleihen[[#This Row],[Gewinn aus Kursänderung]]-aktuelleAnleihen[[#This Row],[Gewinn aus Zinsen]]</f>
        <v>-28.402767669664602</v>
      </c>
      <c r="J438" s="7">
        <f>aktuelleAnleihen[[#This Row],[Gewinn gesamt]]/aktuelleAnleihen[[#This Row],[Kaufpreis]]</f>
        <v>1.8662072742302128E-2</v>
      </c>
      <c r="K438" s="3">
        <f>aktuelleAnleihen[[#This Row],[Verkaufspreis]]-aktuelleAnleihen[[#This Row],[Kaufpreis]]+aktuelleAnleihen[[#This Row],[Zinszahlungen]]</f>
        <v>33.760762660007231</v>
      </c>
      <c r="L438" s="4">
        <v>1809.0574999999999</v>
      </c>
      <c r="M438" s="7">
        <v>0.96260000000000001</v>
      </c>
      <c r="N438" s="61">
        <v>1.0723</v>
      </c>
      <c r="O438" s="1">
        <v>1.0891</v>
      </c>
      <c r="P438" s="1" t="s">
        <v>887</v>
      </c>
      <c r="Q438" s="30">
        <v>45412</v>
      </c>
      <c r="R438" s="1">
        <v>2</v>
      </c>
      <c r="S438" s="1">
        <v>1000</v>
      </c>
      <c r="T438" s="9">
        <v>45381</v>
      </c>
      <c r="U438" s="1">
        <v>4</v>
      </c>
      <c r="V438" s="62">
        <f>aktuelleAnleihen[[#This Row],[Stückelung]]*aktuelleAnleihen[[#This Row],[Anteile]]*aktuelleAnleihen[[#This Row],[Coupon]]/aktuelleAnleihen[[#This Row],[Aktueller Wechselkurs]]*($AC$1-aktuelleAnleihen[[#This Row],[Letzte Zinszahlung]])/365</f>
        <v>29.945248244434577</v>
      </c>
      <c r="W438" s="4">
        <v>13.664400000000001</v>
      </c>
      <c r="X438" s="120" t="s">
        <v>276</v>
      </c>
      <c r="Y438" s="120" t="s">
        <v>52</v>
      </c>
      <c r="Z438" s="1" t="s">
        <v>1410</v>
      </c>
      <c r="AA438" s="1" t="s">
        <v>1411</v>
      </c>
      <c r="AB438" s="3">
        <f>SUMIF('Zinszahlungen Anleihen'!K:K,aktuelleAnleihen[[#This Row],[ISIN]],'Zinszahlungen Anleihen'!D:D)</f>
        <v>0</v>
      </c>
      <c r="AE438" s="9"/>
      <c r="AF438" s="1"/>
      <c r="AI438" s="3"/>
      <c r="AJ438" s="1"/>
      <c r="AM438" s="10"/>
      <c r="AN438" s="1"/>
      <c r="AP438" s="7"/>
      <c r="AQ438" s="1"/>
    </row>
    <row r="439" spans="1:43" x14ac:dyDescent="0.2">
      <c r="A439" s="1" t="s">
        <v>1369</v>
      </c>
      <c r="B439" s="1" t="s">
        <v>0</v>
      </c>
      <c r="C439" s="7">
        <v>8.7499999999999994E-2</v>
      </c>
      <c r="D439" s="7">
        <v>1.0459000000000001</v>
      </c>
      <c r="E439" s="7">
        <f>aktuelleAnleihen[[#This Row],[Aktueller Kurs]]-aktuelleAnleihen[[#This Row],[Kaufkurs]]</f>
        <v>2.4699999999999944E-2</v>
      </c>
      <c r="F439" s="8">
        <f>aktuelleAnleihen[[#This Row],[Stückelung]]*aktuelleAnleihen[[#This Row],[Aktueller Kurs]]*aktuelleAnleihen[[#This Row],[Anteile]]/aktuelleAnleihen[[#This Row],[Aktueller Wechselkurs]]+aktuelleAnleihen[[#This Row],[Stückzinsen]]</f>
        <v>1973.4957731845952</v>
      </c>
      <c r="G439" s="8">
        <f>aktuelleAnleihen[[#This Row],[Kursdifferenz]]*aktuelleAnleihen[[#This Row],[Anteile]]*aktuelleAnleihen[[#This Row],[Stückelung]]/aktuelleAnleihen[[#This Row],[Wechselkurs am Kauftag]]</f>
        <v>46.069197053063405</v>
      </c>
      <c r="H439" s="8">
        <f>aktuelleAnleihen[[#This Row],[Stückzinsen]]-aktuelleAnleihen[[#This Row],[Stückzinsen am Kauftag]]+aktuelleAnleihen[[#This Row],[Zinszahlungen]]</f>
        <v>16.163131351889142</v>
      </c>
      <c r="I439" s="8">
        <f>aktuelleAnleihen[[#This Row],[Gewinn gesamt]]-aktuelleAnleihen[[#This Row],[Gewinn aus Kursänderung]]-aktuelleAnleihen[[#This Row],[Gewinn aus Zinsen]]</f>
        <v>-30.091655220357303</v>
      </c>
      <c r="J439" s="7">
        <f>aktuelleAnleihen[[#This Row],[Gewinn gesamt]]/aktuelleAnleihen[[#This Row],[Kaufpreis]]</f>
        <v>1.6555793004893977E-2</v>
      </c>
      <c r="K439" s="3">
        <f>aktuelleAnleihen[[#This Row],[Verkaufspreis]]-aktuelleAnleihen[[#This Row],[Kaufpreis]]+aktuelleAnleihen[[#This Row],[Zinszahlungen]]</f>
        <v>32.140673184595244</v>
      </c>
      <c r="L439" s="4">
        <v>1941.3551</v>
      </c>
      <c r="M439" s="7">
        <v>1.0212000000000001</v>
      </c>
      <c r="N439" s="61">
        <v>1.0723</v>
      </c>
      <c r="O439" s="1">
        <v>1.0891</v>
      </c>
      <c r="P439" s="1" t="s">
        <v>887</v>
      </c>
      <c r="Q439" s="30">
        <v>45412</v>
      </c>
      <c r="R439" s="1">
        <v>2</v>
      </c>
      <c r="S439" s="1">
        <v>1000</v>
      </c>
      <c r="T439" s="9">
        <v>45330</v>
      </c>
      <c r="U439" s="1">
        <v>2</v>
      </c>
      <c r="V439" s="62">
        <f>aktuelleAnleihen[[#This Row],[Stückelung]]*aktuelleAnleihen[[#This Row],[Anteile]]*aktuelleAnleihen[[#This Row],[Coupon]]/aktuelleAnleihen[[#This Row],[Aktueller Wechselkurs]]*($AC$1-aktuelleAnleihen[[#This Row],[Letzte Zinszahlung]])/365</f>
        <v>52.827331351889143</v>
      </c>
      <c r="W439" s="4">
        <v>36.664200000000001</v>
      </c>
      <c r="X439" s="120" t="s">
        <v>991</v>
      </c>
      <c r="Y439" s="120" t="s">
        <v>52</v>
      </c>
      <c r="Z439" s="1" t="s">
        <v>1370</v>
      </c>
      <c r="AA439" s="1" t="s">
        <v>1371</v>
      </c>
      <c r="AB439" s="3">
        <f>SUMIF('Zinszahlungen Anleihen'!K:K,aktuelleAnleihen[[#This Row],[ISIN]],'Zinszahlungen Anleihen'!D:D)</f>
        <v>0</v>
      </c>
      <c r="AE439" s="9"/>
      <c r="AF439" s="1"/>
      <c r="AI439" s="3"/>
      <c r="AJ439" s="1"/>
      <c r="AM439" s="10"/>
      <c r="AN439" s="1"/>
      <c r="AP439" s="7"/>
      <c r="AQ439" s="1"/>
    </row>
    <row r="440" spans="1:43" x14ac:dyDescent="0.2">
      <c r="A440" s="1" t="s">
        <v>208</v>
      </c>
      <c r="B440" s="1" t="s">
        <v>0</v>
      </c>
      <c r="C440" s="7">
        <v>0.105</v>
      </c>
      <c r="D440" s="7">
        <v>1.1992</v>
      </c>
      <c r="E440" s="7">
        <f>aktuelleAnleihen[[#This Row],[Aktueller Kurs]]-aktuelleAnleihen[[#This Row],[Kaufkurs]]</f>
        <v>2.310000000000012E-2</v>
      </c>
      <c r="F440" s="8">
        <f>aktuelleAnleihen[[#This Row],[Stückelung]]*aktuelleAnleihen[[#This Row],[Aktueller Kurs]]*aktuelleAnleihen[[#This Row],[Anteile]]/aktuelleAnleihen[[#This Row],[Aktueller Wechselkurs]]+aktuelleAnleihen[[#This Row],[Stückzinsen]]</f>
        <v>2582.5095890410958</v>
      </c>
      <c r="G440" s="8">
        <f>aktuelleAnleihen[[#This Row],[Kursdifferenz]]*aktuelleAnleihen[[#This Row],[Anteile]]*aktuelleAnleihen[[#This Row],[Stückelung]]/aktuelleAnleihen[[#This Row],[Wechselkurs am Kauftag]]</f>
        <v>46.200000000000244</v>
      </c>
      <c r="H440" s="8">
        <f>aktuelleAnleihen[[#This Row],[Stückzinsen]]-aktuelleAnleihen[[#This Row],[Stückzinsen am Kauftag]]+aktuelleAnleihen[[#This Row],[Zinszahlungen]]</f>
        <v>37.397289041095888</v>
      </c>
      <c r="I440" s="8">
        <f>aktuelleAnleihen[[#This Row],[Gewinn gesamt]]-aktuelleAnleihen[[#This Row],[Gewinn aus Kursänderung]]-aktuelleAnleihen[[#This Row],[Gewinn aus Zinsen]]</f>
        <v>-3.4106051316484809E-13</v>
      </c>
      <c r="J440" s="7">
        <f>aktuelleAnleihen[[#This Row],[Gewinn gesamt]]/aktuelleAnleihen[[#This Row],[Kaufpreis]]</f>
        <v>3.3453470552406259E-2</v>
      </c>
      <c r="K440" s="3">
        <f>aktuelleAnleihen[[#This Row],[Verkaufspreis]]-aktuelleAnleihen[[#This Row],[Kaufpreis]]+aktuelleAnleihen[[#This Row],[Zinszahlungen]]</f>
        <v>83.597289041095792</v>
      </c>
      <c r="L440" s="4">
        <v>2498.9123</v>
      </c>
      <c r="M440" s="7">
        <v>1.1760999999999999</v>
      </c>
      <c r="N440" s="61">
        <v>1</v>
      </c>
      <c r="O440" s="1">
        <v>1</v>
      </c>
      <c r="P440" s="1" t="s">
        <v>925</v>
      </c>
      <c r="Q440" s="30">
        <v>45385</v>
      </c>
      <c r="R440" s="1">
        <v>2</v>
      </c>
      <c r="S440" s="1">
        <v>1000</v>
      </c>
      <c r="T440" s="9">
        <v>45130</v>
      </c>
      <c r="U440" s="1">
        <v>1</v>
      </c>
      <c r="V440" s="62">
        <f>aktuelleAnleihen[[#This Row],[Stückelung]]*aktuelleAnleihen[[#This Row],[Anteile]]*aktuelleAnleihen[[#This Row],[Coupon]]/aktuelleAnleihen[[#This Row],[Aktueller Wechselkurs]]*($AC$1-aktuelleAnleihen[[#This Row],[Letzte Zinszahlung]])/365</f>
        <v>184.10958904109589</v>
      </c>
      <c r="W440" s="4">
        <v>146.7123</v>
      </c>
      <c r="X440" s="120" t="s">
        <v>170</v>
      </c>
      <c r="Y440" s="120" t="s">
        <v>268</v>
      </c>
      <c r="Z440" s="1" t="s">
        <v>209</v>
      </c>
      <c r="AA440" s="1" t="s">
        <v>210</v>
      </c>
      <c r="AB440" s="3">
        <f>SUMIF('Zinszahlungen Anleihen'!K:K,aktuelleAnleihen[[#This Row],[ISIN]],'Zinszahlungen Anleihen'!D:D)</f>
        <v>0</v>
      </c>
      <c r="AE440" s="9"/>
      <c r="AF440" s="1"/>
      <c r="AI440" s="3"/>
      <c r="AJ440" s="1"/>
      <c r="AM440" s="10"/>
      <c r="AN440" s="1"/>
      <c r="AP440" s="7"/>
      <c r="AQ440" s="1"/>
    </row>
    <row r="441" spans="1:43" x14ac:dyDescent="0.2">
      <c r="A441" s="1" t="s">
        <v>1079</v>
      </c>
      <c r="B441" s="1" t="s">
        <v>10</v>
      </c>
      <c r="C441" s="7">
        <v>0.10249999999999999</v>
      </c>
      <c r="D441" s="7">
        <v>0.84770000000000001</v>
      </c>
      <c r="E441" s="7">
        <f>aktuelleAnleihen[[#This Row],[Aktueller Kurs]]-aktuelleAnleihen[[#This Row],[Kaufkurs]]</f>
        <v>2.5000000000000022E-2</v>
      </c>
      <c r="F441" s="8">
        <f>aktuelleAnleihen[[#This Row],[Stückelung]]*aktuelleAnleihen[[#This Row],[Aktueller Kurs]]*aktuelleAnleihen[[#This Row],[Anteile]]/aktuelleAnleihen[[#This Row],[Aktueller Wechselkurs]]+aktuelleAnleihen[[#This Row],[Stückzinsen]]</f>
        <v>1575.7789201338799</v>
      </c>
      <c r="G441" s="8">
        <f>aktuelleAnleihen[[#This Row],[Kursdifferenz]]*aktuelleAnleihen[[#This Row],[Anteile]]*aktuelleAnleihen[[#This Row],[Stückelung]]/aktuelleAnleihen[[#This Row],[Wechselkurs am Kauftag]]</f>
        <v>46.628741956542051</v>
      </c>
      <c r="H441" s="8">
        <f>aktuelleAnleihen[[#This Row],[Stückzinsen]]-aktuelleAnleihen[[#This Row],[Stückzinsen am Kauftag]]+aktuelleAnleihen[[#This Row],[Zinszahlungen]]</f>
        <v>19.955577011292931</v>
      </c>
      <c r="I441" s="8">
        <f>aktuelleAnleihen[[#This Row],[Gewinn gesamt]]-aktuelleAnleihen[[#This Row],[Gewinn aus Kursänderung]]-aktuelleAnleihen[[#This Row],[Gewinn aus Zinsen]]</f>
        <v>-24.389150789523079</v>
      </c>
      <c r="J441" s="7">
        <f>aktuelleAnleihen[[#This Row],[Gewinn gesamt]]/aktuelleAnleihen[[#This Row],[Kaufpreis]]</f>
        <v>2.5898333581796704E-2</v>
      </c>
      <c r="K441" s="3">
        <f>aktuelleAnleihen[[#This Row],[Verkaufspreis]]-aktuelleAnleihen[[#This Row],[Kaufpreis]]+aktuelleAnleihen[[#This Row],[Zinszahlungen]]</f>
        <v>42.195168178311903</v>
      </c>
      <c r="L441" s="4">
        <v>1629.2619</v>
      </c>
      <c r="M441" s="7">
        <v>0.82269999999999999</v>
      </c>
      <c r="N441" s="61">
        <v>1.0723</v>
      </c>
      <c r="O441" s="1">
        <v>1.0891</v>
      </c>
      <c r="P441" s="1" t="s">
        <v>887</v>
      </c>
      <c r="Q441" s="30">
        <v>45412</v>
      </c>
      <c r="R441" s="1">
        <v>2</v>
      </c>
      <c r="S441" s="1">
        <v>1000</v>
      </c>
      <c r="T441" s="9">
        <v>45413</v>
      </c>
      <c r="U441" s="1">
        <v>2</v>
      </c>
      <c r="V441" s="62">
        <f>aktuelleAnleihen[[#This Row],[Stückelung]]*aktuelleAnleihen[[#This Row],[Anteile]]*aktuelleAnleihen[[#This Row],[Coupon]]/aktuelleAnleihen[[#This Row],[Aktueller Wechselkurs]]*($AC$1-aktuelleAnleihen[[#This Row],[Letzte Zinszahlung]])/365</f>
        <v>19.080728966860914</v>
      </c>
      <c r="W441" s="4">
        <v>94.803299999999993</v>
      </c>
      <c r="X441" s="120" t="s">
        <v>276</v>
      </c>
      <c r="Y441" s="120" t="s">
        <v>39</v>
      </c>
      <c r="Z441" s="1" t="s">
        <v>1080</v>
      </c>
      <c r="AA441" s="1" t="s">
        <v>1081</v>
      </c>
      <c r="AB441" s="3">
        <f>SUMIF('Zinszahlungen Anleihen'!K:K,aktuelleAnleihen[[#This Row],[ISIN]],'Zinszahlungen Anleihen'!D:D)</f>
        <v>95.678148044432007</v>
      </c>
      <c r="AE441" s="9"/>
      <c r="AF441" s="1"/>
      <c r="AI441" s="3"/>
      <c r="AJ441" s="1"/>
      <c r="AM441" s="10"/>
      <c r="AN441" s="1"/>
      <c r="AP441" s="7"/>
      <c r="AQ441" s="1"/>
    </row>
    <row r="442" spans="1:43" x14ac:dyDescent="0.2">
      <c r="A442" s="1" t="s">
        <v>1156</v>
      </c>
      <c r="B442" s="1" t="s">
        <v>0</v>
      </c>
      <c r="C442" s="7">
        <v>9.6250000000000002E-2</v>
      </c>
      <c r="D442" s="7">
        <v>1.0624</v>
      </c>
      <c r="E442" s="7">
        <f>aktuelleAnleihen[[#This Row],[Aktueller Kurs]]-aktuelleAnleihen[[#This Row],[Kaufkurs]]</f>
        <v>2.53000000000001E-2</v>
      </c>
      <c r="F442" s="8">
        <f>aktuelleAnleihen[[#This Row],[Stückelung]]*aktuelleAnleihen[[#This Row],[Aktueller Kurs]]*aktuelleAnleihen[[#This Row],[Anteile]]/aktuelleAnleihen[[#This Row],[Aktueller Wechselkurs]]+aktuelleAnleihen[[#This Row],[Stückzinsen]]</f>
        <v>1991.64573488478</v>
      </c>
      <c r="G442" s="8">
        <f>aktuelleAnleihen[[#This Row],[Kursdifferenz]]*aktuelleAnleihen[[#This Row],[Anteile]]*aktuelleAnleihen[[#This Row],[Stückelung]]/aktuelleAnleihen[[#This Row],[Wechselkurs am Kauftag]]</f>
        <v>47.188286860020703</v>
      </c>
      <c r="H442" s="8">
        <f>aktuelleAnleihen[[#This Row],[Stückzinsen]]-aktuelleAnleihen[[#This Row],[Stückzinsen am Kauftag]]+aktuelleAnleihen[[#This Row],[Zinszahlungen]]</f>
        <v>18.052545140954638</v>
      </c>
      <c r="I442" s="8">
        <f>aktuelleAnleihen[[#This Row],[Gewinn gesamt]]-aktuelleAnleihen[[#This Row],[Gewinn aus Kursänderung]]-aktuelleAnleihen[[#This Row],[Gewinn aus Zinsen]]</f>
        <v>-30.56639711619523</v>
      </c>
      <c r="J442" s="7">
        <f>aktuelleAnleihen[[#This Row],[Gewinn gesamt]]/aktuelleAnleihen[[#This Row],[Kaufpreis]]</f>
        <v>1.7718417681843426E-2</v>
      </c>
      <c r="K442" s="3">
        <f>aktuelleAnleihen[[#This Row],[Verkaufspreis]]-aktuelleAnleihen[[#This Row],[Kaufpreis]]+aktuelleAnleihen[[#This Row],[Zinszahlungen]]</f>
        <v>34.674434884780112</v>
      </c>
      <c r="L442" s="4">
        <v>1956.9712999999999</v>
      </c>
      <c r="M442" s="7">
        <v>1.0370999999999999</v>
      </c>
      <c r="N442" s="61">
        <v>1.0723</v>
      </c>
      <c r="O442" s="1">
        <v>1.0891</v>
      </c>
      <c r="P442" s="1" t="s">
        <v>887</v>
      </c>
      <c r="Q442" s="30">
        <v>45412</v>
      </c>
      <c r="R442" s="1">
        <v>2</v>
      </c>
      <c r="S442" s="1">
        <v>1000</v>
      </c>
      <c r="T442" s="9">
        <v>45366</v>
      </c>
      <c r="U442" s="1">
        <v>4</v>
      </c>
      <c r="V442" s="62">
        <f>aktuelleAnleihen[[#This Row],[Stückelung]]*aktuelleAnleihen[[#This Row],[Anteile]]*aktuelleAnleihen[[#This Row],[Coupon]]/aktuelleAnleihen[[#This Row],[Aktueller Wechselkurs]]*($AC$1-aktuelleAnleihen[[#This Row],[Letzte Zinszahlung]])/365</f>
        <v>40.67704514095464</v>
      </c>
      <c r="W442" s="4">
        <v>22.624500000000001</v>
      </c>
      <c r="X442" s="120" t="s">
        <v>65</v>
      </c>
      <c r="Y442" s="120" t="s">
        <v>109</v>
      </c>
      <c r="Z442" s="1" t="s">
        <v>1157</v>
      </c>
      <c r="AA442" s="1" t="s">
        <v>1158</v>
      </c>
      <c r="AB442" s="3">
        <f>SUMIF('Zinszahlungen Anleihen'!K:K,aktuelleAnleihen[[#This Row],[ISIN]],'Zinszahlungen Anleihen'!D:D)</f>
        <v>0</v>
      </c>
      <c r="AE442" s="9"/>
      <c r="AF442" s="1"/>
      <c r="AI442" s="3"/>
      <c r="AJ442" s="1"/>
      <c r="AM442" s="10"/>
      <c r="AN442" s="1"/>
      <c r="AP442" s="7"/>
      <c r="AQ442" s="1"/>
    </row>
    <row r="443" spans="1:43" x14ac:dyDescent="0.2">
      <c r="A443" s="1" t="s">
        <v>224</v>
      </c>
      <c r="B443" s="1" t="s">
        <v>10</v>
      </c>
      <c r="C443" s="7">
        <v>0.10174999999999999</v>
      </c>
      <c r="D443" s="7">
        <v>1.0105</v>
      </c>
      <c r="E443" s="7">
        <f>aktuelleAnleihen[[#This Row],[Aktueller Kurs]]-aktuelleAnleihen[[#This Row],[Kaufkurs]]</f>
        <v>2.3599999999999954E-2</v>
      </c>
      <c r="F443" s="8">
        <f>aktuelleAnleihen[[#This Row],[Stückelung]]*aktuelleAnleihen[[#This Row],[Aktueller Kurs]]*aktuelleAnleihen[[#This Row],[Anteile]]/aktuelleAnleihen[[#This Row],[Aktueller Wechselkurs]]+aktuelleAnleihen[[#This Row],[Stückzinsen]]</f>
        <v>2052.2219178082191</v>
      </c>
      <c r="G443" s="8">
        <f>aktuelleAnleihen[[#This Row],[Kursdifferenz]]*aktuelleAnleihen[[#This Row],[Anteile]]*aktuelleAnleihen[[#This Row],[Stückelung]]/aktuelleAnleihen[[#This Row],[Wechselkurs am Kauftag]]</f>
        <v>47.19999999999991</v>
      </c>
      <c r="H443" s="8">
        <f>aktuelleAnleihen[[#This Row],[Stückzinsen]]-aktuelleAnleihen[[#This Row],[Stückzinsen am Kauftag]]+aktuelleAnleihen[[#This Row],[Zinszahlungen]]</f>
        <v>36.379117808219178</v>
      </c>
      <c r="I443" s="8">
        <f>aktuelleAnleihen[[#This Row],[Gewinn gesamt]]-aktuelleAnleihen[[#This Row],[Gewinn aus Kursänderung]]-aktuelleAnleihen[[#This Row],[Gewinn aus Zinsen]]</f>
        <v>0</v>
      </c>
      <c r="J443" s="7">
        <f>aktuelleAnleihen[[#This Row],[Gewinn gesamt]]/aktuelleAnleihen[[#This Row],[Kaufpreis]]</f>
        <v>4.1385680189706203E-2</v>
      </c>
      <c r="K443" s="3">
        <f>aktuelleAnleihen[[#This Row],[Verkaufspreis]]-aktuelleAnleihen[[#This Row],[Kaufpreis]]+aktuelleAnleihen[[#This Row],[Zinszahlungen]]</f>
        <v>83.579117808219053</v>
      </c>
      <c r="L443" s="4">
        <v>2019.5178000000001</v>
      </c>
      <c r="M443" s="7">
        <v>0.9869</v>
      </c>
      <c r="N443" s="61">
        <v>1</v>
      </c>
      <c r="O443" s="1">
        <v>1</v>
      </c>
      <c r="P443" s="1" t="s">
        <v>925</v>
      </c>
      <c r="Q443" s="30">
        <v>45385</v>
      </c>
      <c r="R443" s="1">
        <v>2</v>
      </c>
      <c r="S443" s="1">
        <v>1000</v>
      </c>
      <c r="T443" s="9">
        <v>45394</v>
      </c>
      <c r="U443" s="1">
        <v>4</v>
      </c>
      <c r="V443" s="62">
        <f>aktuelleAnleihen[[#This Row],[Stückelung]]*aktuelleAnleihen[[#This Row],[Anteile]]*aktuelleAnleihen[[#This Row],[Coupon]]/aktuelleAnleihen[[#This Row],[Aktueller Wechselkurs]]*($AC$1-aktuelleAnleihen[[#This Row],[Letzte Zinszahlung]])/365</f>
        <v>31.221917808219178</v>
      </c>
      <c r="W443" s="4">
        <v>45.717799999999997</v>
      </c>
      <c r="X443" s="120" t="s">
        <v>56</v>
      </c>
      <c r="Y443" s="120" t="s">
        <v>39</v>
      </c>
      <c r="Z443" s="1" t="s">
        <v>225</v>
      </c>
      <c r="AA443" s="1" t="s">
        <v>226</v>
      </c>
      <c r="AB443" s="3">
        <f>SUMIF('Zinszahlungen Anleihen'!K:K,aktuelleAnleihen[[#This Row],[ISIN]],'Zinszahlungen Anleihen'!D:D)</f>
        <v>50.875</v>
      </c>
      <c r="AE443" s="9"/>
      <c r="AF443" s="1"/>
      <c r="AI443" s="3"/>
      <c r="AJ443" s="1"/>
      <c r="AM443" s="10"/>
      <c r="AN443" s="1"/>
      <c r="AP443" s="7"/>
      <c r="AQ443" s="1"/>
    </row>
    <row r="444" spans="1:43" x14ac:dyDescent="0.2">
      <c r="A444" s="1" t="s">
        <v>731</v>
      </c>
      <c r="B444" s="1" t="s">
        <v>0</v>
      </c>
      <c r="C444" s="7">
        <v>6.6250000000000003E-2</v>
      </c>
      <c r="D444" s="7">
        <v>1.0371999999999999</v>
      </c>
      <c r="E444" s="7">
        <f>aktuelleAnleihen[[#This Row],[Aktueller Kurs]]-aktuelleAnleihen[[#This Row],[Kaufkurs]]</f>
        <v>2.4399999999999977E-2</v>
      </c>
      <c r="F444" s="8">
        <f>aktuelleAnleihen[[#This Row],[Stückelung]]*aktuelleAnleihen[[#This Row],[Aktueller Kurs]]*aktuelleAnleihen[[#This Row],[Anteile]]/aktuelleAnleihen[[#This Row],[Aktueller Wechselkurs]]+aktuelleAnleihen[[#This Row],[Stückzinsen]]</f>
        <v>2082.7493150684927</v>
      </c>
      <c r="G444" s="8">
        <f>aktuelleAnleihen[[#This Row],[Kursdifferenz]]*aktuelleAnleihen[[#This Row],[Anteile]]*aktuelleAnleihen[[#This Row],[Stückelung]]/aktuelleAnleihen[[#This Row],[Wechselkurs am Kauftag]]</f>
        <v>48.799999999999955</v>
      </c>
      <c r="H444" s="8">
        <f>aktuelleAnleihen[[#This Row],[Stückzinsen]]-aktuelleAnleihen[[#This Row],[Stückzinsen am Kauftag]]+aktuelleAnleihen[[#This Row],[Zinszahlungen]]</f>
        <v>23.777415068493156</v>
      </c>
      <c r="I444" s="8">
        <f>aktuelleAnleihen[[#This Row],[Gewinn gesamt]]-aktuelleAnleihen[[#This Row],[Gewinn aus Kursänderung]]-aktuelleAnleihen[[#This Row],[Gewinn aus Zinsen]]</f>
        <v>-2.2737367544323206E-13</v>
      </c>
      <c r="J444" s="7">
        <f>aktuelleAnleihen[[#This Row],[Gewinn gesamt]]/aktuelleAnleihen[[#This Row],[Kaufpreis]]</f>
        <v>3.4953115775022837E-2</v>
      </c>
      <c r="K444" s="3">
        <f>aktuelleAnleihen[[#This Row],[Verkaufspreis]]-aktuelleAnleihen[[#This Row],[Kaufpreis]]+aktuelleAnleihen[[#This Row],[Zinszahlungen]]</f>
        <v>72.577415068492883</v>
      </c>
      <c r="L444" s="4">
        <v>2076.4218999999998</v>
      </c>
      <c r="M444" s="7">
        <v>1.0127999999999999</v>
      </c>
      <c r="N444" s="61">
        <v>1</v>
      </c>
      <c r="O444" s="1">
        <v>1</v>
      </c>
      <c r="P444" s="1" t="s">
        <v>925</v>
      </c>
      <c r="Q444" s="30">
        <v>45385</v>
      </c>
      <c r="R444" s="1">
        <v>2</v>
      </c>
      <c r="S444" s="1">
        <v>1000</v>
      </c>
      <c r="T444" s="9">
        <v>45427</v>
      </c>
      <c r="U444" s="1">
        <v>2</v>
      </c>
      <c r="V444" s="62">
        <f>aktuelleAnleihen[[#This Row],[Stückelung]]*aktuelleAnleihen[[#This Row],[Anteile]]*aktuelleAnleihen[[#This Row],[Coupon]]/aktuelleAnleihen[[#This Row],[Aktueller Wechselkurs]]*($AC$1-aktuelleAnleihen[[#This Row],[Letzte Zinszahlung]])/365</f>
        <v>8.3493150684931514</v>
      </c>
      <c r="W444" s="4">
        <v>50.821899999999999</v>
      </c>
      <c r="X444" s="120" t="s">
        <v>65</v>
      </c>
      <c r="Y444" s="120" t="s">
        <v>52</v>
      </c>
      <c r="Z444" s="1" t="s">
        <v>732</v>
      </c>
      <c r="AA444" s="1" t="s">
        <v>733</v>
      </c>
      <c r="AB444" s="3">
        <f>SUMIF('Zinszahlungen Anleihen'!K:K,aktuelleAnleihen[[#This Row],[ISIN]],'Zinszahlungen Anleihen'!D:D)</f>
        <v>66.25</v>
      </c>
      <c r="AE444" s="9"/>
      <c r="AF444" s="1"/>
      <c r="AI444" s="3"/>
      <c r="AJ444" s="1"/>
      <c r="AM444" s="10"/>
      <c r="AN444" s="1"/>
      <c r="AP444" s="7"/>
      <c r="AQ444" s="1"/>
    </row>
    <row r="445" spans="1:43" x14ac:dyDescent="0.2">
      <c r="A445" s="1" t="s">
        <v>1662</v>
      </c>
      <c r="B445" s="1" t="s">
        <v>0</v>
      </c>
      <c r="C445" s="7">
        <v>8.1500000000000003E-2</v>
      </c>
      <c r="D445" s="7">
        <v>1.2513000000000001</v>
      </c>
      <c r="E445" s="7">
        <f>aktuelleAnleihen[[#This Row],[Aktueller Kurs]]-aktuelleAnleihen[[#This Row],[Kaufkurs]]</f>
        <v>2.629999999999999E-2</v>
      </c>
      <c r="F445" s="8">
        <f>aktuelleAnleihen[[#This Row],[Stückelung]]*aktuelleAnleihen[[#This Row],[Aktueller Kurs]]*aktuelleAnleihen[[#This Row],[Anteile]]/aktuelleAnleihen[[#This Row],[Aktueller Wechselkurs]]+aktuelleAnleihen[[#This Row],[Stückzinsen]]</f>
        <v>2330.6638760419251</v>
      </c>
      <c r="G445" s="8">
        <f>aktuelleAnleihen[[#This Row],[Kursdifferenz]]*aktuelleAnleihen[[#This Row],[Anteile]]*aktuelleAnleihen[[#This Row],[Stückelung]]/aktuelleAnleihen[[#This Row],[Wechselkurs am Kauftag]]</f>
        <v>49.053436538282178</v>
      </c>
      <c r="H445" s="8">
        <f>aktuelleAnleihen[[#This Row],[Stückzinsen]]-aktuelleAnleihen[[#This Row],[Stückzinsen am Kauftag]]+aktuelleAnleihen[[#This Row],[Zinszahlungen]]</f>
        <v>15.311757182315926</v>
      </c>
      <c r="I445" s="8">
        <f>aktuelleAnleihen[[#This Row],[Gewinn gesamt]]-aktuelleAnleihen[[#This Row],[Gewinn aus Kursänderung]]-aktuelleAnleihen[[#This Row],[Gewinn aus Zinsen]]</f>
        <v>-36.001217678673029</v>
      </c>
      <c r="J445" s="7">
        <f>aktuelleAnleihen[[#This Row],[Gewinn gesamt]]/aktuelleAnleihen[[#This Row],[Kaufpreis]]</f>
        <v>1.2319844187946615E-2</v>
      </c>
      <c r="K445" s="3">
        <f>aktuelleAnleihen[[#This Row],[Verkaufspreis]]-aktuelleAnleihen[[#This Row],[Kaufpreis]]+aktuelleAnleihen[[#This Row],[Zinszahlungen]]</f>
        <v>28.363976041925071</v>
      </c>
      <c r="L445" s="4">
        <v>2302.2999</v>
      </c>
      <c r="M445" s="7">
        <v>1.2250000000000001</v>
      </c>
      <c r="N445" s="61">
        <v>1.0723</v>
      </c>
      <c r="O445" s="1">
        <v>1.0891</v>
      </c>
      <c r="P445" s="1" t="s">
        <v>887</v>
      </c>
      <c r="Q445" s="30">
        <v>45412</v>
      </c>
      <c r="R445" s="1">
        <v>2</v>
      </c>
      <c r="S445" s="1">
        <v>1000</v>
      </c>
      <c r="T445" s="9">
        <v>45370</v>
      </c>
      <c r="U445" s="1">
        <v>2</v>
      </c>
      <c r="V445" s="62">
        <f>aktuelleAnleihen[[#This Row],[Stückelung]]*aktuelleAnleihen[[#This Row],[Anteile]]*aktuelleAnleihen[[#This Row],[Coupon]]/aktuelleAnleihen[[#This Row],[Aktueller Wechselkurs]]*($AC$1-aktuelleAnleihen[[#This Row],[Letzte Zinszahlung]])/365</f>
        <v>32.803257182315924</v>
      </c>
      <c r="W445" s="4">
        <v>17.491499999999998</v>
      </c>
      <c r="X445" s="120" t="s">
        <v>276</v>
      </c>
      <c r="Y445" s="120" t="s">
        <v>57</v>
      </c>
      <c r="Z445" s="1" t="s">
        <v>1663</v>
      </c>
      <c r="AA445" s="1" t="s">
        <v>1664</v>
      </c>
      <c r="AB445" s="3">
        <f>SUMIF('Zinszahlungen Anleihen'!K:K,aktuelleAnleihen[[#This Row],[ISIN]],'Zinszahlungen Anleihen'!D:D)</f>
        <v>0</v>
      </c>
      <c r="AE445" s="9"/>
      <c r="AF445" s="1"/>
      <c r="AI445" s="3"/>
      <c r="AJ445" s="1"/>
      <c r="AM445" s="10"/>
      <c r="AN445" s="1"/>
      <c r="AP445" s="7"/>
      <c r="AQ445" s="1"/>
    </row>
    <row r="446" spans="1:43" x14ac:dyDescent="0.2">
      <c r="A446" s="1" t="s">
        <v>1770</v>
      </c>
      <c r="B446" s="1" t="s">
        <v>1</v>
      </c>
      <c r="C446" s="7">
        <v>8.6470000000000005E-2</v>
      </c>
      <c r="D446" s="7">
        <v>1.0145</v>
      </c>
      <c r="E446" s="7">
        <f>aktuelleAnleihen[[#This Row],[Aktueller Kurs]]-aktuelleAnleihen[[#This Row],[Kaufkurs]]</f>
        <v>2.4899999999999922E-2</v>
      </c>
      <c r="F446" s="8">
        <f>aktuelleAnleihen[[#This Row],[Stückelung]]*aktuelleAnleihen[[#This Row],[Aktueller Kurs]]*aktuelleAnleihen[[#This Row],[Anteile]]/aktuelleAnleihen[[#This Row],[Aktueller Wechselkurs]]+aktuelleAnleihen[[#This Row],[Stückzinsen]]</f>
        <v>2050.7951780821918</v>
      </c>
      <c r="G446" s="8">
        <f>aktuelleAnleihen[[#This Row],[Kursdifferenz]]*aktuelleAnleihen[[#This Row],[Anteile]]*aktuelleAnleihen[[#This Row],[Stückelung]]/aktuelleAnleihen[[#This Row],[Wechselkurs am Kauftag]]</f>
        <v>49.799999999999841</v>
      </c>
      <c r="H446" s="8">
        <f>aktuelleAnleihen[[#This Row],[Stückzinsen]]-aktuelleAnleihen[[#This Row],[Stückzinsen am Kauftag]]+aktuelleAnleihen[[#This Row],[Zinszahlungen]]</f>
        <v>18.004678082191777</v>
      </c>
      <c r="I446" s="8">
        <f>aktuelleAnleihen[[#This Row],[Gewinn gesamt]]-aktuelleAnleihen[[#This Row],[Gewinn aus Kursänderung]]-aktuelleAnleihen[[#This Row],[Gewinn aus Zinsen]]</f>
        <v>6.7501559897209518E-14</v>
      </c>
      <c r="J446" s="7">
        <f>aktuelleAnleihen[[#This Row],[Gewinn gesamt]]/aktuelleAnleihen[[#This Row],[Kaufpreis]]</f>
        <v>3.4193143175517825E-2</v>
      </c>
      <c r="K446" s="3">
        <f>aktuelleAnleihen[[#This Row],[Verkaufspreis]]-aktuelleAnleihen[[#This Row],[Kaufpreis]]+aktuelleAnleihen[[#This Row],[Zinszahlungen]]</f>
        <v>67.804678082191685</v>
      </c>
      <c r="L446" s="4">
        <v>1982.9905000000001</v>
      </c>
      <c r="M446" s="7">
        <v>0.98960000000000004</v>
      </c>
      <c r="N446" s="61">
        <v>1</v>
      </c>
      <c r="O446" s="1">
        <v>1</v>
      </c>
      <c r="P446" s="1" t="s">
        <v>925</v>
      </c>
      <c r="Q446" s="30">
        <v>45412</v>
      </c>
      <c r="R446" s="1">
        <v>2</v>
      </c>
      <c r="S446" s="1">
        <v>1000</v>
      </c>
      <c r="T446" s="9">
        <v>45404</v>
      </c>
      <c r="U446" s="1">
        <v>4</v>
      </c>
      <c r="V446" s="62">
        <f>aktuelleAnleihen[[#This Row],[Stückelung]]*aktuelleAnleihen[[#This Row],[Anteile]]*aktuelleAnleihen[[#This Row],[Coupon]]/aktuelleAnleihen[[#This Row],[Aktueller Wechselkurs]]*($AC$1-aktuelleAnleihen[[#This Row],[Letzte Zinszahlung]])/365</f>
        <v>21.795178082191779</v>
      </c>
      <c r="W446" s="4">
        <v>3.7905000000000002</v>
      </c>
      <c r="X446" s="120" t="s">
        <v>75</v>
      </c>
      <c r="Y446" s="120" t="s">
        <v>61</v>
      </c>
      <c r="Z446" s="1" t="s">
        <v>1771</v>
      </c>
      <c r="AA446" s="1" t="s">
        <v>1772</v>
      </c>
      <c r="AB446" s="3">
        <f>SUMIF('Zinszahlungen Anleihen'!K:K,aktuelleAnleihen[[#This Row],[ISIN]],'Zinszahlungen Anleihen'!D:D)</f>
        <v>0</v>
      </c>
      <c r="AE446" s="9"/>
      <c r="AF446" s="1"/>
      <c r="AI446" s="3"/>
      <c r="AJ446" s="1"/>
      <c r="AM446" s="10"/>
      <c r="AN446" s="1"/>
      <c r="AP446" s="7"/>
      <c r="AQ446" s="1"/>
    </row>
    <row r="447" spans="1:43" x14ac:dyDescent="0.2">
      <c r="A447" s="1" t="s">
        <v>632</v>
      </c>
      <c r="B447" s="1" t="s">
        <v>9</v>
      </c>
      <c r="C447" s="7">
        <v>7.0019999999999999E-2</v>
      </c>
      <c r="D447" s="7">
        <v>0.999</v>
      </c>
      <c r="E447" s="7">
        <f>aktuelleAnleihen[[#This Row],[Aktueller Kurs]]-aktuelleAnleihen[[#This Row],[Kaufkurs]]</f>
        <v>2.5000000000000022E-2</v>
      </c>
      <c r="F447" s="8">
        <f>aktuelleAnleihen[[#This Row],[Stückelung]]*aktuelleAnleihen[[#This Row],[Aktueller Kurs]]*aktuelleAnleihen[[#This Row],[Anteile]]/aktuelleAnleihen[[#This Row],[Aktueller Wechselkurs]]+aktuelleAnleihen[[#This Row],[Stückzinsen]]</f>
        <v>2024.4733150684931</v>
      </c>
      <c r="G447" s="8">
        <f>aktuelleAnleihen[[#This Row],[Kursdifferenz]]*aktuelleAnleihen[[#This Row],[Anteile]]*aktuelleAnleihen[[#This Row],[Stückelung]]/aktuelleAnleihen[[#This Row],[Wechselkurs am Kauftag]]</f>
        <v>50.000000000000043</v>
      </c>
      <c r="H447" s="8">
        <f>aktuelleAnleihen[[#This Row],[Stückzinsen]]-aktuelleAnleihen[[#This Row],[Stückzinsen am Kauftag]]+aktuelleAnleihen[[#This Row],[Zinszahlungen]]</f>
        <v>24.938615068493149</v>
      </c>
      <c r="I447" s="8">
        <f>aktuelleAnleihen[[#This Row],[Gewinn gesamt]]-aktuelleAnleihen[[#This Row],[Gewinn aus Kursänderung]]-aktuelleAnleihen[[#This Row],[Gewinn aus Zinsen]]</f>
        <v>-2.8421709430404007E-14</v>
      </c>
      <c r="J447" s="7">
        <f>aktuelleAnleihen[[#This Row],[Gewinn gesamt]]/aktuelleAnleihen[[#This Row],[Kaufpreis]]</f>
        <v>3.843923120142112E-2</v>
      </c>
      <c r="K447" s="3">
        <f>aktuelleAnleihen[[#This Row],[Verkaufspreis]]-aktuelleAnleihen[[#This Row],[Kaufpreis]]+aktuelleAnleihen[[#This Row],[Zinszahlungen]]</f>
        <v>74.938615068493164</v>
      </c>
      <c r="L447" s="4">
        <v>1949.5346999999999</v>
      </c>
      <c r="M447" s="7">
        <v>0.97399999999999998</v>
      </c>
      <c r="N447" s="61">
        <v>1</v>
      </c>
      <c r="O447" s="1">
        <v>1</v>
      </c>
      <c r="P447" s="1" t="s">
        <v>925</v>
      </c>
      <c r="Q447" s="30">
        <v>45385</v>
      </c>
      <c r="R447" s="1">
        <v>2</v>
      </c>
      <c r="S447" s="1">
        <v>1000</v>
      </c>
      <c r="T447" s="9">
        <v>45381</v>
      </c>
      <c r="U447" s="1">
        <v>4</v>
      </c>
      <c r="V447" s="62">
        <f>aktuelleAnleihen[[#This Row],[Stückelung]]*aktuelleAnleihen[[#This Row],[Anteile]]*aktuelleAnleihen[[#This Row],[Coupon]]/aktuelleAnleihen[[#This Row],[Aktueller Wechselkurs]]*($AC$1-aktuelleAnleihen[[#This Row],[Letzte Zinszahlung]])/365</f>
        <v>26.47331506849315</v>
      </c>
      <c r="W447" s="4">
        <v>1.5347</v>
      </c>
      <c r="X447" s="120" t="s">
        <v>51</v>
      </c>
      <c r="Y447" s="120" t="s">
        <v>44</v>
      </c>
      <c r="Z447" s="1" t="s">
        <v>633</v>
      </c>
      <c r="AA447" s="1" t="s">
        <v>634</v>
      </c>
      <c r="AB447" s="3">
        <f>SUMIF('Zinszahlungen Anleihen'!K:K,aktuelleAnleihen[[#This Row],[ISIN]],'Zinszahlungen Anleihen'!D:D)</f>
        <v>0</v>
      </c>
      <c r="AE447" s="9"/>
      <c r="AF447" s="1"/>
      <c r="AI447" s="3"/>
      <c r="AJ447" s="1"/>
      <c r="AM447" s="10"/>
      <c r="AN447" s="1"/>
      <c r="AP447" s="7"/>
      <c r="AQ447" s="1"/>
    </row>
    <row r="448" spans="1:43" x14ac:dyDescent="0.2">
      <c r="A448" s="1" t="s">
        <v>1140</v>
      </c>
      <c r="B448" s="1" t="s">
        <v>0</v>
      </c>
      <c r="C448" s="7">
        <v>9.7500000000000003E-2</v>
      </c>
      <c r="D448" s="7">
        <v>1.0216000000000001</v>
      </c>
      <c r="E448" s="7">
        <f>aktuelleAnleihen[[#This Row],[Aktueller Kurs]]-aktuelleAnleihen[[#This Row],[Kaufkurs]]</f>
        <v>2.6900000000000035E-2</v>
      </c>
      <c r="F448" s="8">
        <f>aktuelleAnleihen[[#This Row],[Stückelung]]*aktuelleAnleihen[[#This Row],[Aktueller Kurs]]*aktuelleAnleihen[[#This Row],[Anteile]]/aktuelleAnleihen[[#This Row],[Aktueller Wechselkurs]]+aktuelleAnleihen[[#This Row],[Stückzinsen]]</f>
        <v>1890.2700860205048</v>
      </c>
      <c r="G448" s="8">
        <f>aktuelleAnleihen[[#This Row],[Kursdifferenz]]*aktuelleAnleihen[[#This Row],[Anteile]]*aktuelleAnleihen[[#This Row],[Stückelung]]/aktuelleAnleihen[[#This Row],[Wechselkurs am Kauftag]]</f>
        <v>50.17252634523927</v>
      </c>
      <c r="H448" s="8">
        <f>aktuelleAnleihen[[#This Row],[Stückzinsen]]-aktuelleAnleihen[[#This Row],[Stückzinsen am Kauftag]]+aktuelleAnleihen[[#This Row],[Zinszahlungen]]</f>
        <v>18.469625352662632</v>
      </c>
      <c r="I448" s="8">
        <f>aktuelleAnleihen[[#This Row],[Gewinn gesamt]]-aktuelleAnleihen[[#This Row],[Gewinn aus Kursänderung]]-aktuelleAnleihen[[#This Row],[Gewinn aus Zinsen]]</f>
        <v>-29.392485981636106</v>
      </c>
      <c r="J448" s="7">
        <f>aktuelleAnleihen[[#This Row],[Gewinn gesamt]]/aktuelleAnleihen[[#This Row],[Kaufpreis]]</f>
        <v>2.0216600033524195E-2</v>
      </c>
      <c r="K448" s="3">
        <f>aktuelleAnleihen[[#This Row],[Verkaufspreis]]-aktuelleAnleihen[[#This Row],[Kaufpreis]]+aktuelleAnleihen[[#This Row],[Zinszahlungen]]</f>
        <v>39.249665716265795</v>
      </c>
      <c r="L448" s="4">
        <v>1941.4573</v>
      </c>
      <c r="M448" s="7">
        <v>0.99470000000000003</v>
      </c>
      <c r="N448" s="61">
        <v>1.0723</v>
      </c>
      <c r="O448" s="1">
        <v>1.0891</v>
      </c>
      <c r="P448" s="1" t="s">
        <v>887</v>
      </c>
      <c r="Q448" s="30">
        <v>45412</v>
      </c>
      <c r="R448" s="1">
        <v>2</v>
      </c>
      <c r="S448" s="1">
        <v>1000</v>
      </c>
      <c r="T448" s="9">
        <v>45421</v>
      </c>
      <c r="U448" s="1">
        <v>2</v>
      </c>
      <c r="V448" s="62">
        <f>aktuelleAnleihen[[#This Row],[Stückelung]]*aktuelleAnleihen[[#This Row],[Anteile]]*aktuelleAnleihen[[#This Row],[Coupon]]/aktuelleAnleihen[[#This Row],[Aktueller Wechselkurs]]*($AC$1-aktuelleAnleihen[[#This Row],[Letzte Zinszahlung]])/365</f>
        <v>14.225645656901577</v>
      </c>
      <c r="W448" s="4">
        <v>86.192899999999995</v>
      </c>
      <c r="X448" s="120" t="s">
        <v>1141</v>
      </c>
      <c r="Y448" s="120" t="s">
        <v>39</v>
      </c>
      <c r="Z448" s="1" t="s">
        <v>1142</v>
      </c>
      <c r="AA448" s="1" t="s">
        <v>1143</v>
      </c>
      <c r="AB448" s="3">
        <f>SUMIF('Zinszahlungen Anleihen'!K:K,aktuelleAnleihen[[#This Row],[ISIN]],'Zinszahlungen Anleihen'!D:D)</f>
        <v>90.43687969576105</v>
      </c>
      <c r="AE448" s="9"/>
      <c r="AF448" s="1"/>
      <c r="AI448" s="3"/>
      <c r="AJ448" s="1"/>
      <c r="AM448" s="10"/>
      <c r="AN448" s="1"/>
      <c r="AP448" s="7"/>
      <c r="AQ448" s="1"/>
    </row>
    <row r="449" spans="1:43" x14ac:dyDescent="0.2">
      <c r="A449" s="1" t="s">
        <v>1708</v>
      </c>
      <c r="B449" s="1" t="s">
        <v>0</v>
      </c>
      <c r="C449" s="7">
        <v>0.08</v>
      </c>
      <c r="D449" s="7">
        <v>1.10459</v>
      </c>
      <c r="E449" s="7">
        <f>aktuelleAnleihen[[#This Row],[Aktueller Kurs]]-aktuelleAnleihen[[#This Row],[Kaufkurs]]</f>
        <v>2.7390000000000025E-2</v>
      </c>
      <c r="F449" s="8">
        <f>aktuelleAnleihen[[#This Row],[Stückelung]]*aktuelleAnleihen[[#This Row],[Aktueller Kurs]]*aktuelleAnleihen[[#This Row],[Anteile]]/aktuelleAnleihen[[#This Row],[Aktueller Wechselkurs]]+aktuelleAnleihen[[#This Row],[Stückzinsen]]</f>
        <v>2043.3377817300448</v>
      </c>
      <c r="G449" s="8">
        <f>aktuelleAnleihen[[#This Row],[Kursdifferenz]]*aktuelleAnleihen[[#This Row],[Anteile]]*aktuelleAnleihen[[#This Row],[Stückelung]]/aktuelleAnleihen[[#This Row],[Wechselkurs am Kauftag]]</f>
        <v>51.086449687587475</v>
      </c>
      <c r="H449" s="8">
        <f>aktuelleAnleihen[[#This Row],[Stückzinsen]]-aktuelleAnleihen[[#This Row],[Stückzinsen am Kauftag]]+aktuelleAnleihen[[#This Row],[Zinszahlungen]]</f>
        <v>15.57510400881398</v>
      </c>
      <c r="I449" s="8">
        <f>aktuelleAnleihen[[#This Row],[Gewinn gesamt]]-aktuelleAnleihen[[#This Row],[Gewinn aus Kursänderung]]-aktuelleAnleihen[[#This Row],[Gewinn aus Zinsen]]</f>
        <v>-31.780144224361052</v>
      </c>
      <c r="J449" s="7">
        <f>aktuelleAnleihen[[#This Row],[Gewinn gesamt]]/aktuelleAnleihen[[#This Row],[Kaufpreis]]</f>
        <v>1.6744694753880407E-2</v>
      </c>
      <c r="K449" s="3">
        <f>aktuelleAnleihen[[#This Row],[Verkaufspreis]]-aktuelleAnleihen[[#This Row],[Kaufpreis]]+aktuelleAnleihen[[#This Row],[Zinszahlungen]]</f>
        <v>34.881409472040403</v>
      </c>
      <c r="L449" s="4">
        <v>2083.1320000000001</v>
      </c>
      <c r="M449" s="7">
        <v>1.0771999999999999</v>
      </c>
      <c r="N449" s="61">
        <v>1.0723</v>
      </c>
      <c r="O449" s="1">
        <v>1.0891</v>
      </c>
      <c r="P449" s="1" t="s">
        <v>887</v>
      </c>
      <c r="Q449" s="30">
        <v>45412</v>
      </c>
      <c r="R449" s="1">
        <v>2</v>
      </c>
      <c r="S449" s="1">
        <v>1000</v>
      </c>
      <c r="T449" s="9">
        <v>45413</v>
      </c>
      <c r="U449" s="1">
        <v>2</v>
      </c>
      <c r="V449" s="62">
        <f>aktuelleAnleihen[[#This Row],[Stückelung]]*aktuelleAnleihen[[#This Row],[Anteile]]*aktuelleAnleihen[[#This Row],[Coupon]]/aktuelleAnleihen[[#This Row],[Aktueller Wechselkurs]]*($AC$1-aktuelleAnleihen[[#This Row],[Letzte Zinszahlung]])/365</f>
        <v>14.892276266818275</v>
      </c>
      <c r="W449" s="4">
        <v>73.992800000000003</v>
      </c>
      <c r="X449" s="120" t="s">
        <v>276</v>
      </c>
      <c r="Y449" s="120" t="s">
        <v>1011</v>
      </c>
      <c r="Z449" s="1" t="s">
        <v>1709</v>
      </c>
      <c r="AA449" s="1" t="s">
        <v>1710</v>
      </c>
      <c r="AB449" s="3">
        <f>SUMIF('Zinszahlungen Anleihen'!K:K,aktuelleAnleihen[[#This Row],[ISIN]],'Zinszahlungen Anleihen'!D:D)</f>
        <v>74.675627741995712</v>
      </c>
      <c r="AE449" s="9"/>
      <c r="AF449" s="1"/>
      <c r="AI449" s="3"/>
      <c r="AJ449" s="1"/>
      <c r="AM449" s="10"/>
      <c r="AN449" s="1"/>
      <c r="AP449" s="7"/>
      <c r="AQ449" s="1"/>
    </row>
    <row r="450" spans="1:43" x14ac:dyDescent="0.2">
      <c r="A450" s="1" t="s">
        <v>1529</v>
      </c>
      <c r="B450" s="1" t="s">
        <v>2</v>
      </c>
      <c r="C450" s="7">
        <v>8.6249999999999993E-2</v>
      </c>
      <c r="D450" s="7">
        <v>0.99875000000000003</v>
      </c>
      <c r="E450" s="7">
        <f>aktuelleAnleihen[[#This Row],[Aktueller Kurs]]-aktuelleAnleihen[[#This Row],[Kaufkurs]]</f>
        <v>2.7449999999999974E-2</v>
      </c>
      <c r="F450" s="8">
        <f>aktuelleAnleihen[[#This Row],[Stückelung]]*aktuelleAnleihen[[#This Row],[Aktueller Kurs]]*aktuelleAnleihen[[#This Row],[Anteile]]/aktuelleAnleihen[[#This Row],[Aktueller Wechselkurs]]+aktuelleAnleihen[[#This Row],[Stückzinsen]]</f>
        <v>1836.6868207128418</v>
      </c>
      <c r="G450" s="8">
        <f>aktuelleAnleihen[[#This Row],[Kursdifferenz]]*aktuelleAnleihen[[#This Row],[Anteile]]*aktuelleAnleihen[[#This Row],[Stückelung]]/aktuelleAnleihen[[#This Row],[Wechselkurs am Kauftag]]</f>
        <v>51.198358668283078</v>
      </c>
      <c r="H450" s="8">
        <f>aktuelleAnleihen[[#This Row],[Stückzinsen]]-aktuelleAnleihen[[#This Row],[Stückzinsen am Kauftag]]+aktuelleAnleihen[[#This Row],[Zinszahlungen]]</f>
        <v>15.537994440437032</v>
      </c>
      <c r="I450" s="8">
        <f>aktuelleAnleihen[[#This Row],[Gewinn gesamt]]-aktuelleAnleihen[[#This Row],[Gewinn aus Kursänderung]]-aktuelleAnleihen[[#This Row],[Gewinn aus Zinsen]]</f>
        <v>-28.734970714927201</v>
      </c>
      <c r="J450" s="7">
        <f>aktuelleAnleihen[[#This Row],[Gewinn gesamt]]/aktuelleAnleihen[[#This Row],[Kaufpreis]]</f>
        <v>2.0233183425341049E-2</v>
      </c>
      <c r="K450" s="3">
        <f>aktuelleAnleihen[[#This Row],[Verkaufspreis]]-aktuelleAnleihen[[#This Row],[Kaufpreis]]+aktuelleAnleihen[[#This Row],[Zinszahlungen]]</f>
        <v>38.001382393792909</v>
      </c>
      <c r="L450" s="4">
        <v>1878.1712</v>
      </c>
      <c r="M450" s="7">
        <v>0.97130000000000005</v>
      </c>
      <c r="N450" s="61">
        <v>1.0723</v>
      </c>
      <c r="O450" s="1">
        <v>1.0891</v>
      </c>
      <c r="P450" s="1" t="s">
        <v>887</v>
      </c>
      <c r="Q450" s="30">
        <v>45412</v>
      </c>
      <c r="R450" s="1">
        <v>2</v>
      </c>
      <c r="S450" s="1">
        <v>1000</v>
      </c>
      <c r="T450" s="9">
        <v>45444</v>
      </c>
      <c r="U450" s="1">
        <v>2</v>
      </c>
      <c r="V450" s="62">
        <f>aktuelleAnleihen[[#This Row],[Stückelung]]*aktuelleAnleihen[[#This Row],[Anteile]]*aktuelleAnleihen[[#This Row],[Coupon]]/aktuelleAnleihen[[#This Row],[Aktueller Wechselkurs]]*($AC$1-aktuelleAnleihen[[#This Row],[Letzte Zinszahlung]])/365</f>
        <v>2.603632759485965</v>
      </c>
      <c r="W450" s="4">
        <v>66.551400000000001</v>
      </c>
      <c r="X450" s="120" t="s">
        <v>1096</v>
      </c>
      <c r="Y450" s="120" t="s">
        <v>1011</v>
      </c>
      <c r="Z450" s="1" t="s">
        <v>1530</v>
      </c>
      <c r="AA450" s="1" t="s">
        <v>1531</v>
      </c>
      <c r="AB450" s="3">
        <f>SUMIF('Zinszahlungen Anleihen'!K:K,aktuelleAnleihen[[#This Row],[ISIN]],'Zinszahlungen Anleihen'!D:D)</f>
        <v>79.485761680951072</v>
      </c>
      <c r="AE450" s="9"/>
      <c r="AF450" s="1"/>
      <c r="AI450" s="3"/>
      <c r="AJ450" s="1"/>
      <c r="AM450" s="10"/>
      <c r="AN450" s="1"/>
      <c r="AP450" s="7"/>
      <c r="AQ450" s="1"/>
    </row>
    <row r="451" spans="1:43" x14ac:dyDescent="0.2">
      <c r="A451" s="1" t="s">
        <v>1320</v>
      </c>
      <c r="B451" s="1" t="s">
        <v>11</v>
      </c>
      <c r="C451" s="7">
        <v>8.9700000000000002E-2</v>
      </c>
      <c r="D451" s="7">
        <v>0.76</v>
      </c>
      <c r="E451" s="7">
        <f>aktuelleAnleihen[[#This Row],[Aktueller Kurs]]-aktuelleAnleihen[[#This Row],[Kaufkurs]]</f>
        <v>2.9200000000000004E-2</v>
      </c>
      <c r="F451" s="8">
        <f>aktuelleAnleihen[[#This Row],[Stückelung]]*aktuelleAnleihen[[#This Row],[Aktueller Kurs]]*aktuelleAnleihen[[#This Row],[Anteile]]/aktuelleAnleihen[[#This Row],[Aktueller Wechselkurs]]+aktuelleAnleihen[[#This Row],[Stückzinsen]]</f>
        <v>1453.8650110748727</v>
      </c>
      <c r="G451" s="8">
        <f>aktuelleAnleihen[[#This Row],[Kursdifferenz]]*aktuelleAnleihen[[#This Row],[Anteile]]*aktuelleAnleihen[[#This Row],[Stückelung]]/aktuelleAnleihen[[#This Row],[Wechselkurs am Kauftag]]</f>
        <v>54.462370605241077</v>
      </c>
      <c r="H451" s="8">
        <f>aktuelleAnleihen[[#This Row],[Stückzinsen]]-aktuelleAnleihen[[#This Row],[Stückzinsen am Kauftag]]+aktuelleAnleihen[[#This Row],[Zinszahlungen]]</f>
        <v>16.505828502106191</v>
      </c>
      <c r="I451" s="8">
        <f>aktuelleAnleihen[[#This Row],[Gewinn gesamt]]-aktuelleAnleihen[[#This Row],[Gewinn aus Kursänderung]]-aktuelleAnleihen[[#This Row],[Gewinn aus Zinsen]]</f>
        <v>-21.865988032474583</v>
      </c>
      <c r="J451" s="7">
        <f>aktuelleAnleihen[[#This Row],[Gewinn gesamt]]/aktuelleAnleihen[[#This Row],[Kaufpreis]]</f>
        <v>3.4954094082554496E-2</v>
      </c>
      <c r="K451" s="3">
        <f>aktuelleAnleihen[[#This Row],[Verkaufspreis]]-aktuelleAnleihen[[#This Row],[Kaufpreis]]+aktuelleAnleihen[[#This Row],[Zinszahlungen]]</f>
        <v>49.102211074872685</v>
      </c>
      <c r="L451" s="4">
        <v>1404.7628</v>
      </c>
      <c r="M451" s="7">
        <v>0.73080000000000001</v>
      </c>
      <c r="N451" s="61">
        <v>1.0723</v>
      </c>
      <c r="O451" s="1">
        <v>1.0891</v>
      </c>
      <c r="P451" s="1" t="s">
        <v>887</v>
      </c>
      <c r="Q451" s="30">
        <v>45412</v>
      </c>
      <c r="R451" s="1">
        <v>2</v>
      </c>
      <c r="S451" s="1">
        <v>1000</v>
      </c>
      <c r="T451" s="9">
        <v>45321</v>
      </c>
      <c r="U451" s="1">
        <v>2</v>
      </c>
      <c r="V451" s="62">
        <f>aktuelleAnleihen[[#This Row],[Stückelung]]*aktuelleAnleihen[[#This Row],[Anteile]]*aktuelleAnleihen[[#This Row],[Coupon]]/aktuelleAnleihen[[#This Row],[Aktueller Wechselkurs]]*($AC$1-aktuelleAnleihen[[#This Row],[Letzte Zinszahlung]])/365</f>
        <v>58.217228502106188</v>
      </c>
      <c r="W451" s="4">
        <v>41.711399999999998</v>
      </c>
      <c r="X451" s="120" t="s">
        <v>1321</v>
      </c>
      <c r="Y451" s="120" t="s">
        <v>52</v>
      </c>
      <c r="Z451" s="1" t="s">
        <v>1322</v>
      </c>
      <c r="AA451" s="1" t="s">
        <v>1323</v>
      </c>
      <c r="AB451" s="3">
        <f>SUMIF('Zinszahlungen Anleihen'!K:K,aktuelleAnleihen[[#This Row],[ISIN]],'Zinszahlungen Anleihen'!D:D)</f>
        <v>0</v>
      </c>
      <c r="AE451" s="9"/>
      <c r="AF451" s="1"/>
      <c r="AI451" s="3"/>
      <c r="AJ451" s="1"/>
      <c r="AM451" s="10"/>
      <c r="AN451" s="1"/>
      <c r="AP451" s="7"/>
      <c r="AQ451" s="1"/>
    </row>
    <row r="452" spans="1:43" x14ac:dyDescent="0.2">
      <c r="A452" s="1" t="s">
        <v>1498</v>
      </c>
      <c r="B452" s="1" t="s">
        <v>2</v>
      </c>
      <c r="C452" s="7">
        <v>7.3749999999999996E-2</v>
      </c>
      <c r="D452" s="7">
        <v>1.0313000000000001</v>
      </c>
      <c r="E452" s="7">
        <f>aktuelleAnleihen[[#This Row],[Aktueller Kurs]]-aktuelleAnleihen[[#This Row],[Kaufkurs]]</f>
        <v>2.7300000000000102E-2</v>
      </c>
      <c r="F452" s="8">
        <f>aktuelleAnleihen[[#This Row],[Stückelung]]*aktuelleAnleihen[[#This Row],[Aktueller Kurs]]*aktuelleAnleihen[[#This Row],[Anteile]]/aktuelleAnleihen[[#This Row],[Aktueller Wechselkurs]]+aktuelleAnleihen[[#This Row],[Stückzinsen]]</f>
        <v>2077.14794520548</v>
      </c>
      <c r="G452" s="8">
        <f>aktuelleAnleihen[[#This Row],[Kursdifferenz]]*aktuelleAnleihen[[#This Row],[Anteile]]*aktuelleAnleihen[[#This Row],[Stückelung]]/aktuelleAnleihen[[#This Row],[Wechselkurs am Kauftag]]</f>
        <v>54.600000000000207</v>
      </c>
      <c r="H452" s="8">
        <f>aktuelleAnleihen[[#This Row],[Stückzinsen]]-aktuelleAnleihen[[#This Row],[Stückzinsen am Kauftag]]+aktuelleAnleihen[[#This Row],[Zinszahlungen]]</f>
        <v>15.558245205479452</v>
      </c>
      <c r="I452" s="8">
        <f>aktuelleAnleihen[[#This Row],[Gewinn gesamt]]-aktuelleAnleihen[[#This Row],[Gewinn aus Kursänderung]]-aktuelleAnleihen[[#This Row],[Gewinn aus Zinsen]]</f>
        <v>2.8421709430404007E-13</v>
      </c>
      <c r="J452" s="7">
        <f>aktuelleAnleihen[[#This Row],[Gewinn gesamt]]/aktuelleAnleihen[[#This Row],[Kaufpreis]]</f>
        <v>3.371793463905165E-2</v>
      </c>
      <c r="K452" s="3">
        <f>aktuelleAnleihen[[#This Row],[Verkaufspreis]]-aktuelleAnleihen[[#This Row],[Kaufpreis]]+aktuelleAnleihen[[#This Row],[Zinszahlungen]]</f>
        <v>70.158245205479943</v>
      </c>
      <c r="L452" s="4">
        <v>2080.7397000000001</v>
      </c>
      <c r="M452" s="7">
        <v>1.004</v>
      </c>
      <c r="N452" s="61">
        <v>1</v>
      </c>
      <c r="O452" s="1">
        <v>1</v>
      </c>
      <c r="P452" s="1" t="s">
        <v>925</v>
      </c>
      <c r="Q452" s="30">
        <v>45412</v>
      </c>
      <c r="R452" s="1">
        <v>2</v>
      </c>
      <c r="S452" s="1">
        <v>1000</v>
      </c>
      <c r="T452" s="9">
        <v>45414</v>
      </c>
      <c r="U452" s="1">
        <v>2</v>
      </c>
      <c r="V452" s="62">
        <f>aktuelleAnleihen[[#This Row],[Stückelung]]*aktuelleAnleihen[[#This Row],[Anteile]]*aktuelleAnleihen[[#This Row],[Coupon]]/aktuelleAnleihen[[#This Row],[Aktueller Wechselkurs]]*($AC$1-aktuelleAnleihen[[#This Row],[Letzte Zinszahlung]])/365</f>
        <v>14.547945205479452</v>
      </c>
      <c r="W452" s="4">
        <v>72.739699999999999</v>
      </c>
      <c r="X452" s="120" t="s">
        <v>65</v>
      </c>
      <c r="Y452" s="120" t="s">
        <v>44</v>
      </c>
      <c r="Z452" s="1" t="s">
        <v>1499</v>
      </c>
      <c r="AA452" s="1" t="s">
        <v>1500</v>
      </c>
      <c r="AB452" s="3">
        <f>SUMIF('Zinszahlungen Anleihen'!K:K,aktuelleAnleihen[[#This Row],[ISIN]],'Zinszahlungen Anleihen'!D:D)</f>
        <v>73.75</v>
      </c>
      <c r="AE452" s="9"/>
      <c r="AF452" s="1"/>
      <c r="AI452" s="3"/>
      <c r="AJ452" s="1"/>
      <c r="AM452" s="10"/>
      <c r="AN452" s="1"/>
      <c r="AP452" s="7"/>
      <c r="AQ452" s="1"/>
    </row>
    <row r="453" spans="1:43" x14ac:dyDescent="0.2">
      <c r="A453" s="1" t="s">
        <v>728</v>
      </c>
      <c r="B453" s="1" t="s">
        <v>0</v>
      </c>
      <c r="C453" s="7">
        <v>6.6250000000000003E-2</v>
      </c>
      <c r="D453" s="7">
        <v>0.97341</v>
      </c>
      <c r="E453" s="7">
        <f>aktuelleAnleihen[[#This Row],[Aktueller Kurs]]-aktuelleAnleihen[[#This Row],[Kaufkurs]]</f>
        <v>2.7309999999999945E-2</v>
      </c>
      <c r="F453" s="8">
        <f>aktuelleAnleihen[[#This Row],[Stückelung]]*aktuelleAnleihen[[#This Row],[Aktueller Kurs]]*aktuelleAnleihen[[#This Row],[Anteile]]/aktuelleAnleihen[[#This Row],[Aktueller Wechselkurs]]+aktuelleAnleihen[[#This Row],[Stückzinsen]]</f>
        <v>1987.8405479452053</v>
      </c>
      <c r="G453" s="8">
        <f>aktuelleAnleihen[[#This Row],[Kursdifferenz]]*aktuelleAnleihen[[#This Row],[Anteile]]*aktuelleAnleihen[[#This Row],[Stückelung]]/aktuelleAnleihen[[#This Row],[Wechselkurs am Kauftag]]</f>
        <v>54.619999999999891</v>
      </c>
      <c r="H453" s="8">
        <f>aktuelleAnleihen[[#This Row],[Stückzinsen]]-aktuelleAnleihen[[#This Row],[Stückzinsen am Kauftag]]+aktuelleAnleihen[[#This Row],[Zinszahlungen]]</f>
        <v>23.595847945205477</v>
      </c>
      <c r="I453" s="8">
        <f>aktuelleAnleihen[[#This Row],[Gewinn gesamt]]-aktuelleAnleihen[[#This Row],[Gewinn aus Kursänderung]]-aktuelleAnleihen[[#This Row],[Gewinn aus Zinsen]]</f>
        <v>-9.9475983006414026E-14</v>
      </c>
      <c r="J453" s="7">
        <f>aktuelleAnleihen[[#This Row],[Gewinn gesamt]]/aktuelleAnleihen[[#This Row],[Kaufpreis]]</f>
        <v>4.0958753803930825E-2</v>
      </c>
      <c r="K453" s="3">
        <f>aktuelleAnleihen[[#This Row],[Verkaufspreis]]-aktuelleAnleihen[[#This Row],[Kaufpreis]]+aktuelleAnleihen[[#This Row],[Zinszahlungen]]</f>
        <v>78.215847945205269</v>
      </c>
      <c r="L453" s="4">
        <v>1909.6247000000001</v>
      </c>
      <c r="M453" s="7">
        <v>0.94610000000000005</v>
      </c>
      <c r="N453" s="61">
        <v>1</v>
      </c>
      <c r="O453" s="1">
        <v>1</v>
      </c>
      <c r="P453" s="1" t="s">
        <v>925</v>
      </c>
      <c r="Q453" s="30">
        <v>45385</v>
      </c>
      <c r="R453" s="1">
        <v>2</v>
      </c>
      <c r="S453" s="1">
        <v>1000</v>
      </c>
      <c r="T453" s="9">
        <v>45337</v>
      </c>
      <c r="U453" s="1">
        <v>2</v>
      </c>
      <c r="V453" s="62">
        <f>aktuelleAnleihen[[#This Row],[Stückelung]]*aktuelleAnleihen[[#This Row],[Anteile]]*aktuelleAnleihen[[#This Row],[Coupon]]/aktuelleAnleihen[[#This Row],[Aktueller Wechselkurs]]*($AC$1-aktuelleAnleihen[[#This Row],[Letzte Zinszahlung]])/365</f>
        <v>41.020547945205479</v>
      </c>
      <c r="W453" s="4">
        <v>17.424700000000001</v>
      </c>
      <c r="X453" s="120" t="s">
        <v>508</v>
      </c>
      <c r="Y453" s="120" t="s">
        <v>39</v>
      </c>
      <c r="Z453" s="1" t="s">
        <v>729</v>
      </c>
      <c r="AA453" s="1" t="s">
        <v>730</v>
      </c>
      <c r="AB453" s="3">
        <f>SUMIF('Zinszahlungen Anleihen'!K:K,aktuelleAnleihen[[#This Row],[ISIN]],'Zinszahlungen Anleihen'!D:D)</f>
        <v>0</v>
      </c>
      <c r="AE453" s="9"/>
      <c r="AF453" s="1"/>
      <c r="AI453" s="3"/>
      <c r="AJ453" s="1"/>
      <c r="AM453" s="10"/>
      <c r="AN453" s="1"/>
      <c r="AP453" s="7"/>
      <c r="AQ453" s="1"/>
    </row>
    <row r="454" spans="1:43" x14ac:dyDescent="0.2">
      <c r="A454" s="1" t="s">
        <v>1611</v>
      </c>
      <c r="B454" s="1" t="s">
        <v>0</v>
      </c>
      <c r="C454" s="7">
        <v>8.2560000000000008E-2</v>
      </c>
      <c r="D454" s="7">
        <v>0.97509999999999997</v>
      </c>
      <c r="E454" s="7">
        <f>aktuelleAnleihen[[#This Row],[Aktueller Kurs]]-aktuelleAnleihen[[#This Row],[Kaufkurs]]</f>
        <v>2.959999999999996E-2</v>
      </c>
      <c r="F454" s="8">
        <f>aktuelleAnleihen[[#This Row],[Stückelung]]*aktuelleAnleihen[[#This Row],[Aktueller Kurs]]*aktuelleAnleihen[[#This Row],[Anteile]]/aktuelleAnleihen[[#This Row],[Aktueller Wechselkurs]]+aktuelleAnleihen[[#This Row],[Stückzinsen]]</f>
        <v>1825.5442284253809</v>
      </c>
      <c r="G454" s="8">
        <f>aktuelleAnleihen[[#This Row],[Kursdifferenz]]*aktuelleAnleihen[[#This Row],[Anteile]]*aktuelleAnleihen[[#This Row],[Stückelung]]/aktuelleAnleihen[[#This Row],[Wechselkurs am Kauftag]]</f>
        <v>55.208430476545665</v>
      </c>
      <c r="H454" s="8">
        <f>aktuelleAnleihen[[#This Row],[Stückzinsen]]-aktuelleAnleihen[[#This Row],[Stückzinsen am Kauftag]]+aktuelleAnleihen[[#This Row],[Zinszahlungen]]</f>
        <v>15.484795811295744</v>
      </c>
      <c r="I454" s="8">
        <f>aktuelleAnleihen[[#This Row],[Gewinn gesamt]]-aktuelleAnleihen[[#This Row],[Gewinn aus Kursänderung]]-aktuelleAnleihen[[#This Row],[Gewinn aus Zinsen]]</f>
        <v>-28.054597862460579</v>
      </c>
      <c r="J454" s="7">
        <f>aktuelleAnleihen[[#This Row],[Gewinn gesamt]]/aktuelleAnleihen[[#This Row],[Kaufpreis]]</f>
        <v>2.3915247349820892E-2</v>
      </c>
      <c r="K454" s="3">
        <f>aktuelleAnleihen[[#This Row],[Verkaufspreis]]-aktuelleAnleihen[[#This Row],[Kaufpreis]]+aktuelleAnleihen[[#This Row],[Zinszahlungen]]</f>
        <v>42.63862842538083</v>
      </c>
      <c r="L454" s="4">
        <v>1782.9056</v>
      </c>
      <c r="M454" s="7">
        <v>0.94550000000000001</v>
      </c>
      <c r="N454" s="61">
        <v>1.0723</v>
      </c>
      <c r="O454" s="1">
        <v>1.0891</v>
      </c>
      <c r="P454" s="1" t="s">
        <v>887</v>
      </c>
      <c r="Q454" s="30">
        <v>45412</v>
      </c>
      <c r="R454" s="1">
        <v>2</v>
      </c>
      <c r="S454" s="1">
        <v>1000</v>
      </c>
      <c r="T454" s="9">
        <v>45366</v>
      </c>
      <c r="U454" s="1">
        <v>4</v>
      </c>
      <c r="V454" s="62">
        <f>aktuelleAnleihen[[#This Row],[Stückelung]]*aktuelleAnleihen[[#This Row],[Anteile]]*aktuelleAnleihen[[#This Row],[Coupon]]/aktuelleAnleihen[[#This Row],[Aktueller Wechselkurs]]*($AC$1-aktuelleAnleihen[[#This Row],[Letzte Zinszahlung]])/365</f>
        <v>34.891395811295745</v>
      </c>
      <c r="W454" s="4">
        <v>19.406600000000001</v>
      </c>
      <c r="X454" s="120" t="s">
        <v>276</v>
      </c>
      <c r="Y454" s="120" t="s">
        <v>61</v>
      </c>
      <c r="Z454" s="1" t="s">
        <v>1612</v>
      </c>
      <c r="AA454" s="1" t="s">
        <v>1613</v>
      </c>
      <c r="AB454" s="3">
        <f>SUMIF('Zinszahlungen Anleihen'!K:K,aktuelleAnleihen[[#This Row],[ISIN]],'Zinszahlungen Anleihen'!D:D)</f>
        <v>0</v>
      </c>
      <c r="AE454" s="9"/>
      <c r="AF454" s="1"/>
      <c r="AI454" s="3"/>
      <c r="AJ454" s="1"/>
      <c r="AM454" s="10"/>
      <c r="AN454" s="1"/>
      <c r="AP454" s="7"/>
      <c r="AQ454" s="1"/>
    </row>
    <row r="455" spans="1:43" x14ac:dyDescent="0.2">
      <c r="A455" s="1" t="s">
        <v>1620</v>
      </c>
      <c r="B455" s="1" t="s">
        <v>2</v>
      </c>
      <c r="C455" s="7">
        <v>8.2500000000000004E-2</v>
      </c>
      <c r="D455" s="7">
        <v>1.1633</v>
      </c>
      <c r="E455" s="7">
        <f>aktuelleAnleihen[[#This Row],[Aktueller Kurs]]-aktuelleAnleihen[[#This Row],[Kaufkurs]]</f>
        <v>3.0499999999999972E-2</v>
      </c>
      <c r="F455" s="8">
        <f>aktuelleAnleihen[[#This Row],[Stückelung]]*aktuelleAnleihen[[#This Row],[Aktueller Kurs]]*aktuelleAnleihen[[#This Row],[Anteile]]/aktuelleAnleihen[[#This Row],[Aktueller Wechselkurs]]+aktuelleAnleihen[[#This Row],[Stückzinsen]]</f>
        <v>2195.1995049324373</v>
      </c>
      <c r="G455" s="8">
        <f>aktuelleAnleihen[[#This Row],[Kursdifferenz]]*aktuelleAnleihen[[#This Row],[Anteile]]*aktuelleAnleihen[[#This Row],[Stückelung]]/aktuelleAnleihen[[#This Row],[Wechselkurs am Kauftag]]</f>
        <v>56.887065186981204</v>
      </c>
      <c r="H455" s="8">
        <f>aktuelleAnleihen[[#This Row],[Stückzinsen]]-aktuelleAnleihen[[#This Row],[Stückzinsen am Kauftag]]+aktuelleAnleihen[[#This Row],[Zinszahlungen]]</f>
        <v>15.096408265464881</v>
      </c>
      <c r="I455" s="8">
        <f>aktuelleAnleihen[[#This Row],[Gewinn gesamt]]-aktuelleAnleihen[[#This Row],[Gewinn aus Kursänderung]]-aktuelleAnleihen[[#This Row],[Gewinn aus Zinsen]]</f>
        <v>-33.46926852000886</v>
      </c>
      <c r="J455" s="7">
        <f>aktuelleAnleihen[[#This Row],[Gewinn gesamt]]/aktuelleAnleihen[[#This Row],[Kaufpreis]]</f>
        <v>1.7858055105414418E-2</v>
      </c>
      <c r="K455" s="3">
        <f>aktuelleAnleihen[[#This Row],[Verkaufspreis]]-aktuelleAnleihen[[#This Row],[Kaufpreis]]+aktuelleAnleihen[[#This Row],[Zinszahlungen]]</f>
        <v>38.514204932437224</v>
      </c>
      <c r="L455" s="4">
        <v>2156.6853000000001</v>
      </c>
      <c r="M455" s="7">
        <v>1.1328</v>
      </c>
      <c r="N455" s="61">
        <v>1.0723</v>
      </c>
      <c r="O455" s="1">
        <v>1.0891</v>
      </c>
      <c r="P455" s="1" t="s">
        <v>887</v>
      </c>
      <c r="Q455" s="30">
        <v>45412</v>
      </c>
      <c r="R455" s="1">
        <v>2</v>
      </c>
      <c r="S455" s="1">
        <v>1000</v>
      </c>
      <c r="T455" s="9">
        <v>45308</v>
      </c>
      <c r="U455" s="1">
        <v>2</v>
      </c>
      <c r="V455" s="62">
        <f>aktuelleAnleihen[[#This Row],[Stückelung]]*aktuelleAnleihen[[#This Row],[Anteile]]*aktuelleAnleihen[[#This Row],[Coupon]]/aktuelleAnleihen[[#This Row],[Aktueller Wechselkurs]]*($AC$1-aktuelleAnleihen[[#This Row],[Letzte Zinszahlung]])/365</f>
        <v>58.940208265464882</v>
      </c>
      <c r="W455" s="4">
        <v>43.843800000000002</v>
      </c>
      <c r="X455" s="120" t="s">
        <v>986</v>
      </c>
      <c r="Y455" s="120" t="s">
        <v>61</v>
      </c>
      <c r="Z455" s="1" t="s">
        <v>1621</v>
      </c>
      <c r="AA455" s="1" t="s">
        <v>1622</v>
      </c>
      <c r="AB455" s="3">
        <f>SUMIF('Zinszahlungen Anleihen'!K:K,aktuelleAnleihen[[#This Row],[ISIN]],'Zinszahlungen Anleihen'!D:D)</f>
        <v>0</v>
      </c>
      <c r="AE455" s="9"/>
      <c r="AF455" s="1"/>
      <c r="AI455" s="3"/>
      <c r="AJ455" s="1"/>
      <c r="AM455" s="10"/>
      <c r="AN455" s="1"/>
      <c r="AP455" s="7"/>
      <c r="AQ455" s="1"/>
    </row>
    <row r="456" spans="1:43" x14ac:dyDescent="0.2">
      <c r="A456" s="1" t="s">
        <v>1602</v>
      </c>
      <c r="B456" s="1" t="s">
        <v>5</v>
      </c>
      <c r="C456" s="7">
        <v>8.1000000000000003E-2</v>
      </c>
      <c r="D456" s="7">
        <v>1.2019</v>
      </c>
      <c r="E456" s="7">
        <f>aktuelleAnleihen[[#This Row],[Aktueller Kurs]]-aktuelleAnleihen[[#This Row],[Kaufkurs]]</f>
        <v>3.1199999999999894E-2</v>
      </c>
      <c r="F456" s="8">
        <f>aktuelleAnleihen[[#This Row],[Stückelung]]*aktuelleAnleihen[[#This Row],[Aktueller Kurs]]*aktuelleAnleihen[[#This Row],[Anteile]]/aktuelleAnleihen[[#This Row],[Aktueller Wechselkurs]]+aktuelleAnleihen[[#This Row],[Stückzinsen]]</f>
        <v>2265.827131362706</v>
      </c>
      <c r="G456" s="8">
        <f>aktuelleAnleihen[[#This Row],[Kursdifferenz]]*aktuelleAnleihen[[#This Row],[Anteile]]*aktuelleAnleihen[[#This Row],[Stückelung]]/aktuelleAnleihen[[#This Row],[Wechselkurs am Kauftag]]</f>
        <v>58.192669961764238</v>
      </c>
      <c r="H456" s="8">
        <f>aktuelleAnleihen[[#This Row],[Stückzinsen]]-aktuelleAnleihen[[#This Row],[Stückzinsen am Kauftag]]+aktuelleAnleihen[[#This Row],[Zinszahlungen]]</f>
        <v>14.809118370327148</v>
      </c>
      <c r="I456" s="8">
        <f>aktuelleAnleihen[[#This Row],[Gewinn gesamt]]-aktuelleAnleihen[[#This Row],[Gewinn aus Kursänderung]]-aktuelleAnleihen[[#This Row],[Gewinn aus Zinsen]]</f>
        <v>-34.579856969385496</v>
      </c>
      <c r="J456" s="7">
        <f>aktuelleAnleihen[[#This Row],[Gewinn gesamt]]/aktuelleAnleihen[[#This Row],[Kaufpreis]]</f>
        <v>1.7249637094636346E-2</v>
      </c>
      <c r="K456" s="3">
        <f>aktuelleAnleihen[[#This Row],[Verkaufspreis]]-aktuelleAnleihen[[#This Row],[Kaufpreis]]+aktuelleAnleihen[[#This Row],[Zinszahlungen]]</f>
        <v>38.421931362705891</v>
      </c>
      <c r="L456" s="4">
        <v>2227.4052000000001</v>
      </c>
      <c r="M456" s="7">
        <v>1.1707000000000001</v>
      </c>
      <c r="N456" s="61">
        <v>1.0723</v>
      </c>
      <c r="O456" s="1">
        <v>1.0891</v>
      </c>
      <c r="P456" s="1" t="s">
        <v>887</v>
      </c>
      <c r="Q456" s="30">
        <v>45412</v>
      </c>
      <c r="R456" s="1">
        <v>2</v>
      </c>
      <c r="S456" s="1">
        <v>1000</v>
      </c>
      <c r="T456" s="9">
        <v>45306</v>
      </c>
      <c r="U456" s="1">
        <v>2</v>
      </c>
      <c r="V456" s="62">
        <f>aktuelleAnleihen[[#This Row],[Stückelung]]*aktuelleAnleihen[[#This Row],[Anteile]]*aktuelleAnleihen[[#This Row],[Coupon]]/aktuelleAnleihen[[#This Row],[Aktueller Wechselkurs]]*($AC$1-aktuelleAnleihen[[#This Row],[Letzte Zinszahlung]])/365</f>
        <v>58.683618370327146</v>
      </c>
      <c r="W456" s="4">
        <v>43.874499999999998</v>
      </c>
      <c r="X456" s="120" t="s">
        <v>276</v>
      </c>
      <c r="Y456" s="120" t="s">
        <v>39</v>
      </c>
      <c r="Z456" s="1" t="s">
        <v>1603</v>
      </c>
      <c r="AA456" s="1" t="s">
        <v>1604</v>
      </c>
      <c r="AB456" s="3">
        <f>SUMIF('Zinszahlungen Anleihen'!K:K,aktuelleAnleihen[[#This Row],[ISIN]],'Zinszahlungen Anleihen'!D:D)</f>
        <v>0</v>
      </c>
      <c r="AE456" s="9"/>
      <c r="AF456" s="1"/>
      <c r="AI456" s="3"/>
      <c r="AJ456" s="1"/>
      <c r="AM456" s="10"/>
      <c r="AN456" s="1"/>
      <c r="AP456" s="7"/>
      <c r="AQ456" s="1"/>
    </row>
    <row r="457" spans="1:43" x14ac:dyDescent="0.2">
      <c r="A457" s="1" t="s">
        <v>1576</v>
      </c>
      <c r="B457" s="1" t="s">
        <v>8</v>
      </c>
      <c r="C457" s="7">
        <v>8.3750000000000005E-2</v>
      </c>
      <c r="D457" s="7">
        <v>1.1112</v>
      </c>
      <c r="E457" s="7">
        <f>aktuelleAnleihen[[#This Row],[Aktueller Kurs]]-aktuelleAnleihen[[#This Row],[Kaufkurs]]</f>
        <v>3.1700000000000061E-2</v>
      </c>
      <c r="F457" s="8">
        <f>aktuelleAnleihen[[#This Row],[Stückelung]]*aktuelleAnleihen[[#This Row],[Aktueller Kurs]]*aktuelleAnleihen[[#This Row],[Anteile]]/aktuelleAnleihen[[#This Row],[Aktueller Wechselkurs]]+aktuelleAnleihen[[#This Row],[Stückzinsen]]</f>
        <v>2101.2599318527427</v>
      </c>
      <c r="G457" s="8">
        <f>aktuelleAnleihen[[#This Row],[Kursdifferenz]]*aktuelleAnleihen[[#This Row],[Anteile]]*aktuelleAnleihen[[#This Row],[Stückelung]]/aktuelleAnleihen[[#This Row],[Wechselkurs am Kauftag]]</f>
        <v>59.125244800895381</v>
      </c>
      <c r="H457" s="8">
        <f>aktuelleAnleihen[[#This Row],[Stückzinsen]]-aktuelleAnleihen[[#This Row],[Stückzinsen am Kauftag]]+aktuelleAnleihen[[#This Row],[Zinszahlungen]]</f>
        <v>15.311963438455535</v>
      </c>
      <c r="I457" s="8">
        <f>aktuelleAnleihen[[#This Row],[Gewinn gesamt]]-aktuelleAnleihen[[#This Row],[Gewinn aus Kursänderung]]-aktuelleAnleihen[[#This Row],[Gewinn aus Zinsen]]</f>
        <v>-31.970376386608045</v>
      </c>
      <c r="J457" s="7">
        <f>aktuelleAnleihen[[#This Row],[Gewinn gesamt]]/aktuelleAnleihen[[#This Row],[Kaufpreis]]</f>
        <v>2.0627051767728808E-2</v>
      </c>
      <c r="K457" s="3">
        <f>aktuelleAnleihen[[#This Row],[Verkaufspreis]]-aktuelleAnleihen[[#This Row],[Kaufpreis]]+aktuelleAnleihen[[#This Row],[Zinszahlungen]]</f>
        <v>42.466831852742871</v>
      </c>
      <c r="L457" s="4">
        <v>2058.7930999999999</v>
      </c>
      <c r="M457" s="7">
        <v>1.0794999999999999</v>
      </c>
      <c r="N457" s="61">
        <v>1.0723</v>
      </c>
      <c r="O457" s="1">
        <v>1.0891</v>
      </c>
      <c r="P457" s="1" t="s">
        <v>887</v>
      </c>
      <c r="Q457" s="30">
        <v>45412</v>
      </c>
      <c r="R457" s="1">
        <v>2</v>
      </c>
      <c r="S457" s="1">
        <v>1000</v>
      </c>
      <c r="T457" s="9">
        <v>45306</v>
      </c>
      <c r="U457" s="1">
        <v>2</v>
      </c>
      <c r="V457" s="62">
        <f>aktuelleAnleihen[[#This Row],[Stückelung]]*aktuelleAnleihen[[#This Row],[Anteile]]*aktuelleAnleihen[[#This Row],[Coupon]]/aktuelleAnleihen[[#This Row],[Aktueller Wechselkurs]]*($AC$1-aktuelleAnleihen[[#This Row],[Letzte Zinszahlung]])/365</f>
        <v>60.675963438455533</v>
      </c>
      <c r="W457" s="4">
        <v>45.363999999999997</v>
      </c>
      <c r="X457" s="120" t="s">
        <v>276</v>
      </c>
      <c r="Y457" s="120" t="s">
        <v>39</v>
      </c>
      <c r="Z457" s="1" t="s">
        <v>1577</v>
      </c>
      <c r="AA457" s="1" t="s">
        <v>1578</v>
      </c>
      <c r="AB457" s="3">
        <f>SUMIF('Zinszahlungen Anleihen'!K:K,aktuelleAnleihen[[#This Row],[ISIN]],'Zinszahlungen Anleihen'!D:D)</f>
        <v>0</v>
      </c>
      <c r="AE457" s="9"/>
      <c r="AF457" s="1"/>
      <c r="AI457" s="3"/>
      <c r="AJ457" s="1"/>
      <c r="AM457" s="10"/>
      <c r="AN457" s="1"/>
      <c r="AP457" s="7"/>
      <c r="AQ457" s="1"/>
    </row>
    <row r="458" spans="1:43" x14ac:dyDescent="0.2">
      <c r="A458" s="1" t="s">
        <v>1372</v>
      </c>
      <c r="B458" s="1" t="s">
        <v>11</v>
      </c>
      <c r="C458" s="7">
        <v>8.7499999999999994E-2</v>
      </c>
      <c r="D458" s="7">
        <v>1.2153</v>
      </c>
      <c r="E458" s="7">
        <f>aktuelleAnleihen[[#This Row],[Aktueller Kurs]]-aktuelleAnleihen[[#This Row],[Kaufkurs]]</f>
        <v>3.1900000000000039E-2</v>
      </c>
      <c r="F458" s="8">
        <f>aktuelleAnleihen[[#This Row],[Stückelung]]*aktuelleAnleihen[[#This Row],[Aktueller Kurs]]*aktuelleAnleihen[[#This Row],[Anteile]]/aktuelleAnleihen[[#This Row],[Aktueller Wechselkurs]]+aktuelleAnleihen[[#This Row],[Stückzinsen]]</f>
        <v>2239.2348589950479</v>
      </c>
      <c r="G458" s="8">
        <f>aktuelleAnleihen[[#This Row],[Kursdifferenz]]*aktuelleAnleihen[[#This Row],[Anteile]]*aktuelleAnleihen[[#This Row],[Stückelung]]/aktuelleAnleihen[[#This Row],[Wechselkurs am Kauftag]]</f>
        <v>59.498274736547685</v>
      </c>
      <c r="H458" s="8">
        <f>aktuelleAnleihen[[#This Row],[Stückzinsen]]-aktuelleAnleihen[[#This Row],[Stückzinsen am Kauftag]]+aktuelleAnleihen[[#This Row],[Zinszahlungen]]</f>
        <v>16.104786681268905</v>
      </c>
      <c r="I458" s="8">
        <f>aktuelleAnleihen[[#This Row],[Gewinn gesamt]]-aktuelleAnleihen[[#This Row],[Gewinn aus Kursänderung]]-aktuelleAnleihen[[#This Row],[Gewinn aus Zinsen]]</f>
        <v>-34.965387683017255</v>
      </c>
      <c r="J458" s="7">
        <f>aktuelleAnleihen[[#This Row],[Gewinn gesamt]]/aktuelleAnleihen[[#This Row],[Kaufpreis]]</f>
        <v>1.7829756502310251E-2</v>
      </c>
      <c r="K458" s="3">
        <f>aktuelleAnleihen[[#This Row],[Verkaufspreis]]-aktuelleAnleihen[[#This Row],[Kaufpreis]]+aktuelleAnleihen[[#This Row],[Zinszahlungen]]</f>
        <v>40.637673734799336</v>
      </c>
      <c r="L458" s="4">
        <v>2279.2051999999999</v>
      </c>
      <c r="M458" s="7">
        <v>1.1834</v>
      </c>
      <c r="N458" s="61">
        <v>1.0723</v>
      </c>
      <c r="O458" s="1">
        <v>1.0891</v>
      </c>
      <c r="P458" s="1" t="s">
        <v>887</v>
      </c>
      <c r="Q458" s="30">
        <v>45412</v>
      </c>
      <c r="R458" s="1">
        <v>2</v>
      </c>
      <c r="S458" s="1">
        <v>1000</v>
      </c>
      <c r="T458" s="9">
        <v>45433</v>
      </c>
      <c r="U458" s="1">
        <v>2</v>
      </c>
      <c r="V458" s="62">
        <f>aktuelleAnleihen[[#This Row],[Stückelung]]*aktuelleAnleihen[[#This Row],[Anteile]]*aktuelleAnleihen[[#This Row],[Coupon]]/aktuelleAnleihen[[#This Row],[Aktueller Wechselkurs]]*($AC$1-aktuelleAnleihen[[#This Row],[Letzte Zinszahlung]])/365</f>
        <v>7.483871941517628</v>
      </c>
      <c r="W458" s="4">
        <v>71.987099999999998</v>
      </c>
      <c r="X458" s="120" t="s">
        <v>1373</v>
      </c>
      <c r="Y458" s="120" t="s">
        <v>61</v>
      </c>
      <c r="Z458" s="1" t="s">
        <v>1374</v>
      </c>
      <c r="AA458" s="1" t="s">
        <v>1375</v>
      </c>
      <c r="AB458" s="3">
        <f>SUMIF('Zinszahlungen Anleihen'!K:K,aktuelleAnleihen[[#This Row],[ISIN]],'Zinszahlungen Anleihen'!D:D)</f>
        <v>80.608014739751269</v>
      </c>
      <c r="AE458" s="9"/>
      <c r="AF458" s="1"/>
      <c r="AI458" s="3"/>
      <c r="AJ458" s="1"/>
      <c r="AM458" s="10"/>
      <c r="AN458" s="1"/>
      <c r="AP458" s="7"/>
      <c r="AQ458" s="1"/>
    </row>
    <row r="459" spans="1:43" x14ac:dyDescent="0.2">
      <c r="A459" s="1" t="s">
        <v>1054</v>
      </c>
      <c r="B459" s="1" t="s">
        <v>11</v>
      </c>
      <c r="C459" s="7">
        <v>8.9499999999999996E-2</v>
      </c>
      <c r="D459" s="7">
        <v>0.49399999999999999</v>
      </c>
      <c r="E459" s="7">
        <f>aktuelleAnleihen[[#This Row],[Aktueller Kurs]]-aktuelleAnleihen[[#This Row],[Kaufkurs]]</f>
        <v>3.1999999999999973E-2</v>
      </c>
      <c r="F459" s="8">
        <f>aktuelleAnleihen[[#This Row],[Stückelung]]*aktuelleAnleihen[[#This Row],[Aktueller Kurs]]*aktuelleAnleihen[[#This Row],[Anteile]]/aktuelleAnleihen[[#This Row],[Aktueller Wechselkurs]]+aktuelleAnleihen[[#This Row],[Stückzinsen]]</f>
        <v>940.04223670920953</v>
      </c>
      <c r="G459" s="8">
        <f>aktuelleAnleihen[[#This Row],[Kursdifferenz]]*aktuelleAnleihen[[#This Row],[Anteile]]*aktuelleAnleihen[[#This Row],[Stückelung]]/aktuelleAnleihen[[#This Row],[Wechselkurs am Kauftag]]</f>
        <v>59.684789704373721</v>
      </c>
      <c r="H459" s="8">
        <f>aktuelleAnleihen[[#This Row],[Stückzinsen]]-aktuelleAnleihen[[#This Row],[Stückzinsen am Kauftag]]+aktuelleAnleihen[[#This Row],[Zinszahlungen]]</f>
        <v>16.864078036911209</v>
      </c>
      <c r="I459" s="8">
        <f>aktuelleAnleihen[[#This Row],[Gewinn gesamt]]-aktuelleAnleihen[[#This Row],[Gewinn aus Kursänderung]]-aktuelleAnleihen[[#This Row],[Gewinn aus Zinsen]]</f>
        <v>-14.212831032075364</v>
      </c>
      <c r="J459" s="7">
        <f>aktuelleAnleihen[[#This Row],[Gewinn gesamt]]/aktuelleAnleihen[[#This Row],[Kaufpreis]]</f>
        <v>7.1021529424321675E-2</v>
      </c>
      <c r="K459" s="3">
        <f>aktuelleAnleihen[[#This Row],[Verkaufspreis]]-aktuelleAnleihen[[#This Row],[Kaufpreis]]+aktuelleAnleihen[[#This Row],[Zinszahlungen]]</f>
        <v>62.336036709209566</v>
      </c>
      <c r="L459" s="4">
        <v>877.70619999999997</v>
      </c>
      <c r="M459" s="7">
        <v>0.46200000000000002</v>
      </c>
      <c r="N459" s="61">
        <v>1.0723</v>
      </c>
      <c r="O459" s="1">
        <v>1.0891</v>
      </c>
      <c r="P459" s="1" t="s">
        <v>887</v>
      </c>
      <c r="Q459" s="30">
        <v>45412</v>
      </c>
      <c r="R459" s="1">
        <v>2</v>
      </c>
      <c r="S459" s="1">
        <v>1000</v>
      </c>
      <c r="T459" s="9">
        <v>45377</v>
      </c>
      <c r="U459" s="1">
        <v>2</v>
      </c>
      <c r="V459" s="62">
        <f>aktuelleAnleihen[[#This Row],[Stückelung]]*aktuelleAnleihen[[#This Row],[Anteile]]*aktuelleAnleihen[[#This Row],[Coupon]]/aktuelleAnleihen[[#This Row],[Aktueller Wechselkurs]]*($AC$1-aktuelleAnleihen[[#This Row],[Letzte Zinszahlung]])/365</f>
        <v>32.871178036911211</v>
      </c>
      <c r="W459" s="4">
        <v>16.007100000000001</v>
      </c>
      <c r="X459" s="120" t="s">
        <v>1055</v>
      </c>
      <c r="Y459" s="120" t="s">
        <v>109</v>
      </c>
      <c r="Z459" s="1" t="s">
        <v>1331</v>
      </c>
      <c r="AA459" s="1" t="s">
        <v>1332</v>
      </c>
      <c r="AB459" s="3">
        <f>SUMIF('Zinszahlungen Anleihen'!K:K,aktuelleAnleihen[[#This Row],[ISIN]],'Zinszahlungen Anleihen'!D:D)</f>
        <v>0</v>
      </c>
      <c r="AE459" s="9"/>
      <c r="AF459" s="1"/>
      <c r="AI459" s="3"/>
      <c r="AJ459" s="1"/>
      <c r="AM459" s="10"/>
      <c r="AN459" s="1"/>
      <c r="AP459" s="7"/>
      <c r="AQ459" s="1"/>
    </row>
    <row r="460" spans="1:43" x14ac:dyDescent="0.2">
      <c r="A460" s="1" t="s">
        <v>1754</v>
      </c>
      <c r="B460" s="1" t="s">
        <v>0</v>
      </c>
      <c r="C460" s="7">
        <v>0.08</v>
      </c>
      <c r="D460" s="7">
        <v>0.96930000000000005</v>
      </c>
      <c r="E460" s="7">
        <f>aktuelleAnleihen[[#This Row],[Aktueller Kurs]]-aktuelleAnleihen[[#This Row],[Kaufkurs]]</f>
        <v>3.2000000000000028E-2</v>
      </c>
      <c r="F460" s="8">
        <f>aktuelleAnleihen[[#This Row],[Stückelung]]*aktuelleAnleihen[[#This Row],[Aktueller Kurs]]*aktuelleAnleihen[[#This Row],[Anteile]]/aktuelleAnleihen[[#This Row],[Aktueller Wechselkurs]]+aktuelleAnleihen[[#This Row],[Stückzinsen]]</f>
        <v>1812.6038465843988</v>
      </c>
      <c r="G460" s="8">
        <f>aktuelleAnleihen[[#This Row],[Kursdifferenz]]*aktuelleAnleihen[[#This Row],[Anteile]]*aktuelleAnleihen[[#This Row],[Stückelung]]/aktuelleAnleihen[[#This Row],[Wechselkurs am Kauftag]]</f>
        <v>59.684789704373827</v>
      </c>
      <c r="H460" s="8">
        <f>aktuelleAnleihen[[#This Row],[Stückzinsen]]-aktuelleAnleihen[[#This Row],[Stückzinsen am Kauftag]]+aktuelleAnleihen[[#This Row],[Zinszahlungen]]</f>
        <v>15.02361020573731</v>
      </c>
      <c r="I460" s="8">
        <f>aktuelleAnleihen[[#This Row],[Gewinn gesamt]]-aktuelleAnleihen[[#This Row],[Gewinn aus Kursänderung]]-aktuelleAnleihen[[#This Row],[Gewinn aus Zinsen]]</f>
        <v>-27.887753325712463</v>
      </c>
      <c r="J460" s="7">
        <f>aktuelleAnleihen[[#This Row],[Gewinn gesamt]]/aktuelleAnleihen[[#This Row],[Kaufpreis]]</f>
        <v>2.6515512541063178E-2</v>
      </c>
      <c r="K460" s="3">
        <f>aktuelleAnleihen[[#This Row],[Verkaufspreis]]-aktuelleAnleihen[[#This Row],[Kaufpreis]]+aktuelleAnleihen[[#This Row],[Zinszahlungen]]</f>
        <v>46.820646584398673</v>
      </c>
      <c r="L460" s="4">
        <v>1765.7832000000001</v>
      </c>
      <c r="M460" s="7">
        <v>0.93730000000000002</v>
      </c>
      <c r="N460" s="61">
        <v>1.0723</v>
      </c>
      <c r="O460" s="1">
        <v>1.0891</v>
      </c>
      <c r="P460" s="1" t="s">
        <v>887</v>
      </c>
      <c r="Q460" s="30">
        <v>45412</v>
      </c>
      <c r="R460" s="1">
        <v>2</v>
      </c>
      <c r="S460" s="1">
        <v>1000</v>
      </c>
      <c r="T460" s="9">
        <v>45369</v>
      </c>
      <c r="U460" s="1">
        <v>2</v>
      </c>
      <c r="V460" s="62">
        <f>aktuelleAnleihen[[#This Row],[Stückelung]]*aktuelleAnleihen[[#This Row],[Anteile]]*aktuelleAnleihen[[#This Row],[Coupon]]/aktuelleAnleihen[[#This Row],[Aktueller Wechselkurs]]*($AC$1-aktuelleAnleihen[[#This Row],[Letzte Zinszahlung]])/365</f>
        <v>32.602010205737308</v>
      </c>
      <c r="W460" s="4">
        <v>17.578399999999998</v>
      </c>
      <c r="X460" s="120" t="s">
        <v>51</v>
      </c>
      <c r="Y460" s="120" t="s">
        <v>52</v>
      </c>
      <c r="Z460" s="1" t="s">
        <v>1755</v>
      </c>
      <c r="AA460" s="1" t="s">
        <v>1756</v>
      </c>
      <c r="AB460" s="3">
        <f>SUMIF('Zinszahlungen Anleihen'!K:K,aktuelleAnleihen[[#This Row],[ISIN]],'Zinszahlungen Anleihen'!D:D)</f>
        <v>0</v>
      </c>
      <c r="AE460" s="9"/>
      <c r="AF460" s="1"/>
      <c r="AI460" s="3"/>
      <c r="AJ460" s="1"/>
      <c r="AM460" s="10"/>
      <c r="AN460" s="1"/>
      <c r="AP460" s="7"/>
      <c r="AQ460" s="1"/>
    </row>
    <row r="461" spans="1:43" x14ac:dyDescent="0.2">
      <c r="A461" s="1" t="s">
        <v>1435</v>
      </c>
      <c r="B461" s="1" t="s">
        <v>8</v>
      </c>
      <c r="C461" s="7">
        <v>8.5000000000000006E-2</v>
      </c>
      <c r="D461" s="7">
        <v>1.1431</v>
      </c>
      <c r="E461" s="7">
        <f>aktuelleAnleihen[[#This Row],[Aktueller Kurs]]-aktuelleAnleihen[[#This Row],[Kaufkurs]]</f>
        <v>3.2299999999999995E-2</v>
      </c>
      <c r="F461" s="8">
        <f>aktuelleAnleihen[[#This Row],[Stückelung]]*aktuelleAnleihen[[#This Row],[Aktueller Kurs]]*aktuelleAnleihen[[#This Row],[Anteile]]/aktuelleAnleihen[[#This Row],[Aktueller Wechselkurs]]+aktuelleAnleihen[[#This Row],[Stückzinsen]]</f>
        <v>2136.7976323293205</v>
      </c>
      <c r="G461" s="8">
        <f>aktuelleAnleihen[[#This Row],[Kursdifferenz]]*aktuelleAnleihen[[#This Row],[Anteile]]*aktuelleAnleihen[[#This Row],[Stückelung]]/aktuelleAnleihen[[#This Row],[Wechselkurs am Kauftag]]</f>
        <v>60.244334607852274</v>
      </c>
      <c r="H461" s="8">
        <f>aktuelleAnleihen[[#This Row],[Stückzinsen]]-aktuelleAnleihen[[#This Row],[Stückzinsen am Kauftag]]+aktuelleAnleihen[[#This Row],[Zinszahlungen]]</f>
        <v>15.915684620202931</v>
      </c>
      <c r="I461" s="8">
        <f>aktuelleAnleihen[[#This Row],[Gewinn gesamt]]-aktuelleAnleihen[[#This Row],[Gewinn aus Kursänderung]]-aktuelleAnleihen[[#This Row],[Gewinn aus Zinsen]]</f>
        <v>-32.888186898734546</v>
      </c>
      <c r="J461" s="7">
        <f>aktuelleAnleihen[[#This Row],[Gewinn gesamt]]/aktuelleAnleihen[[#This Row],[Kaufpreis]]</f>
        <v>2.0669357086175226E-2</v>
      </c>
      <c r="K461" s="3">
        <f>aktuelleAnleihen[[#This Row],[Verkaufspreis]]-aktuelleAnleihen[[#This Row],[Kaufpreis]]+aktuelleAnleihen[[#This Row],[Zinszahlungen]]</f>
        <v>43.271832329320659</v>
      </c>
      <c r="L461" s="4">
        <v>2093.5257999999999</v>
      </c>
      <c r="M461" s="7">
        <v>1.1108</v>
      </c>
      <c r="N461" s="61">
        <v>1.0723</v>
      </c>
      <c r="O461" s="1">
        <v>1.0891</v>
      </c>
      <c r="P461" s="1" t="s">
        <v>887</v>
      </c>
      <c r="Q461" s="30">
        <v>45412</v>
      </c>
      <c r="R461" s="1">
        <v>2</v>
      </c>
      <c r="S461" s="1">
        <v>1000</v>
      </c>
      <c r="T461" s="9">
        <v>45362</v>
      </c>
      <c r="U461" s="1">
        <v>2</v>
      </c>
      <c r="V461" s="62">
        <f>aktuelleAnleihen[[#This Row],[Stückelung]]*aktuelleAnleihen[[#This Row],[Anteile]]*aktuelleAnleihen[[#This Row],[Coupon]]/aktuelleAnleihen[[#This Row],[Aktueller Wechselkurs]]*($AC$1-aktuelleAnleihen[[#This Row],[Letzte Zinszahlung]])/365</f>
        <v>37.633184620202933</v>
      </c>
      <c r="W461" s="4">
        <v>21.717500000000001</v>
      </c>
      <c r="X461" s="120" t="s">
        <v>1020</v>
      </c>
      <c r="Y461" s="120" t="s">
        <v>52</v>
      </c>
      <c r="Z461" s="1" t="s">
        <v>1436</v>
      </c>
      <c r="AA461" s="1" t="s">
        <v>1437</v>
      </c>
      <c r="AB461" s="3">
        <f>SUMIF('Zinszahlungen Anleihen'!K:K,aktuelleAnleihen[[#This Row],[ISIN]],'Zinszahlungen Anleihen'!D:D)</f>
        <v>0</v>
      </c>
      <c r="AE461" s="9"/>
      <c r="AF461" s="1"/>
      <c r="AI461" s="3"/>
      <c r="AJ461" s="1"/>
      <c r="AM461" s="10"/>
      <c r="AN461" s="1"/>
      <c r="AP461" s="7"/>
      <c r="AQ461" s="1"/>
    </row>
    <row r="462" spans="1:43" x14ac:dyDescent="0.2">
      <c r="A462" s="1" t="s">
        <v>1112</v>
      </c>
      <c r="B462" s="1" t="s">
        <v>11</v>
      </c>
      <c r="C462" s="7">
        <v>9.8750000000000004E-2</v>
      </c>
      <c r="D462" s="7">
        <v>0.90010000000000001</v>
      </c>
      <c r="E462" s="7">
        <f>aktuelleAnleihen[[#This Row],[Aktueller Kurs]]-aktuelleAnleihen[[#This Row],[Kaufkurs]]</f>
        <v>3.2499999999999973E-2</v>
      </c>
      <c r="F462" s="8">
        <f>aktuelleAnleihen[[#This Row],[Stückelung]]*aktuelleAnleihen[[#This Row],[Aktueller Kurs]]*aktuelleAnleihen[[#This Row],[Anteile]]/aktuelleAnleihen[[#This Row],[Aktueller Wechselkurs]]+aktuelleAnleihen[[#This Row],[Stückzinsen]]</f>
        <v>1682.7341414237972</v>
      </c>
      <c r="G462" s="8">
        <f>aktuelleAnleihen[[#This Row],[Kursdifferenz]]*aktuelleAnleihen[[#This Row],[Anteile]]*aktuelleAnleihen[[#This Row],[Stückelung]]/aktuelleAnleihen[[#This Row],[Wechselkurs am Kauftag]]</f>
        <v>60.617364543504564</v>
      </c>
      <c r="H462" s="8">
        <f>aktuelleAnleihen[[#This Row],[Stückzinsen]]-aktuelleAnleihen[[#This Row],[Stückzinsen am Kauftag]]+aktuelleAnleihen[[#This Row],[Zinszahlungen]]</f>
        <v>18.708208405708874</v>
      </c>
      <c r="I462" s="8">
        <f>aktuelleAnleihen[[#This Row],[Gewinn gesamt]]-aktuelleAnleihen[[#This Row],[Gewinn aus Kursänderung]]-aktuelleAnleihen[[#This Row],[Gewinn aus Zinsen]]</f>
        <v>-25.896731525416271</v>
      </c>
      <c r="J462" s="7">
        <f>aktuelleAnleihen[[#This Row],[Gewinn gesamt]]/aktuelleAnleihen[[#This Row],[Kaufpreis]]</f>
        <v>3.2792406324215088E-2</v>
      </c>
      <c r="K462" s="3">
        <f>aktuelleAnleihen[[#This Row],[Verkaufspreis]]-aktuelleAnleihen[[#This Row],[Kaufpreis]]+aktuelleAnleihen[[#This Row],[Zinszahlungen]]</f>
        <v>53.428841423797166</v>
      </c>
      <c r="L462" s="4">
        <v>1629.3053</v>
      </c>
      <c r="M462" s="7">
        <v>0.86760000000000004</v>
      </c>
      <c r="N462" s="61">
        <v>1.0723</v>
      </c>
      <c r="O462" s="1">
        <v>1.0891</v>
      </c>
      <c r="P462" s="1" t="s">
        <v>887</v>
      </c>
      <c r="Q462" s="30">
        <v>45412</v>
      </c>
      <c r="R462" s="1">
        <v>2</v>
      </c>
      <c r="S462" s="1">
        <v>1000</v>
      </c>
      <c r="T462" s="9">
        <v>45390</v>
      </c>
      <c r="U462" s="1">
        <v>2</v>
      </c>
      <c r="V462" s="62">
        <f>aktuelleAnleihen[[#This Row],[Stückelung]]*aktuelleAnleihen[[#This Row],[Anteile]]*aktuelleAnleihen[[#This Row],[Coupon]]/aktuelleAnleihen[[#This Row],[Aktueller Wechselkurs]]*($AC$1-aktuelleAnleihen[[#This Row],[Letzte Zinszahlung]])/365</f>
        <v>29.809708405708871</v>
      </c>
      <c r="W462" s="4">
        <v>11.1015</v>
      </c>
      <c r="X462" s="120" t="s">
        <v>986</v>
      </c>
      <c r="Y462" s="120" t="s">
        <v>39</v>
      </c>
      <c r="Z462" s="1" t="s">
        <v>1113</v>
      </c>
      <c r="AA462" s="1" t="s">
        <v>1114</v>
      </c>
      <c r="AB462" s="3">
        <f>SUMIF('Zinszahlungen Anleihen'!K:K,aktuelleAnleihen[[#This Row],[ISIN]],'Zinszahlungen Anleihen'!D:D)</f>
        <v>0</v>
      </c>
      <c r="AE462" s="9"/>
      <c r="AF462" s="1"/>
      <c r="AI462" s="3"/>
      <c r="AJ462" s="1"/>
      <c r="AM462" s="10"/>
      <c r="AN462" s="1"/>
      <c r="AP462" s="7"/>
      <c r="AQ462" s="1"/>
    </row>
    <row r="463" spans="1:43" x14ac:dyDescent="0.2">
      <c r="A463" s="1" t="s">
        <v>105</v>
      </c>
      <c r="B463" s="1" t="s">
        <v>0</v>
      </c>
      <c r="C463" s="7">
        <v>0.11</v>
      </c>
      <c r="D463" s="7">
        <v>0.9405</v>
      </c>
      <c r="E463" s="7">
        <f>aktuelleAnleihen[[#This Row],[Aktueller Kurs]]-aktuelleAnleihen[[#This Row],[Kaufkurs]]</f>
        <v>3.0399999999999983E-2</v>
      </c>
      <c r="F463" s="8">
        <f>aktuelleAnleihen[[#This Row],[Stückelung]]*aktuelleAnleihen[[#This Row],[Aktueller Kurs]]*aktuelleAnleihen[[#This Row],[Anteile]]/aktuelleAnleihen[[#This Row],[Aktueller Wechselkurs]]+aktuelleAnleihen[[#This Row],[Stückzinsen]]</f>
        <v>1918.3698630136987</v>
      </c>
      <c r="G463" s="8">
        <f>aktuelleAnleihen[[#This Row],[Kursdifferenz]]*aktuelleAnleihen[[#This Row],[Anteile]]*aktuelleAnleihen[[#This Row],[Stückelung]]/aktuelleAnleihen[[#This Row],[Wechselkurs am Kauftag]]</f>
        <v>60.799999999999969</v>
      </c>
      <c r="H463" s="8">
        <f>aktuelleAnleihen[[#This Row],[Stückzinsen]]-aktuelleAnleihen[[#This Row],[Stückzinsen am Kauftag]]+aktuelleAnleihen[[#This Row],[Zinszahlungen]]</f>
        <v>43.095863013698633</v>
      </c>
      <c r="I463" s="8">
        <f>aktuelleAnleihen[[#This Row],[Gewinn gesamt]]-aktuelleAnleihen[[#This Row],[Gewinn aus Kursänderung]]-aktuelleAnleihen[[#This Row],[Gewinn aus Zinsen]]</f>
        <v>1.8474111129762605E-13</v>
      </c>
      <c r="J463" s="7">
        <f>aktuelleAnleihen[[#This Row],[Gewinn gesamt]]/aktuelleAnleihen[[#This Row],[Kaufpreis]]</f>
        <v>5.3986628561206229E-2</v>
      </c>
      <c r="K463" s="3">
        <f>aktuelleAnleihen[[#This Row],[Verkaufspreis]]-aktuelleAnleihen[[#This Row],[Kaufpreis]]+aktuelleAnleihen[[#This Row],[Zinszahlungen]]</f>
        <v>103.89586301369879</v>
      </c>
      <c r="L463" s="4">
        <v>1924.4739999999999</v>
      </c>
      <c r="M463" s="7">
        <v>0.91010000000000002</v>
      </c>
      <c r="N463" s="61">
        <v>1</v>
      </c>
      <c r="O463" s="1">
        <v>1</v>
      </c>
      <c r="P463" s="1" t="s">
        <v>925</v>
      </c>
      <c r="Q463" s="30">
        <v>45378</v>
      </c>
      <c r="R463" s="1">
        <v>20</v>
      </c>
      <c r="S463" s="1">
        <v>100</v>
      </c>
      <c r="T463" s="9">
        <v>45388</v>
      </c>
      <c r="U463" s="1">
        <v>2</v>
      </c>
      <c r="V463" s="62">
        <f>aktuelleAnleihen[[#This Row],[Stückelung]]*aktuelleAnleihen[[#This Row],[Anteile]]*aktuelleAnleihen[[#This Row],[Coupon]]/aktuelleAnleihen[[#This Row],[Aktueller Wechselkurs]]*($AC$1-aktuelleAnleihen[[#This Row],[Letzte Zinszahlung]])/365</f>
        <v>37.369863013698627</v>
      </c>
      <c r="W463" s="4">
        <v>104.274</v>
      </c>
      <c r="X463" s="120" t="s">
        <v>35</v>
      </c>
      <c r="Y463" s="120" t="s">
        <v>52</v>
      </c>
      <c r="Z463" s="1" t="s">
        <v>106</v>
      </c>
      <c r="AA463" s="1" t="s">
        <v>107</v>
      </c>
      <c r="AB463" s="3">
        <f>SUMIF('Zinszahlungen Anleihen'!K:K,aktuelleAnleihen[[#This Row],[ISIN]],'Zinszahlungen Anleihen'!D:D)</f>
        <v>110.00000000000001</v>
      </c>
      <c r="AE463" s="9"/>
      <c r="AF463" s="1"/>
      <c r="AI463" s="3"/>
      <c r="AJ463" s="1"/>
      <c r="AM463" s="10"/>
      <c r="AN463" s="1"/>
      <c r="AP463" s="7"/>
      <c r="AQ463" s="1"/>
    </row>
    <row r="464" spans="1:43" x14ac:dyDescent="0.2">
      <c r="A464" s="1" t="s">
        <v>1729</v>
      </c>
      <c r="B464" s="1" t="s">
        <v>0</v>
      </c>
      <c r="C464" s="7">
        <v>0.08</v>
      </c>
      <c r="D464" s="7">
        <v>1.2693000000000001</v>
      </c>
      <c r="E464" s="7">
        <f>aktuelleAnleihen[[#This Row],[Aktueller Kurs]]-aktuelleAnleihen[[#This Row],[Kaufkurs]]</f>
        <v>3.2700000000000173E-2</v>
      </c>
      <c r="F464" s="8">
        <f>aktuelleAnleihen[[#This Row],[Stückelung]]*aktuelleAnleihen[[#This Row],[Aktueller Kurs]]*aktuelleAnleihen[[#This Row],[Anteile]]/aktuelleAnleihen[[#This Row],[Aktueller Wechselkurs]]+aktuelleAnleihen[[#This Row],[Stückzinsen]]</f>
        <v>2334.1353863879067</v>
      </c>
      <c r="G464" s="8">
        <f>aktuelleAnleihen[[#This Row],[Kursdifferenz]]*aktuelleAnleihen[[#This Row],[Anteile]]*aktuelleAnleihen[[#This Row],[Stückelung]]/aktuelleAnleihen[[#This Row],[Wechselkurs am Kauftag]]</f>
        <v>60.990394479157274</v>
      </c>
      <c r="H464" s="8">
        <f>aktuelleAnleihen[[#This Row],[Stückzinsen]]-aktuelleAnleihen[[#This Row],[Stückzinsen am Kauftag]]+aktuelleAnleihen[[#This Row],[Zinszahlungen]]</f>
        <v>14.923961372350497</v>
      </c>
      <c r="I464" s="8">
        <f>aktuelleAnleihen[[#This Row],[Gewinn gesamt]]-aktuelleAnleihen[[#This Row],[Gewinn aus Kursänderung]]-aktuelleAnleihen[[#This Row],[Gewinn aus Zinsen]]</f>
        <v>-36.519059716508771</v>
      </c>
      <c r="J464" s="7">
        <f>aktuelleAnleihen[[#This Row],[Gewinn gesamt]]/aktuelleAnleihen[[#This Row],[Kaufpreis]]</f>
        <v>1.6632441319207606E-2</v>
      </c>
      <c r="K464" s="3">
        <f>aktuelleAnleihen[[#This Row],[Verkaufspreis]]-aktuelleAnleihen[[#This Row],[Kaufpreis]]+aktuelleAnleihen[[#This Row],[Zinszahlungen]]</f>
        <v>39.395296134999001</v>
      </c>
      <c r="L464" s="4">
        <v>2368.5817000000002</v>
      </c>
      <c r="M464" s="7">
        <v>1.2365999999999999</v>
      </c>
      <c r="N464" s="61">
        <v>1.0723</v>
      </c>
      <c r="O464" s="1">
        <v>1.0891</v>
      </c>
      <c r="P464" s="1" t="s">
        <v>887</v>
      </c>
      <c r="Q464" s="30">
        <v>45412</v>
      </c>
      <c r="R464" s="1">
        <v>2</v>
      </c>
      <c r="S464" s="1">
        <v>1000</v>
      </c>
      <c r="T464" s="9">
        <v>45442</v>
      </c>
      <c r="U464" s="1">
        <v>2</v>
      </c>
      <c r="V464" s="62">
        <f>aktuelleAnleihen[[#This Row],[Stückelung]]*aktuelleAnleihen[[#This Row],[Anteile]]*aktuelleAnleihen[[#This Row],[Coupon]]/aktuelleAnleihen[[#This Row],[Aktueller Wechselkurs]]*($AC$1-aktuelleAnleihen[[#This Row],[Letzte Zinszahlung]])/365</f>
        <v>3.2199516252580054</v>
      </c>
      <c r="W464" s="4">
        <v>62.137599999999999</v>
      </c>
      <c r="X464" s="120" t="s">
        <v>276</v>
      </c>
      <c r="Y464" s="120" t="s">
        <v>57</v>
      </c>
      <c r="Z464" s="1" t="s">
        <v>1730</v>
      </c>
      <c r="AA464" s="1" t="s">
        <v>1731</v>
      </c>
      <c r="AB464" s="3">
        <f>SUMIF('Zinszahlungen Anleihen'!K:K,aktuelleAnleihen[[#This Row],[ISIN]],'Zinszahlungen Anleihen'!D:D)</f>
        <v>73.841609747092491</v>
      </c>
      <c r="AE464" s="9"/>
      <c r="AF464" s="1"/>
      <c r="AI464" s="3"/>
      <c r="AJ464" s="1"/>
      <c r="AM464" s="10"/>
      <c r="AN464" s="1"/>
      <c r="AP464" s="7"/>
      <c r="AQ464" s="1"/>
    </row>
    <row r="465" spans="1:43" x14ac:dyDescent="0.2">
      <c r="A465" s="1" t="s">
        <v>50</v>
      </c>
      <c r="B465" s="1" t="s">
        <v>8</v>
      </c>
      <c r="C465" s="7">
        <v>0.10643</v>
      </c>
      <c r="D465" s="7">
        <v>1.0083299999999999</v>
      </c>
      <c r="E465" s="7">
        <f>aktuelleAnleihen[[#This Row],[Aktueller Kurs]]-aktuelleAnleihen[[#This Row],[Kaufkurs]]</f>
        <v>3.1129999999999991E-2</v>
      </c>
      <c r="F465" s="8">
        <f>aktuelleAnleihen[[#This Row],[Stückelung]]*aktuelleAnleihen[[#This Row],[Aktueller Kurs]]*aktuelleAnleihen[[#This Row],[Anteile]]/aktuelleAnleihen[[#This Row],[Aktueller Wechselkurs]]+aktuelleAnleihen[[#This Row],[Stückzinsen]]</f>
        <v>2055.1497534246573</v>
      </c>
      <c r="G465" s="8">
        <f>aktuelleAnleihen[[#This Row],[Kursdifferenz]]*aktuelleAnleihen[[#This Row],[Anteile]]*aktuelleAnleihen[[#This Row],[Stückelung]]/aktuelleAnleihen[[#This Row],[Wechselkurs am Kauftag]]</f>
        <v>62.259999999999984</v>
      </c>
      <c r="H465" s="8">
        <f>aktuelleAnleihen[[#This Row],[Stückzinsen]]-aktuelleAnleihen[[#This Row],[Stückzinsen am Kauftag]]+aktuelleAnleihen[[#This Row],[Zinszahlungen]]</f>
        <v>42.134653424657529</v>
      </c>
      <c r="I465" s="8">
        <f>aktuelleAnleihen[[#This Row],[Gewinn gesamt]]-aktuelleAnleihen[[#This Row],[Gewinn aus Kursänderung]]-aktuelleAnleihen[[#This Row],[Gewinn aus Zinsen]]</f>
        <v>-1.9184653865522705E-13</v>
      </c>
      <c r="J465" s="7">
        <f>aktuelleAnleihen[[#This Row],[Gewinn gesamt]]/aktuelleAnleihen[[#This Row],[Kaufpreis]]</f>
        <v>5.2093917681035919E-2</v>
      </c>
      <c r="K465" s="3">
        <f>aktuelleAnleihen[[#This Row],[Verkaufspreis]]-aktuelleAnleihen[[#This Row],[Kaufpreis]]+aktuelleAnleihen[[#This Row],[Zinszahlungen]]</f>
        <v>104.39465342465732</v>
      </c>
      <c r="L465" s="4">
        <v>2003.9701</v>
      </c>
      <c r="M465" s="7">
        <v>0.97719999999999996</v>
      </c>
      <c r="N465" s="61">
        <v>1</v>
      </c>
      <c r="O465" s="1">
        <v>1</v>
      </c>
      <c r="P465" s="1" t="s">
        <v>925</v>
      </c>
      <c r="Q465" s="30">
        <v>45378</v>
      </c>
      <c r="R465" s="1">
        <v>2</v>
      </c>
      <c r="S465" s="1">
        <v>1000</v>
      </c>
      <c r="T465" s="9">
        <v>45384</v>
      </c>
      <c r="U465" s="1">
        <v>4</v>
      </c>
      <c r="V465" s="62">
        <f>aktuelleAnleihen[[#This Row],[Stückelung]]*aktuelleAnleihen[[#This Row],[Anteile]]*aktuelleAnleihen[[#This Row],[Coupon]]/aktuelleAnleihen[[#This Row],[Aktueller Wechselkurs]]*($AC$1-aktuelleAnleihen[[#This Row],[Letzte Zinszahlung]])/365</f>
        <v>38.489753424657529</v>
      </c>
      <c r="W465" s="4">
        <v>49.570099999999996</v>
      </c>
      <c r="X465" s="120" t="s">
        <v>51</v>
      </c>
      <c r="Y465" s="120" t="s">
        <v>52</v>
      </c>
      <c r="Z465" s="1" t="s">
        <v>53</v>
      </c>
      <c r="AA465" s="1" t="s">
        <v>54</v>
      </c>
      <c r="AB465" s="3">
        <f>SUMIF('Zinszahlungen Anleihen'!K:K,aktuelleAnleihen[[#This Row],[ISIN]],'Zinszahlungen Anleihen'!D:D)</f>
        <v>53.214999999999996</v>
      </c>
      <c r="AE465" s="9"/>
      <c r="AF465" s="1"/>
      <c r="AI465" s="3"/>
      <c r="AJ465" s="1"/>
      <c r="AM465" s="10"/>
      <c r="AN465" s="1"/>
      <c r="AP465" s="7"/>
      <c r="AQ465" s="1"/>
    </row>
    <row r="466" spans="1:43" x14ac:dyDescent="0.2">
      <c r="A466" s="1" t="s">
        <v>462</v>
      </c>
      <c r="B466" s="1" t="s">
        <v>8</v>
      </c>
      <c r="C466" s="7">
        <v>0.08</v>
      </c>
      <c r="D466" s="7">
        <v>0.35100000000000003</v>
      </c>
      <c r="E466" s="7">
        <f>aktuelleAnleihen[[#This Row],[Aktueller Kurs]]-aktuelleAnleihen[[#This Row],[Kaufkurs]]</f>
        <v>3.1200000000000006E-2</v>
      </c>
      <c r="F466" s="8">
        <f>aktuelleAnleihen[[#This Row],[Stückelung]]*aktuelleAnleihen[[#This Row],[Aktueller Kurs]]*aktuelleAnleihen[[#This Row],[Anteile]]/aktuelleAnleihen[[#This Row],[Aktueller Wechselkurs]]+aktuelleAnleihen[[#This Row],[Stückzinsen]]</f>
        <v>712.08219178082209</v>
      </c>
      <c r="G466" s="8">
        <f>aktuelleAnleihen[[#This Row],[Kursdifferenz]]*aktuelleAnleihen[[#This Row],[Anteile]]*aktuelleAnleihen[[#This Row],[Stückelung]]/aktuelleAnleihen[[#This Row],[Wechselkurs am Kauftag]]</f>
        <v>62.400000000000013</v>
      </c>
      <c r="H466" s="8">
        <f>aktuelleAnleihen[[#This Row],[Stückzinsen]]-aktuelleAnleihen[[#This Row],[Stückzinsen am Kauftag]]+aktuelleAnleihen[[#This Row],[Zinszahlungen]]</f>
        <v>28.712291780821914</v>
      </c>
      <c r="I466" s="8">
        <f>aktuelleAnleihen[[#This Row],[Gewinn gesamt]]-aktuelleAnleihen[[#This Row],[Gewinn aus Kursänderung]]-aktuelleAnleihen[[#This Row],[Gewinn aus Zinsen]]</f>
        <v>1.0658141036401503E-13</v>
      </c>
      <c r="J466" s="7">
        <f>aktuelleAnleihen[[#This Row],[Gewinn gesamt]]/aktuelleAnleihen[[#This Row],[Kaufpreis]]</f>
        <v>0.12998031981233721</v>
      </c>
      <c r="K466" s="3">
        <f>aktuelleAnleihen[[#This Row],[Verkaufspreis]]-aktuelleAnleihen[[#This Row],[Kaufpreis]]+aktuelleAnleihen[[#This Row],[Zinszahlungen]]</f>
        <v>91.112291780822034</v>
      </c>
      <c r="L466" s="4">
        <v>700.96990000000005</v>
      </c>
      <c r="M466" s="7">
        <v>0.31980000000000003</v>
      </c>
      <c r="N466" s="61">
        <v>1</v>
      </c>
      <c r="O466" s="1">
        <v>1</v>
      </c>
      <c r="P466" s="1" t="s">
        <v>925</v>
      </c>
      <c r="Q466" s="30">
        <v>45385</v>
      </c>
      <c r="R466" s="1">
        <v>2</v>
      </c>
      <c r="S466" s="1">
        <v>1000</v>
      </c>
      <c r="T466" s="9">
        <v>45427</v>
      </c>
      <c r="U466" s="1">
        <v>2</v>
      </c>
      <c r="V466" s="62">
        <f>aktuelleAnleihen[[#This Row],[Stückelung]]*aktuelleAnleihen[[#This Row],[Anteile]]*aktuelleAnleihen[[#This Row],[Coupon]]/aktuelleAnleihen[[#This Row],[Aktueller Wechselkurs]]*($AC$1-aktuelleAnleihen[[#This Row],[Letzte Zinszahlung]])/365</f>
        <v>10.082191780821917</v>
      </c>
      <c r="W466" s="4">
        <v>61.369900000000001</v>
      </c>
      <c r="X466" s="120" t="s">
        <v>35</v>
      </c>
      <c r="Y466" s="120" t="s">
        <v>81</v>
      </c>
      <c r="Z466" s="1" t="s">
        <v>463</v>
      </c>
      <c r="AA466" s="1" t="s">
        <v>464</v>
      </c>
      <c r="AB466" s="3">
        <f>SUMIF('Zinszahlungen Anleihen'!K:K,aktuelleAnleihen[[#This Row],[ISIN]],'Zinszahlungen Anleihen'!D:D)</f>
        <v>80</v>
      </c>
      <c r="AE466" s="9"/>
      <c r="AF466" s="1"/>
      <c r="AI466" s="3"/>
      <c r="AJ466" s="1"/>
      <c r="AM466" s="10"/>
      <c r="AN466" s="1"/>
      <c r="AP466" s="7"/>
      <c r="AQ466" s="1"/>
    </row>
    <row r="467" spans="1:43" x14ac:dyDescent="0.2">
      <c r="A467" s="1" t="s">
        <v>1159</v>
      </c>
      <c r="B467" s="1" t="s">
        <v>8</v>
      </c>
      <c r="C467" s="7">
        <v>9.6250000000000002E-2</v>
      </c>
      <c r="D467" s="7">
        <v>1.2246999999999999</v>
      </c>
      <c r="E467" s="7">
        <f>aktuelleAnleihen[[#This Row],[Aktueller Kurs]]-aktuelleAnleihen[[#This Row],[Kaufkurs]]</f>
        <v>3.4399999999999986E-2</v>
      </c>
      <c r="F467" s="8">
        <f>aktuelleAnleihen[[#This Row],[Stückelung]]*aktuelleAnleihen[[#This Row],[Aktueller Kurs]]*aktuelleAnleihen[[#This Row],[Anteile]]/aktuelleAnleihen[[#This Row],[Aktueller Wechselkurs]]+aktuelleAnleihen[[#This Row],[Stückzinsen]]</f>
        <v>2333.7567905132173</v>
      </c>
      <c r="G467" s="8">
        <f>aktuelleAnleihen[[#This Row],[Kursdifferenz]]*aktuelleAnleihen[[#This Row],[Anteile]]*aktuelleAnleihen[[#This Row],[Stückelung]]/aktuelleAnleihen[[#This Row],[Wechselkurs am Kauftag]]</f>
        <v>64.161148932201783</v>
      </c>
      <c r="H467" s="8">
        <f>aktuelleAnleihen[[#This Row],[Stückzinsen]]-aktuelleAnleihen[[#This Row],[Stückzinsen am Kauftag]]+aktuelleAnleihen[[#This Row],[Zinszahlungen]]</f>
        <v>17.362144043655505</v>
      </c>
      <c r="I467" s="8">
        <f>aktuelleAnleihen[[#This Row],[Gewinn gesamt]]-aktuelleAnleihen[[#This Row],[Gewinn aus Kursänderung]]-aktuelleAnleihen[[#This Row],[Gewinn aus Zinsen]]</f>
        <v>-35.235902462639928</v>
      </c>
      <c r="J467" s="7">
        <f>aktuelleAnleihen[[#This Row],[Gewinn gesamt]]/aktuelleAnleihen[[#This Row],[Kaufpreis]]</f>
        <v>2.0235195501726651E-2</v>
      </c>
      <c r="K467" s="3">
        <f>aktuelleAnleihen[[#This Row],[Verkaufspreis]]-aktuelleAnleihen[[#This Row],[Kaufpreis]]+aktuelleAnleihen[[#This Row],[Zinszahlungen]]</f>
        <v>46.28739051321736</v>
      </c>
      <c r="L467" s="4">
        <v>2287.4694</v>
      </c>
      <c r="M467" s="7">
        <v>1.1902999999999999</v>
      </c>
      <c r="N467" s="61">
        <v>1.0723</v>
      </c>
      <c r="O467" s="1">
        <v>1.0891</v>
      </c>
      <c r="P467" s="1" t="s">
        <v>887</v>
      </c>
      <c r="Q467" s="30">
        <v>45412</v>
      </c>
      <c r="R467" s="1">
        <v>2</v>
      </c>
      <c r="S467" s="1">
        <v>1000</v>
      </c>
      <c r="T467" s="9">
        <v>45275</v>
      </c>
      <c r="U467" s="1">
        <v>2</v>
      </c>
      <c r="V467" s="62">
        <f>aktuelleAnleihen[[#This Row],[Stückelung]]*aktuelleAnleihen[[#This Row],[Anteile]]*aktuelleAnleihen[[#This Row],[Coupon]]/aktuelleAnleihen[[#This Row],[Aktueller Wechselkurs]]*($AC$1-aktuelleAnleihen[[#This Row],[Letzte Zinszahlung]])/365</f>
        <v>84.7438440436555</v>
      </c>
      <c r="W467" s="4">
        <v>67.381699999999995</v>
      </c>
      <c r="X467" s="120" t="s">
        <v>65</v>
      </c>
      <c r="Y467" s="120" t="s">
        <v>61</v>
      </c>
      <c r="Z467" s="1" t="s">
        <v>1160</v>
      </c>
      <c r="AA467" s="1" t="s">
        <v>1161</v>
      </c>
      <c r="AB467" s="3">
        <f>SUMIF('Zinszahlungen Anleihen'!K:K,aktuelleAnleihen[[#This Row],[ISIN]],'Zinszahlungen Anleihen'!D:D)</f>
        <v>0</v>
      </c>
      <c r="AE467" s="9"/>
      <c r="AF467" s="1"/>
      <c r="AI467" s="3"/>
      <c r="AJ467" s="1"/>
      <c r="AM467" s="10"/>
      <c r="AN467" s="1"/>
      <c r="AP467" s="7"/>
      <c r="AQ467" s="1"/>
    </row>
    <row r="468" spans="1:43" x14ac:dyDescent="0.2">
      <c r="A468" s="1" t="s">
        <v>156</v>
      </c>
      <c r="B468" s="1" t="s">
        <v>1</v>
      </c>
      <c r="C468" s="7">
        <v>0.13428999999999999</v>
      </c>
      <c r="D468" s="7">
        <v>1.06</v>
      </c>
      <c r="E468" s="7">
        <f>aktuelleAnleihen[[#This Row],[Aktueller Kurs]]-aktuelleAnleihen[[#This Row],[Kaufkurs]]</f>
        <v>3.2399999999999984E-2</v>
      </c>
      <c r="F468" s="8">
        <f>aktuelleAnleihen[[#This Row],[Stückelung]]*aktuelleAnleihen[[#This Row],[Aktueller Kurs]]*aktuelleAnleihen[[#This Row],[Anteile]]/aktuelleAnleihen[[#This Row],[Aktueller Wechselkurs]]+aktuelleAnleihen[[#This Row],[Stückzinsen]]</f>
        <v>2184.7535342465753</v>
      </c>
      <c r="G468" s="8">
        <f>aktuelleAnleihen[[#This Row],[Kursdifferenz]]*aktuelleAnleihen[[#This Row],[Anteile]]*aktuelleAnleihen[[#This Row],[Stückelung]]/aktuelleAnleihen[[#This Row],[Wechselkurs am Kauftag]]</f>
        <v>64.799999999999969</v>
      </c>
      <c r="H468" s="8">
        <f>aktuelleAnleihen[[#This Row],[Stückzinsen]]-aktuelleAnleihen[[#This Row],[Stückzinsen am Kauftag]]+aktuelleAnleihen[[#This Row],[Zinszahlungen]]</f>
        <v>52.980134246575339</v>
      </c>
      <c r="I468" s="8">
        <f>aktuelleAnleihen[[#This Row],[Gewinn gesamt]]-aktuelleAnleihen[[#This Row],[Gewinn aus Kursänderung]]-aktuelleAnleihen[[#This Row],[Gewinn aus Zinsen]]</f>
        <v>1.6342482922482304E-13</v>
      </c>
      <c r="J468" s="7">
        <f>aktuelleAnleihen[[#This Row],[Gewinn gesamt]]/aktuelleAnleihen[[#This Row],[Kaufpreis]]</f>
        <v>5.6981930317330391E-2</v>
      </c>
      <c r="K468" s="3">
        <f>aktuelleAnleihen[[#This Row],[Verkaufspreis]]-aktuelleAnleihen[[#This Row],[Kaufpreis]]+aktuelleAnleihen[[#This Row],[Zinszahlungen]]</f>
        <v>117.78013424657547</v>
      </c>
      <c r="L468" s="4">
        <v>2066.9733999999999</v>
      </c>
      <c r="M468" s="7">
        <v>1.0276000000000001</v>
      </c>
      <c r="N468" s="61">
        <v>1</v>
      </c>
      <c r="O468" s="1">
        <v>1</v>
      </c>
      <c r="P468" s="1" t="s">
        <v>925</v>
      </c>
      <c r="Q468" s="30">
        <v>45378</v>
      </c>
      <c r="R468" s="1">
        <v>2000</v>
      </c>
      <c r="S468" s="1">
        <v>1</v>
      </c>
      <c r="T468" s="9">
        <v>45362</v>
      </c>
      <c r="U468" s="1">
        <v>4</v>
      </c>
      <c r="V468" s="62">
        <f>aktuelleAnleihen[[#This Row],[Stückelung]]*aktuelleAnleihen[[#This Row],[Anteile]]*aktuelleAnleihen[[#This Row],[Coupon]]/aktuelleAnleihen[[#This Row],[Aktueller Wechselkurs]]*($AC$1-aktuelleAnleihen[[#This Row],[Letzte Zinszahlung]])/365</f>
        <v>64.753534246575342</v>
      </c>
      <c r="W468" s="4">
        <v>11.773400000000001</v>
      </c>
      <c r="X468" s="120" t="s">
        <v>75</v>
      </c>
      <c r="Y468" s="120" t="s">
        <v>52</v>
      </c>
      <c r="Z468" s="1" t="s">
        <v>157</v>
      </c>
      <c r="AA468" s="1" t="s">
        <v>158</v>
      </c>
      <c r="AB468" s="3">
        <f>SUMIF('Zinszahlungen Anleihen'!K:K,aktuelleAnleihen[[#This Row],[ISIN]],'Zinszahlungen Anleihen'!D:D)</f>
        <v>0</v>
      </c>
      <c r="AE468" s="9"/>
      <c r="AF468" s="1"/>
      <c r="AI468" s="3"/>
      <c r="AJ468" s="1"/>
      <c r="AM468" s="10"/>
      <c r="AN468" s="1"/>
      <c r="AP468" s="7"/>
      <c r="AQ468" s="1"/>
    </row>
    <row r="469" spans="1:43" x14ac:dyDescent="0.2">
      <c r="A469" s="1" t="s">
        <v>963</v>
      </c>
      <c r="B469" s="1" t="s">
        <v>8</v>
      </c>
      <c r="C469" s="7">
        <v>7.7499999999999999E-2</v>
      </c>
      <c r="D469" s="7">
        <v>1.1539999999999999</v>
      </c>
      <c r="E469" s="7">
        <f>aktuelleAnleihen[[#This Row],[Aktueller Kurs]]-aktuelleAnleihen[[#This Row],[Kaufkurs]]</f>
        <v>3.4499999999999975E-2</v>
      </c>
      <c r="F469" s="8">
        <f>aktuelleAnleihen[[#This Row],[Stückelung]]*aktuelleAnleihen[[#This Row],[Aktueller Kurs]]*aktuelleAnleihen[[#This Row],[Anteile]]/aktuelleAnleihen[[#This Row],[Aktueller Wechselkurs]]+aktuelleAnleihen[[#This Row],[Stückzinsen]]</f>
        <v>2365.3287671232879</v>
      </c>
      <c r="G469" s="8">
        <f>aktuelleAnleihen[[#This Row],[Kursdifferenz]]*aktuelleAnleihen[[#This Row],[Anteile]]*aktuelleAnleihen[[#This Row],[Stückelung]]/aktuelleAnleihen[[#This Row],[Wechselkurs am Kauftag]]</f>
        <v>68.999999999999943</v>
      </c>
      <c r="H469" s="8">
        <f>aktuelleAnleihen[[#This Row],[Stückzinsen]]-aktuelleAnleihen[[#This Row],[Stückzinsen am Kauftag]]+aktuelleAnleihen[[#This Row],[Zinszahlungen]]</f>
        <v>18.68496712328767</v>
      </c>
      <c r="I469" s="8">
        <f>aktuelleAnleihen[[#This Row],[Gewinn gesamt]]-aktuelleAnleihen[[#This Row],[Gewinn aus Kursänderung]]-aktuelleAnleihen[[#This Row],[Gewinn aus Zinsen]]</f>
        <v>4.4764192352886312E-13</v>
      </c>
      <c r="J469" s="7">
        <f>aktuelleAnleihen[[#This Row],[Gewinn gesamt]]/aktuelleAnleihen[[#This Row],[Kaufpreis]]</f>
        <v>3.8498103664536161E-2</v>
      </c>
      <c r="K469" s="3">
        <f>aktuelleAnleihen[[#This Row],[Verkaufspreis]]-aktuelleAnleihen[[#This Row],[Kaufpreis]]+aktuelleAnleihen[[#This Row],[Zinszahlungen]]</f>
        <v>87.684967123288061</v>
      </c>
      <c r="L469" s="4">
        <v>2277.6437999999998</v>
      </c>
      <c r="M469" s="7">
        <v>1.1194999999999999</v>
      </c>
      <c r="N469" s="61">
        <v>1</v>
      </c>
      <c r="O469" s="1">
        <v>1</v>
      </c>
      <c r="P469" s="1" t="s">
        <v>925</v>
      </c>
      <c r="Q469" s="30">
        <v>45406</v>
      </c>
      <c r="R469" s="1">
        <v>2</v>
      </c>
      <c r="S469" s="1">
        <v>1000</v>
      </c>
      <c r="T469" s="9">
        <v>45315</v>
      </c>
      <c r="U469" s="1">
        <v>1</v>
      </c>
      <c r="V469" s="62">
        <f>aktuelleAnleihen[[#This Row],[Stückelung]]*aktuelleAnleihen[[#This Row],[Anteile]]*aktuelleAnleihen[[#This Row],[Coupon]]/aktuelleAnleihen[[#This Row],[Aktueller Wechselkurs]]*($AC$1-aktuelleAnleihen[[#This Row],[Letzte Zinszahlung]])/365</f>
        <v>57.328767123287669</v>
      </c>
      <c r="W469" s="4">
        <v>38.643799999999999</v>
      </c>
      <c r="X469" s="120" t="s">
        <v>35</v>
      </c>
      <c r="Y469" s="120" t="s">
        <v>81</v>
      </c>
      <c r="Z469" s="1" t="s">
        <v>964</v>
      </c>
      <c r="AA469" s="1" t="s">
        <v>965</v>
      </c>
      <c r="AB469" s="3">
        <f>SUMIF('Zinszahlungen Anleihen'!K:K,aktuelleAnleihen[[#This Row],[ISIN]],'Zinszahlungen Anleihen'!D:D)</f>
        <v>0</v>
      </c>
      <c r="AE469" s="9"/>
      <c r="AF469" s="1"/>
      <c r="AI469" s="3"/>
      <c r="AJ469" s="1"/>
      <c r="AM469" s="10"/>
      <c r="AN469" s="1"/>
      <c r="AP469" s="7"/>
      <c r="AQ469" s="1"/>
    </row>
    <row r="470" spans="1:43" x14ac:dyDescent="0.2">
      <c r="A470" s="1" t="s">
        <v>1451</v>
      </c>
      <c r="B470" s="1" t="s">
        <v>11</v>
      </c>
      <c r="C470" s="7">
        <v>8.5000000000000006E-2</v>
      </c>
      <c r="D470" s="7">
        <v>0.83700000000000008</v>
      </c>
      <c r="E470" s="7">
        <f>aktuelleAnleihen[[#This Row],[Aktueller Kurs]]-aktuelleAnleihen[[#This Row],[Kaufkurs]]</f>
        <v>3.7000000000000033E-2</v>
      </c>
      <c r="F470" s="8">
        <f>aktuelleAnleihen[[#This Row],[Stückelung]]*aktuelleAnleihen[[#This Row],[Aktueller Kurs]]*aktuelleAnleihen[[#This Row],[Anteile]]/aktuelleAnleihen[[#This Row],[Aktueller Wechselkurs]]+aktuelleAnleihen[[#This Row],[Stückzinsen]]</f>
        <v>1602.0517129262194</v>
      </c>
      <c r="G470" s="8">
        <f>aktuelleAnleihen[[#This Row],[Kursdifferenz]]*aktuelleAnleihen[[#This Row],[Anteile]]*aktuelleAnleihen[[#This Row],[Stückelung]]/aktuelleAnleihen[[#This Row],[Wechselkurs am Kauftag]]</f>
        <v>69.010538095682236</v>
      </c>
      <c r="H470" s="8">
        <f>aktuelleAnleihen[[#This Row],[Stückzinsen]]-aktuelleAnleihen[[#This Row],[Stückzinsen am Kauftag]]+aktuelleAnleihen[[#This Row],[Zinszahlungen]]</f>
        <v>15.486873434895969</v>
      </c>
      <c r="I470" s="8">
        <f>aktuelleAnleihen[[#This Row],[Gewinn gesamt]]-aktuelleAnleihen[[#This Row],[Gewinn aus Kursänderung]]-aktuelleAnleihen[[#This Row],[Gewinn aus Zinsen]]</f>
        <v>-24.081298604358921</v>
      </c>
      <c r="J470" s="7">
        <f>aktuelleAnleihen[[#This Row],[Gewinn gesamt]]/aktuelleAnleihen[[#This Row],[Kaufpreis]]</f>
        <v>3.9189619729992797E-2</v>
      </c>
      <c r="K470" s="3">
        <f>aktuelleAnleihen[[#This Row],[Verkaufspreis]]-aktuelleAnleihen[[#This Row],[Kaufpreis]]+aktuelleAnleihen[[#This Row],[Zinszahlungen]]</f>
        <v>60.416112926219284</v>
      </c>
      <c r="L470" s="4">
        <v>1541.6356000000001</v>
      </c>
      <c r="M470" s="7">
        <v>0.8</v>
      </c>
      <c r="N470" s="61">
        <v>1.0723</v>
      </c>
      <c r="O470" s="1">
        <v>1.0891</v>
      </c>
      <c r="P470" s="1" t="s">
        <v>887</v>
      </c>
      <c r="Q470" s="30">
        <v>45412</v>
      </c>
      <c r="R470" s="1">
        <v>2000</v>
      </c>
      <c r="S470" s="1">
        <v>1</v>
      </c>
      <c r="T470" s="9">
        <v>45298</v>
      </c>
      <c r="U470" s="1">
        <v>2</v>
      </c>
      <c r="V470" s="62">
        <f>aktuelleAnleihen[[#This Row],[Stückelung]]*aktuelleAnleihen[[#This Row],[Anteile]]*aktuelleAnleihen[[#This Row],[Coupon]]/aktuelleAnleihen[[#This Row],[Aktueller Wechselkurs]]*($AC$1-aktuelleAnleihen[[#This Row],[Letzte Zinszahlung]])/365</f>
        <v>65.002773434895971</v>
      </c>
      <c r="W470" s="4">
        <v>49.515900000000002</v>
      </c>
      <c r="X470" s="120" t="s">
        <v>1105</v>
      </c>
      <c r="Y470" s="120" t="s">
        <v>39</v>
      </c>
      <c r="Z470" s="1" t="s">
        <v>1452</v>
      </c>
      <c r="AA470" s="1" t="s">
        <v>1453</v>
      </c>
      <c r="AB470" s="3">
        <f>SUMIF('Zinszahlungen Anleihen'!K:K,aktuelleAnleihen[[#This Row],[ISIN]],'Zinszahlungen Anleihen'!D:D)</f>
        <v>0</v>
      </c>
      <c r="AE470" s="9"/>
      <c r="AF470" s="1"/>
      <c r="AI470" s="3"/>
      <c r="AJ470" s="1"/>
      <c r="AM470" s="10"/>
      <c r="AN470" s="1"/>
      <c r="AP470" s="7"/>
      <c r="AQ470" s="1"/>
    </row>
    <row r="471" spans="1:43" x14ac:dyDescent="0.2">
      <c r="A471" s="1" t="s">
        <v>254</v>
      </c>
      <c r="B471" s="1" t="s">
        <v>3</v>
      </c>
      <c r="C471" s="7">
        <v>9.5000000000000001E-2</v>
      </c>
      <c r="D471" s="7">
        <v>0.53500000000000003</v>
      </c>
      <c r="E471" s="7">
        <f>aktuelleAnleihen[[#This Row],[Aktueller Kurs]]-aktuelleAnleihen[[#This Row],[Kaufkurs]]</f>
        <v>3.5000000000000031E-2</v>
      </c>
      <c r="F471" s="8">
        <f>aktuelleAnleihen[[#This Row],[Stückelung]]*aktuelleAnleihen[[#This Row],[Aktueller Kurs]]*aktuelleAnleihen[[#This Row],[Anteile]]/aktuelleAnleihen[[#This Row],[Aktueller Wechselkurs]]+aktuelleAnleihen[[#This Row],[Stückzinsen]]</f>
        <v>1200.1369863013699</v>
      </c>
      <c r="G471" s="8">
        <f>aktuelleAnleihen[[#This Row],[Kursdifferenz]]*aktuelleAnleihen[[#This Row],[Anteile]]*aktuelleAnleihen[[#This Row],[Stückelung]]/aktuelleAnleihen[[#This Row],[Wechselkurs am Kauftag]]</f>
        <v>70.000000000000057</v>
      </c>
      <c r="H471" s="8">
        <f>aktuelleAnleihen[[#This Row],[Stückzinsen]]-aktuelleAnleihen[[#This Row],[Stückzinsen am Kauftag]]+aktuelleAnleihen[[#This Row],[Zinszahlungen]]</f>
        <v>33.835586301369858</v>
      </c>
      <c r="I471" s="8">
        <f>aktuelleAnleihen[[#This Row],[Gewinn gesamt]]-aktuelleAnleihen[[#This Row],[Gewinn aus Kursänderung]]-aktuelleAnleihen[[#This Row],[Gewinn aus Zinsen]]</f>
        <v>-5.6843418860808015E-14</v>
      </c>
      <c r="J471" s="7">
        <f>aktuelleAnleihen[[#This Row],[Gewinn gesamt]]/aktuelleAnleihen[[#This Row],[Kaufpreis]]</f>
        <v>9.4714451975861619E-2</v>
      </c>
      <c r="K471" s="3">
        <f>aktuelleAnleihen[[#This Row],[Verkaufspreis]]-aktuelleAnleihen[[#This Row],[Kaufpreis]]+aktuelleAnleihen[[#This Row],[Zinszahlungen]]</f>
        <v>103.83558630136986</v>
      </c>
      <c r="L471" s="4">
        <v>1096.3014000000001</v>
      </c>
      <c r="M471" s="7">
        <v>0.5</v>
      </c>
      <c r="N471" s="61">
        <v>1</v>
      </c>
      <c r="O471" s="1">
        <v>1</v>
      </c>
      <c r="P471" s="1" t="s">
        <v>925</v>
      </c>
      <c r="Q471" s="30">
        <v>45385</v>
      </c>
      <c r="R471" s="1">
        <v>2</v>
      </c>
      <c r="S471" s="1">
        <v>1000</v>
      </c>
      <c r="T471" s="9">
        <v>45200</v>
      </c>
      <c r="U471" s="1">
        <v>1</v>
      </c>
      <c r="V471" s="62">
        <f>aktuelleAnleihen[[#This Row],[Stückelung]]*aktuelleAnleihen[[#This Row],[Anteile]]*aktuelleAnleihen[[#This Row],[Coupon]]/aktuelleAnleihen[[#This Row],[Aktueller Wechselkurs]]*($AC$1-aktuelleAnleihen[[#This Row],[Letzte Zinszahlung]])/365</f>
        <v>130.13698630136986</v>
      </c>
      <c r="W471" s="4">
        <v>96.301400000000001</v>
      </c>
      <c r="X471" s="120" t="s">
        <v>56</v>
      </c>
      <c r="Y471" s="120" t="s">
        <v>52</v>
      </c>
      <c r="Z471" s="1" t="s">
        <v>255</v>
      </c>
      <c r="AA471" s="1" t="s">
        <v>256</v>
      </c>
      <c r="AB471" s="3">
        <f>SUMIF('Zinszahlungen Anleihen'!K:K,aktuelleAnleihen[[#This Row],[ISIN]],'Zinszahlungen Anleihen'!D:D)</f>
        <v>0</v>
      </c>
      <c r="AE471" s="9"/>
      <c r="AF471" s="1"/>
      <c r="AI471" s="3"/>
      <c r="AJ471" s="1"/>
      <c r="AM471" s="10"/>
      <c r="AN471" s="1"/>
      <c r="AP471" s="7"/>
      <c r="AQ471" s="1"/>
    </row>
    <row r="472" spans="1:43" x14ac:dyDescent="0.2">
      <c r="A472" s="1" t="s">
        <v>748</v>
      </c>
      <c r="B472" s="1" t="s">
        <v>10</v>
      </c>
      <c r="C472" s="7">
        <v>6.5000000000000002E-2</v>
      </c>
      <c r="D472" s="7">
        <v>1.05</v>
      </c>
      <c r="E472" s="7">
        <f>aktuelleAnleihen[[#This Row],[Aktueller Kurs]]-aktuelleAnleihen[[#This Row],[Kaufkurs]]</f>
        <v>3.5000000000000142E-2</v>
      </c>
      <c r="F472" s="8">
        <f>aktuelleAnleihen[[#This Row],[Stückelung]]*aktuelleAnleihen[[#This Row],[Aktueller Kurs]]*aktuelleAnleihen[[#This Row],[Anteile]]/aktuelleAnleihen[[#This Row],[Aktueller Wechselkurs]]+aktuelleAnleihen[[#This Row],[Stückzinsen]]</f>
        <v>2230</v>
      </c>
      <c r="G472" s="8">
        <f>aktuelleAnleihen[[#This Row],[Kursdifferenz]]*aktuelleAnleihen[[#This Row],[Anteile]]*aktuelleAnleihen[[#This Row],[Stückelung]]/aktuelleAnleihen[[#This Row],[Wechselkurs am Kauftag]]</f>
        <v>70.000000000000284</v>
      </c>
      <c r="H472" s="8">
        <f>aktuelleAnleihen[[#This Row],[Stückzinsen]]-aktuelleAnleihen[[#This Row],[Stückzinsen am Kauftag]]+aktuelleAnleihen[[#This Row],[Zinszahlungen]]</f>
        <v>23.150700000000001</v>
      </c>
      <c r="I472" s="8">
        <f>aktuelleAnleihen[[#This Row],[Gewinn gesamt]]-aktuelleAnleihen[[#This Row],[Gewinn aus Kursänderung]]-aktuelleAnleihen[[#This Row],[Gewinn aus Zinsen]]</f>
        <v>-1.4210854715202004E-13</v>
      </c>
      <c r="J472" s="7">
        <f>aktuelleAnleihen[[#This Row],[Gewinn gesamt]]/aktuelleAnleihen[[#This Row],[Kaufpreis]]</f>
        <v>4.3592545342341242E-2</v>
      </c>
      <c r="K472" s="3">
        <f>aktuelleAnleihen[[#This Row],[Verkaufspreis]]-aktuelleAnleihen[[#This Row],[Kaufpreis]]+aktuelleAnleihen[[#This Row],[Zinszahlungen]]</f>
        <v>93.150700000000143</v>
      </c>
      <c r="L472" s="4">
        <v>2136.8492999999999</v>
      </c>
      <c r="M472" s="7">
        <v>1.0149999999999999</v>
      </c>
      <c r="N472" s="61">
        <v>1</v>
      </c>
      <c r="O472" s="1">
        <v>1</v>
      </c>
      <c r="P472" s="1" t="s">
        <v>925</v>
      </c>
      <c r="Q472" s="30">
        <v>45385</v>
      </c>
      <c r="R472" s="1">
        <v>2</v>
      </c>
      <c r="S472" s="1">
        <v>1000</v>
      </c>
      <c r="T472" s="9">
        <v>45085</v>
      </c>
      <c r="U472" s="1">
        <v>1</v>
      </c>
      <c r="V472" s="62">
        <f>aktuelleAnleihen[[#This Row],[Stückelung]]*aktuelleAnleihen[[#This Row],[Anteile]]*aktuelleAnleihen[[#This Row],[Coupon]]/aktuelleAnleihen[[#This Row],[Aktueller Wechselkurs]]*($AC$1-aktuelleAnleihen[[#This Row],[Letzte Zinszahlung]])/365</f>
        <v>130</v>
      </c>
      <c r="W472" s="4">
        <v>106.8493</v>
      </c>
      <c r="X472" s="120" t="s">
        <v>56</v>
      </c>
      <c r="Y472" s="120" t="s">
        <v>39</v>
      </c>
      <c r="Z472" s="1" t="s">
        <v>749</v>
      </c>
      <c r="AA472" s="1" t="s">
        <v>750</v>
      </c>
      <c r="AB472" s="3">
        <f>SUMIF('Zinszahlungen Anleihen'!K:K,aktuelleAnleihen[[#This Row],[ISIN]],'Zinszahlungen Anleihen'!D:D)</f>
        <v>0</v>
      </c>
      <c r="AE472" s="9"/>
      <c r="AF472" s="1"/>
      <c r="AI472" s="3"/>
      <c r="AJ472" s="1"/>
      <c r="AM472" s="10"/>
      <c r="AN472" s="1"/>
      <c r="AP472" s="7"/>
      <c r="AQ472" s="1"/>
    </row>
    <row r="473" spans="1:43" x14ac:dyDescent="0.2">
      <c r="A473" s="1" t="s">
        <v>1348</v>
      </c>
      <c r="B473" s="1" t="s">
        <v>4</v>
      </c>
      <c r="C473" s="7">
        <v>8.8749999999999996E-2</v>
      </c>
      <c r="D473" s="7">
        <v>1.3172999999999999</v>
      </c>
      <c r="E473" s="7">
        <f>aktuelleAnleihen[[#This Row],[Aktueller Kurs]]-aktuelleAnleihen[[#This Row],[Kaufkurs]]</f>
        <v>3.7899999999999823E-2</v>
      </c>
      <c r="F473" s="8">
        <f>aktuelleAnleihen[[#This Row],[Stückelung]]*aktuelleAnleihen[[#This Row],[Aktueller Kurs]]*aktuelleAnleihen[[#This Row],[Anteile]]/aktuelleAnleihen[[#This Row],[Aktueller Wechselkurs]]+aktuelleAnleihen[[#This Row],[Stückzinsen]]</f>
        <v>2429.3314952776136</v>
      </c>
      <c r="G473" s="8">
        <f>aktuelleAnleihen[[#This Row],[Kursdifferenz]]*aktuelleAnleihen[[#This Row],[Anteile]]*aktuelleAnleihen[[#This Row],[Stückelung]]/aktuelleAnleihen[[#This Row],[Wechselkurs am Kauftag]]</f>
        <v>70.689172806117355</v>
      </c>
      <c r="H473" s="8">
        <f>aktuelleAnleihen[[#This Row],[Stückzinsen]]-aktuelleAnleihen[[#This Row],[Stückzinsen am Kauftag]]+aktuelleAnleihen[[#This Row],[Zinszahlungen]]</f>
        <v>16.580062992997327</v>
      </c>
      <c r="I473" s="8">
        <f>aktuelleAnleihen[[#This Row],[Gewinn gesamt]]-aktuelleAnleihen[[#This Row],[Gewinn aus Kursänderung]]-aktuelleAnleihen[[#This Row],[Gewinn aus Zinsen]]</f>
        <v>-37.900062302031941</v>
      </c>
      <c r="J473" s="7">
        <f>aktuelleAnleihen[[#This Row],[Gewinn gesamt]]/aktuelleAnleihen[[#This Row],[Kaufpreis]]</f>
        <v>2.0052392778354369E-2</v>
      </c>
      <c r="K473" s="3">
        <f>aktuelleAnleihen[[#This Row],[Verkaufspreis]]-aktuelleAnleihen[[#This Row],[Kaufpreis]]+aktuelleAnleihen[[#This Row],[Zinszahlungen]]</f>
        <v>49.369173497082741</v>
      </c>
      <c r="L473" s="4">
        <v>2462.0091000000002</v>
      </c>
      <c r="M473" s="7">
        <v>1.2794000000000001</v>
      </c>
      <c r="N473" s="61">
        <v>1.0723</v>
      </c>
      <c r="O473" s="1">
        <v>1.0891</v>
      </c>
      <c r="P473" s="1" t="s">
        <v>887</v>
      </c>
      <c r="Q473" s="30">
        <v>45412</v>
      </c>
      <c r="R473" s="1">
        <v>2</v>
      </c>
      <c r="S473" s="1">
        <v>1000</v>
      </c>
      <c r="T473" s="9">
        <v>45427</v>
      </c>
      <c r="U473" s="1">
        <v>2</v>
      </c>
      <c r="V473" s="62">
        <f>aktuelleAnleihen[[#This Row],[Stückelung]]*aktuelleAnleihen[[#This Row],[Anteile]]*aktuelleAnleihen[[#This Row],[Coupon]]/aktuelleAnleihen[[#This Row],[Aktueller Wechselkurs]]*($AC$1-aktuelleAnleihen[[#This Row],[Letzte Zinszahlung]])/365</f>
        <v>10.269884773527973</v>
      </c>
      <c r="W473" s="4">
        <v>75.736599999999996</v>
      </c>
      <c r="X473" s="120" t="s">
        <v>276</v>
      </c>
      <c r="Y473" s="120" t="s">
        <v>57</v>
      </c>
      <c r="Z473" s="1" t="s">
        <v>1349</v>
      </c>
      <c r="AA473" s="1" t="s">
        <v>1350</v>
      </c>
      <c r="AB473" s="3">
        <f>SUMIF('Zinszahlungen Anleihen'!K:K,aktuelleAnleihen[[#This Row],[ISIN]],'Zinszahlungen Anleihen'!D:D)</f>
        <v>82.046778219469346</v>
      </c>
      <c r="AE473" s="9"/>
      <c r="AF473" s="1"/>
      <c r="AI473" s="3"/>
      <c r="AJ473" s="1"/>
      <c r="AM473" s="10"/>
      <c r="AN473" s="1"/>
      <c r="AP473" s="7"/>
      <c r="AQ473" s="1"/>
    </row>
    <row r="474" spans="1:43" x14ac:dyDescent="0.2">
      <c r="A474" s="1" t="s">
        <v>1653</v>
      </c>
      <c r="B474" s="1" t="s">
        <v>9</v>
      </c>
      <c r="C474" s="7">
        <v>8.199999999999999E-2</v>
      </c>
      <c r="D474" s="7">
        <v>1.2786999999999999</v>
      </c>
      <c r="E474" s="7">
        <f>aktuelleAnleihen[[#This Row],[Aktueller Kurs]]-aktuelleAnleihen[[#This Row],[Kaufkurs]]</f>
        <v>3.8499999999999979E-2</v>
      </c>
      <c r="F474" s="8">
        <f>aktuelleAnleihen[[#This Row],[Stückelung]]*aktuelleAnleihen[[#This Row],[Aktueller Kurs]]*aktuelleAnleihen[[#This Row],[Anteile]]/aktuelleAnleihen[[#This Row],[Aktueller Wechselkurs]]+aktuelleAnleihen[[#This Row],[Stückzinsen]]</f>
        <v>2407.5855016646897</v>
      </c>
      <c r="G474" s="8">
        <f>aktuelleAnleihen[[#This Row],[Kursdifferenz]]*aktuelleAnleihen[[#This Row],[Anteile]]*aktuelleAnleihen[[#This Row],[Stückelung]]/aktuelleAnleihen[[#This Row],[Wechselkurs am Kauftag]]</f>
        <v>71.80826261307466</v>
      </c>
      <c r="H474" s="8">
        <f>aktuelleAnleihen[[#This Row],[Stückzinsen]]-aktuelleAnleihen[[#This Row],[Stückzinsen am Kauftag]]+aktuelleAnleihen[[#This Row],[Zinszahlungen]]</f>
        <v>14.992007486010188</v>
      </c>
      <c r="I474" s="8">
        <f>aktuelleAnleihen[[#This Row],[Gewinn gesamt]]-aktuelleAnleihen[[#This Row],[Gewinn aus Kursänderung]]-aktuelleAnleihen[[#This Row],[Gewinn aus Zinsen]]</f>
        <v>-36.789468434395296</v>
      </c>
      <c r="J474" s="7">
        <f>aktuelleAnleihen[[#This Row],[Gewinn gesamt]]/aktuelleAnleihen[[#This Row],[Kaufpreis]]</f>
        <v>2.1212817419821121E-2</v>
      </c>
      <c r="K474" s="3">
        <f>aktuelleAnleihen[[#This Row],[Verkaufspreis]]-aktuelleAnleihen[[#This Row],[Kaufpreis]]+aktuelleAnleihen[[#This Row],[Zinszahlungen]]</f>
        <v>50.010801664689552</v>
      </c>
      <c r="L474" s="4">
        <v>2357.5747000000001</v>
      </c>
      <c r="M474" s="7">
        <v>1.2402</v>
      </c>
      <c r="N474" s="61">
        <v>1.0723</v>
      </c>
      <c r="O474" s="1">
        <v>1.0891</v>
      </c>
      <c r="P474" s="1" t="s">
        <v>887</v>
      </c>
      <c r="Q474" s="30">
        <v>45412</v>
      </c>
      <c r="R474" s="1">
        <v>2</v>
      </c>
      <c r="S474" s="1">
        <v>1000</v>
      </c>
      <c r="T474" s="9">
        <v>45306</v>
      </c>
      <c r="U474" s="1">
        <v>2</v>
      </c>
      <c r="V474" s="62">
        <f>aktuelleAnleihen[[#This Row],[Stückelung]]*aktuelleAnleihen[[#This Row],[Anteile]]*aktuelleAnleihen[[#This Row],[Coupon]]/aktuelleAnleihen[[#This Row],[Aktueller Wechselkurs]]*($AC$1-aktuelleAnleihen[[#This Row],[Letzte Zinszahlung]])/365</f>
        <v>59.408107486010188</v>
      </c>
      <c r="W474" s="4">
        <v>44.4161</v>
      </c>
      <c r="X474" s="120" t="s">
        <v>276</v>
      </c>
      <c r="Y474" s="120" t="s">
        <v>109</v>
      </c>
      <c r="Z474" s="1" t="s">
        <v>1654</v>
      </c>
      <c r="AA474" s="1" t="s">
        <v>1655</v>
      </c>
      <c r="AB474" s="3">
        <f>SUMIF('Zinszahlungen Anleihen'!K:K,aktuelleAnleihen[[#This Row],[ISIN]],'Zinszahlungen Anleihen'!D:D)</f>
        <v>0</v>
      </c>
      <c r="AE474" s="9"/>
      <c r="AF474" s="1"/>
      <c r="AI474" s="3"/>
      <c r="AJ474" s="1"/>
      <c r="AM474" s="10"/>
      <c r="AN474" s="1"/>
      <c r="AP474" s="7"/>
      <c r="AQ474" s="1"/>
    </row>
    <row r="475" spans="1:43" x14ac:dyDescent="0.2">
      <c r="A475" s="1" t="s">
        <v>1092</v>
      </c>
      <c r="B475" s="1" t="s">
        <v>4</v>
      </c>
      <c r="C475" s="7">
        <v>0.1</v>
      </c>
      <c r="D475" s="7">
        <v>1.0167999999999999</v>
      </c>
      <c r="E475" s="7">
        <f>aktuelleAnleihen[[#This Row],[Aktueller Kurs]]-aktuelleAnleihen[[#This Row],[Kaufkurs]]</f>
        <v>3.8899999999999935E-2</v>
      </c>
      <c r="F475" s="8">
        <f>aktuelleAnleihen[[#This Row],[Stückelung]]*aktuelleAnleihen[[#This Row],[Aktueller Kurs]]*aktuelleAnleihen[[#This Row],[Anteile]]/aktuelleAnleihen[[#This Row],[Aktueller Wechselkurs]]+aktuelleAnleihen[[#This Row],[Stückzinsen]]</f>
        <v>1928.1070332044933</v>
      </c>
      <c r="G475" s="8">
        <f>aktuelleAnleihen[[#This Row],[Kursdifferenz]]*aktuelleAnleihen[[#This Row],[Anteile]]*aktuelleAnleihen[[#This Row],[Stückelung]]/aktuelleAnleihen[[#This Row],[Wechselkurs am Kauftag]]</f>
        <v>72.554322484379242</v>
      </c>
      <c r="H475" s="8">
        <f>aktuelleAnleihen[[#This Row],[Stückzinsen]]-aktuelleAnleihen[[#This Row],[Stückzinsen am Kauftag]]+aktuelleAnleihen[[#This Row],[Zinszahlungen]]</f>
        <v>18.464210415034167</v>
      </c>
      <c r="I475" s="8">
        <f>aktuelleAnleihen[[#This Row],[Gewinn gesamt]]-aktuelleAnleihen[[#This Row],[Gewinn aus Kursänderung]]-aktuelleAnleihen[[#This Row],[Gewinn aus Zinsen]]</f>
        <v>-29.254399694920217</v>
      </c>
      <c r="J475" s="7">
        <f>aktuelleAnleihen[[#This Row],[Gewinn gesamt]]/aktuelleAnleihen[[#This Row],[Kaufpreis]]</f>
        <v>3.3093668481013423E-2</v>
      </c>
      <c r="K475" s="3">
        <f>aktuelleAnleihen[[#This Row],[Verkaufspreis]]-aktuelleAnleihen[[#This Row],[Kaufpreis]]+aktuelleAnleihen[[#This Row],[Zinszahlungen]]</f>
        <v>61.764133204493191</v>
      </c>
      <c r="L475" s="4">
        <v>1866.3429000000001</v>
      </c>
      <c r="M475" s="7">
        <v>0.97789999999999999</v>
      </c>
      <c r="N475" s="61">
        <v>1.0723</v>
      </c>
      <c r="O475" s="1">
        <v>1.0891</v>
      </c>
      <c r="P475" s="1" t="s">
        <v>887</v>
      </c>
      <c r="Q475" s="30">
        <v>45412</v>
      </c>
      <c r="R475" s="1">
        <v>2</v>
      </c>
      <c r="S475" s="1">
        <v>1000</v>
      </c>
      <c r="T475" s="9">
        <v>45329</v>
      </c>
      <c r="U475" s="1">
        <v>2</v>
      </c>
      <c r="V475" s="62">
        <f>aktuelleAnleihen[[#This Row],[Stückelung]]*aktuelleAnleihen[[#This Row],[Anteile]]*aktuelleAnleihen[[#This Row],[Coupon]]/aktuelleAnleihen[[#This Row],[Aktueller Wechselkurs]]*($AC$1-aktuelleAnleihen[[#This Row],[Letzte Zinszahlung]])/365</f>
        <v>60.877210415034163</v>
      </c>
      <c r="W475" s="4">
        <v>42.412999999999997</v>
      </c>
      <c r="X475" s="120" t="s">
        <v>1020</v>
      </c>
      <c r="Y475" s="120" t="s">
        <v>61</v>
      </c>
      <c r="Z475" s="1" t="s">
        <v>1093</v>
      </c>
      <c r="AA475" s="1" t="s">
        <v>1094</v>
      </c>
      <c r="AB475" s="3">
        <f>SUMIF('Zinszahlungen Anleihen'!K:K,aktuelleAnleihen[[#This Row],[ISIN]],'Zinszahlungen Anleihen'!D:D)</f>
        <v>0</v>
      </c>
      <c r="AE475" s="9"/>
      <c r="AF475" s="1"/>
      <c r="AI475" s="3"/>
      <c r="AJ475" s="1"/>
      <c r="AM475" s="10"/>
      <c r="AN475" s="1"/>
      <c r="AP475" s="7"/>
      <c r="AQ475" s="1"/>
    </row>
    <row r="476" spans="1:43" x14ac:dyDescent="0.2">
      <c r="A476" s="1" t="s">
        <v>269</v>
      </c>
      <c r="B476" s="1" t="s">
        <v>1</v>
      </c>
      <c r="C476" s="7">
        <v>9.7500000000000003E-2</v>
      </c>
      <c r="D476" s="7">
        <v>1.0570999999999999</v>
      </c>
      <c r="E476" s="7">
        <f>aktuelleAnleihen[[#This Row],[Aktueller Kurs]]-aktuelleAnleihen[[#This Row],[Kaufkurs]]</f>
        <v>3.6699999999999955E-2</v>
      </c>
      <c r="F476" s="8">
        <f>aktuelleAnleihen[[#This Row],[Stückelung]]*aktuelleAnleihen[[#This Row],[Aktueller Kurs]]*aktuelleAnleihen[[#This Row],[Anteile]]/aktuelleAnleihen[[#This Row],[Aktueller Wechselkurs]]+aktuelleAnleihen[[#This Row],[Stückzinsen]]</f>
        <v>2143.5835616438353</v>
      </c>
      <c r="G476" s="8">
        <f>aktuelleAnleihen[[#This Row],[Kursdifferenz]]*aktuelleAnleihen[[#This Row],[Anteile]]*aktuelleAnleihen[[#This Row],[Stückelung]]/aktuelleAnleihen[[#This Row],[Wechselkurs am Kauftag]]</f>
        <v>73.399999999999906</v>
      </c>
      <c r="H476" s="8">
        <f>aktuelleAnleihen[[#This Row],[Stückzinsen]]-aktuelleAnleihen[[#This Row],[Stückzinsen am Kauftag]]+aktuelleAnleihen[[#This Row],[Zinszahlungen]]</f>
        <v>34.458861643835618</v>
      </c>
      <c r="I476" s="8">
        <f>aktuelleAnleihen[[#This Row],[Gewinn gesamt]]-aktuelleAnleihen[[#This Row],[Gewinn aus Kursänderung]]-aktuelleAnleihen[[#This Row],[Gewinn aus Zinsen]]</f>
        <v>-4.2632564145606011E-13</v>
      </c>
      <c r="J476" s="7">
        <f>aktuelleAnleihen[[#This Row],[Gewinn gesamt]]/aktuelleAnleihen[[#This Row],[Kaufpreis]]</f>
        <v>5.0561416077657025E-2</v>
      </c>
      <c r="K476" s="3">
        <f>aktuelleAnleihen[[#This Row],[Verkaufspreis]]-aktuelleAnleihen[[#This Row],[Kaufpreis]]+aktuelleAnleihen[[#This Row],[Zinszahlungen]]</f>
        <v>107.8588616438351</v>
      </c>
      <c r="L476" s="4">
        <v>2133.2247000000002</v>
      </c>
      <c r="M476" s="7">
        <v>1.0204</v>
      </c>
      <c r="N476" s="61">
        <v>1</v>
      </c>
      <c r="O476" s="1">
        <v>1</v>
      </c>
      <c r="P476" s="1" t="s">
        <v>925</v>
      </c>
      <c r="Q476" s="30">
        <v>45385</v>
      </c>
      <c r="R476" s="1">
        <v>2</v>
      </c>
      <c r="S476" s="1">
        <v>1000</v>
      </c>
      <c r="T476" s="9">
        <v>45395</v>
      </c>
      <c r="U476" s="1">
        <v>2</v>
      </c>
      <c r="V476" s="62">
        <f>aktuelleAnleihen[[#This Row],[Stückelung]]*aktuelleAnleihen[[#This Row],[Anteile]]*aktuelleAnleihen[[#This Row],[Coupon]]/aktuelleAnleihen[[#This Row],[Aktueller Wechselkurs]]*($AC$1-aktuelleAnleihen[[#This Row],[Letzte Zinszahlung]])/365</f>
        <v>29.383561643835616</v>
      </c>
      <c r="W476" s="4">
        <v>92.424700000000001</v>
      </c>
      <c r="X476" s="120" t="s">
        <v>102</v>
      </c>
      <c r="Y476" s="120" t="s">
        <v>39</v>
      </c>
      <c r="Z476" s="1" t="s">
        <v>270</v>
      </c>
      <c r="AA476" s="1" t="s">
        <v>271</v>
      </c>
      <c r="AB476" s="3">
        <f>SUMIF('Zinszahlungen Anleihen'!K:K,aktuelleAnleihen[[#This Row],[ISIN]],'Zinszahlungen Anleihen'!D:D)</f>
        <v>97.5</v>
      </c>
      <c r="AE476" s="9"/>
      <c r="AF476" s="1"/>
      <c r="AI476" s="3"/>
      <c r="AJ476" s="1"/>
      <c r="AM476" s="10"/>
      <c r="AN476" s="1"/>
      <c r="AP476" s="7"/>
      <c r="AQ476" s="1"/>
    </row>
    <row r="477" spans="1:43" x14ac:dyDescent="0.2">
      <c r="A477" s="1" t="s">
        <v>501</v>
      </c>
      <c r="B477" s="1" t="s">
        <v>1</v>
      </c>
      <c r="C477" s="7">
        <v>7.775E-2</v>
      </c>
      <c r="D477" s="7">
        <v>0.97111000000000003</v>
      </c>
      <c r="E477" s="7">
        <f>aktuelleAnleihen[[#This Row],[Aktueller Kurs]]-aktuelleAnleihen[[#This Row],[Kaufkurs]]</f>
        <v>3.7109999999999976E-2</v>
      </c>
      <c r="F477" s="8">
        <f>aktuelleAnleihen[[#This Row],[Stückelung]]*aktuelleAnleihen[[#This Row],[Aktueller Kurs]]*aktuelleAnleihen[[#This Row],[Anteile]]/aktuelleAnleihen[[#This Row],[Aktueller Wechselkurs]]+aktuelleAnleihen[[#This Row],[Stückzinsen]]</f>
        <v>2016.7747945205479</v>
      </c>
      <c r="G477" s="8">
        <f>aktuelleAnleihen[[#This Row],[Kursdifferenz]]*aktuelleAnleihen[[#This Row],[Anteile]]*aktuelleAnleihen[[#This Row],[Stückelung]]/aktuelleAnleihen[[#This Row],[Wechselkurs am Kauftag]]</f>
        <v>74.219999999999956</v>
      </c>
      <c r="H477" s="8">
        <f>aktuelleAnleihen[[#This Row],[Stückzinsen]]-aktuelleAnleihen[[#This Row],[Stückzinsen am Kauftag]]+aktuelleAnleihen[[#This Row],[Zinszahlungen]]</f>
        <v>27.691794520547944</v>
      </c>
      <c r="I477" s="8">
        <f>aktuelleAnleihen[[#This Row],[Gewinn gesamt]]-aktuelleAnleihen[[#This Row],[Gewinn aus Kursänderung]]-aktuelleAnleihen[[#This Row],[Gewinn aus Zinsen]]</f>
        <v>-9.9475983006414026E-14</v>
      </c>
      <c r="J477" s="7">
        <f>aktuelleAnleihen[[#This Row],[Gewinn gesamt]]/aktuelleAnleihen[[#This Row],[Kaufpreis]]</f>
        <v>5.3221454757101577E-2</v>
      </c>
      <c r="K477" s="3">
        <f>aktuelleAnleihen[[#This Row],[Verkaufspreis]]-aktuelleAnleihen[[#This Row],[Kaufpreis]]+aktuelleAnleihen[[#This Row],[Zinszahlungen]]</f>
        <v>101.9117945205478</v>
      </c>
      <c r="L477" s="4">
        <v>1914.8630000000001</v>
      </c>
      <c r="M477" s="7">
        <v>0.93400000000000005</v>
      </c>
      <c r="N477" s="61">
        <v>1</v>
      </c>
      <c r="O477" s="1">
        <v>1</v>
      </c>
      <c r="P477" s="1" t="s">
        <v>925</v>
      </c>
      <c r="Q477" s="30">
        <v>45385</v>
      </c>
      <c r="R477" s="1">
        <v>2</v>
      </c>
      <c r="S477" s="1">
        <v>1000</v>
      </c>
      <c r="T477" s="9">
        <v>45275</v>
      </c>
      <c r="U477" s="1">
        <v>2</v>
      </c>
      <c r="V477" s="62">
        <f>aktuelleAnleihen[[#This Row],[Stückelung]]*aktuelleAnleihen[[#This Row],[Anteile]]*aktuelleAnleihen[[#This Row],[Coupon]]/aktuelleAnleihen[[#This Row],[Aktueller Wechselkurs]]*($AC$1-aktuelleAnleihen[[#This Row],[Letzte Zinszahlung]])/365</f>
        <v>74.554794520547944</v>
      </c>
      <c r="W477" s="4">
        <v>46.863</v>
      </c>
      <c r="X477" s="120" t="s">
        <v>35</v>
      </c>
      <c r="Y477" s="120" t="s">
        <v>52</v>
      </c>
      <c r="Z477" s="1" t="s">
        <v>502</v>
      </c>
      <c r="AA477" s="1" t="s">
        <v>503</v>
      </c>
      <c r="AB477" s="3">
        <f>SUMIF('Zinszahlungen Anleihen'!K:K,aktuelleAnleihen[[#This Row],[ISIN]],'Zinszahlungen Anleihen'!D:D)</f>
        <v>0</v>
      </c>
      <c r="AE477" s="9"/>
      <c r="AF477" s="1"/>
      <c r="AI477" s="3"/>
      <c r="AJ477" s="1"/>
      <c r="AM477" s="10"/>
      <c r="AN477" s="1"/>
      <c r="AP477" s="7"/>
      <c r="AQ477" s="1"/>
    </row>
    <row r="478" spans="1:43" x14ac:dyDescent="0.2">
      <c r="A478" s="1" t="s">
        <v>1471</v>
      </c>
      <c r="B478" s="1" t="s">
        <v>11</v>
      </c>
      <c r="C478" s="7">
        <v>8.5000000000000006E-2</v>
      </c>
      <c r="D478" s="7">
        <v>1.2729999999999999</v>
      </c>
      <c r="E478" s="7">
        <f>aktuelleAnleihen[[#This Row],[Aktueller Kurs]]-aktuelleAnleihen[[#This Row],[Kaufkurs]]</f>
        <v>4.0899999999999936E-2</v>
      </c>
      <c r="F478" s="8">
        <f>aktuelleAnleihen[[#This Row],[Stückelung]]*aktuelleAnleihen[[#This Row],[Aktueller Kurs]]*aktuelleAnleihen[[#This Row],[Anteile]]/aktuelleAnleihen[[#This Row],[Aktueller Wechselkurs]]+aktuelleAnleihen[[#This Row],[Stückzinsen]]</f>
        <v>2361.6584260222403</v>
      </c>
      <c r="G478" s="8">
        <f>aktuelleAnleihen[[#This Row],[Kursdifferenz]]*aktuelleAnleihen[[#This Row],[Anteile]]*aktuelleAnleihen[[#This Row],[Stückelung]]/aktuelleAnleihen[[#This Row],[Wechselkurs am Kauftag]]</f>
        <v>76.284621840902602</v>
      </c>
      <c r="H478" s="8">
        <f>aktuelleAnleihen[[#This Row],[Stückzinsen]]-aktuelleAnleihen[[#This Row],[Stückzinsen am Kauftag]]+aktuelleAnleihen[[#This Row],[Zinszahlungen]]</f>
        <v>16.130090212856413</v>
      </c>
      <c r="I478" s="8">
        <f>aktuelleAnleihen[[#This Row],[Gewinn gesamt]]-aktuelleAnleihen[[#This Row],[Gewinn aus Kursänderung]]-aktuelleAnleihen[[#This Row],[Gewinn aus Zinsen]]</f>
        <v>-36.625486031518818</v>
      </c>
      <c r="J478" s="7">
        <f>aktuelleAnleihen[[#This Row],[Gewinn gesamt]]/aktuelleAnleihen[[#This Row],[Kaufpreis]]</f>
        <v>2.4194445210613074E-2</v>
      </c>
      <c r="K478" s="3">
        <f>aktuelleAnleihen[[#This Row],[Verkaufspreis]]-aktuelleAnleihen[[#This Row],[Kaufpreis]]+aktuelleAnleihen[[#This Row],[Zinszahlungen]]</f>
        <v>55.7892260222402</v>
      </c>
      <c r="L478" s="4">
        <v>2305.8692000000001</v>
      </c>
      <c r="M478" s="7">
        <v>1.2321</v>
      </c>
      <c r="N478" s="61">
        <v>1.0723</v>
      </c>
      <c r="O478" s="1">
        <v>1.0891</v>
      </c>
      <c r="P478" s="1" t="s">
        <v>887</v>
      </c>
      <c r="Q478" s="30">
        <v>45412</v>
      </c>
      <c r="R478" s="1">
        <v>2</v>
      </c>
      <c r="S478" s="1">
        <v>1000</v>
      </c>
      <c r="T478" s="9">
        <v>45394</v>
      </c>
      <c r="U478" s="1">
        <v>2</v>
      </c>
      <c r="V478" s="62">
        <f>aktuelleAnleihen[[#This Row],[Stückelung]]*aktuelleAnleihen[[#This Row],[Anteile]]*aktuelleAnleihen[[#This Row],[Coupon]]/aktuelleAnleihen[[#This Row],[Aktueller Wechselkurs]]*($AC$1-aktuelleAnleihen[[#This Row],[Letzte Zinszahlung]])/365</f>
        <v>23.948390212856413</v>
      </c>
      <c r="W478" s="4">
        <v>7.8182999999999998</v>
      </c>
      <c r="X478" s="120" t="s">
        <v>1190</v>
      </c>
      <c r="Y478" s="120" t="s">
        <v>61</v>
      </c>
      <c r="Z478" s="1" t="s">
        <v>1472</v>
      </c>
      <c r="AA478" s="1" t="s">
        <v>1473</v>
      </c>
      <c r="AB478" s="3">
        <f>SUMIF('Zinszahlungen Anleihen'!K:K,aktuelleAnleihen[[#This Row],[ISIN]],'Zinszahlungen Anleihen'!D:D)</f>
        <v>0</v>
      </c>
      <c r="AE478" s="9"/>
      <c r="AF478" s="1"/>
      <c r="AI478" s="3"/>
      <c r="AJ478" s="1"/>
      <c r="AM478" s="10"/>
      <c r="AN478" s="1"/>
      <c r="AP478" s="7"/>
      <c r="AQ478" s="1"/>
    </row>
    <row r="479" spans="1:43" x14ac:dyDescent="0.2">
      <c r="A479" s="1" t="s">
        <v>1210</v>
      </c>
      <c r="B479" s="1" t="s">
        <v>2</v>
      </c>
      <c r="C479" s="7">
        <v>9.4E-2</v>
      </c>
      <c r="D479" s="7">
        <v>1.3372999999999999</v>
      </c>
      <c r="E479" s="7">
        <f>aktuelleAnleihen[[#This Row],[Aktueller Kurs]]-aktuelleAnleihen[[#This Row],[Kaufkurs]]</f>
        <v>4.2799999999999949E-2</v>
      </c>
      <c r="F479" s="8">
        <f>aktuelleAnleihen[[#This Row],[Stückelung]]*aktuelleAnleihen[[#This Row],[Aktueller Kurs]]*aktuelleAnleihen[[#This Row],[Anteile]]/aktuelleAnleihen[[#This Row],[Aktueller Wechselkurs]]+aktuelleAnleihen[[#This Row],[Stückzinsen]]</f>
        <v>2466.6665828137598</v>
      </c>
      <c r="G479" s="8">
        <f>aktuelleAnleihen[[#This Row],[Kursdifferenz]]*aktuelleAnleihen[[#This Row],[Anteile]]*aktuelleAnleihen[[#This Row],[Stückelung]]/aktuelleAnleihen[[#This Row],[Wechselkurs am Kauftag]]</f>
        <v>79.828406229599821</v>
      </c>
      <c r="H479" s="8">
        <f>aktuelleAnleihen[[#This Row],[Stückzinsen]]-aktuelleAnleihen[[#This Row],[Stückzinsen am Kauftag]]+aktuelleAnleihen[[#This Row],[Zinszahlungen]]</f>
        <v>17.560848691174613</v>
      </c>
      <c r="I479" s="8">
        <f>aktuelleAnleihen[[#This Row],[Gewinn gesamt]]-aktuelleAnleihen[[#This Row],[Gewinn aus Kursänderung]]-aktuelleAnleihen[[#This Row],[Gewinn aus Zinsen]]</f>
        <v>-38.475422499914544</v>
      </c>
      <c r="J479" s="7">
        <f>aktuelleAnleihen[[#This Row],[Gewinn gesamt]]/aktuelleAnleihen[[#This Row],[Kaufpreis]]</f>
        <v>2.3616042961029007E-2</v>
      </c>
      <c r="K479" s="3">
        <f>aktuelleAnleihen[[#This Row],[Verkaufspreis]]-aktuelleAnleihen[[#This Row],[Kaufpreis]]+aktuelleAnleihen[[#This Row],[Zinszahlungen]]</f>
        <v>58.91383242085989</v>
      </c>
      <c r="L479" s="4">
        <v>2494.6529999999998</v>
      </c>
      <c r="M479" s="7">
        <v>1.2945</v>
      </c>
      <c r="N479" s="61">
        <v>1.0723</v>
      </c>
      <c r="O479" s="1">
        <v>1.0891</v>
      </c>
      <c r="P479" s="1" t="s">
        <v>887</v>
      </c>
      <c r="Q479" s="30">
        <v>45412</v>
      </c>
      <c r="R479" s="1">
        <v>2</v>
      </c>
      <c r="S479" s="1">
        <v>1000</v>
      </c>
      <c r="T479" s="9">
        <v>45427</v>
      </c>
      <c r="U479" s="1">
        <v>2</v>
      </c>
      <c r="V479" s="62">
        <f>aktuelleAnleihen[[#This Row],[Stückelung]]*aktuelleAnleihen[[#This Row],[Anteile]]*aktuelleAnleihen[[#This Row],[Coupon]]/aktuelleAnleihen[[#This Row],[Aktueller Wechselkurs]]*($AC$1-aktuelleAnleihen[[#This Row],[Letzte Zinszahlung]])/365</f>
        <v>10.8773990840747</v>
      </c>
      <c r="W479" s="4">
        <v>80.216800000000006</v>
      </c>
      <c r="X479" s="120" t="s">
        <v>276</v>
      </c>
      <c r="Y479" s="120" t="s">
        <v>39</v>
      </c>
      <c r="Z479" s="1" t="s">
        <v>1211</v>
      </c>
      <c r="AA479" s="1" t="s">
        <v>1212</v>
      </c>
      <c r="AB479" s="3">
        <f>SUMIF('Zinszahlungen Anleihen'!K:K,aktuelleAnleihen[[#This Row],[ISIN]],'Zinszahlungen Anleihen'!D:D)</f>
        <v>86.900249607099923</v>
      </c>
      <c r="AE479" s="9"/>
      <c r="AF479" s="1"/>
      <c r="AI479" s="3"/>
      <c r="AJ479" s="1"/>
      <c r="AM479" s="10"/>
      <c r="AN479" s="1"/>
      <c r="AP479" s="7"/>
      <c r="AQ479" s="1"/>
    </row>
    <row r="480" spans="1:43" x14ac:dyDescent="0.2">
      <c r="A480" s="1" t="s">
        <v>647</v>
      </c>
      <c r="B480" s="1" t="s">
        <v>5</v>
      </c>
      <c r="C480" s="7">
        <v>7.0000000000000007E-2</v>
      </c>
      <c r="D480" s="7">
        <v>0.79</v>
      </c>
      <c r="E480" s="7">
        <f>aktuelleAnleihen[[#This Row],[Aktueller Kurs]]-aktuelleAnleihen[[#This Row],[Kaufkurs]]</f>
        <v>4.0000000000000036E-2</v>
      </c>
      <c r="F480" s="8">
        <f>aktuelleAnleihen[[#This Row],[Stückelung]]*aktuelleAnleihen[[#This Row],[Aktueller Kurs]]*aktuelleAnleihen[[#This Row],[Anteile]]/aktuelleAnleihen[[#This Row],[Aktueller Wechselkurs]]+aktuelleAnleihen[[#This Row],[Stückzinsen]]</f>
        <v>1585.3698630136987</v>
      </c>
      <c r="G480" s="8">
        <f>aktuelleAnleihen[[#This Row],[Kursdifferenz]]*aktuelleAnleihen[[#This Row],[Anteile]]*aktuelleAnleihen[[#This Row],[Stückelung]]/aktuelleAnleihen[[#This Row],[Wechselkurs am Kauftag]]</f>
        <v>80.000000000000071</v>
      </c>
      <c r="H480" s="8">
        <f>aktuelleAnleihen[[#This Row],[Stückzinsen]]-aktuelleAnleihen[[#This Row],[Stückzinsen am Kauftag]]+aktuelleAnleihen[[#This Row],[Zinszahlungen]]</f>
        <v>25.123263013698633</v>
      </c>
      <c r="I480" s="8">
        <f>aktuelleAnleihen[[#This Row],[Gewinn gesamt]]-aktuelleAnleihen[[#This Row],[Gewinn aus Kursänderung]]-aktuelleAnleihen[[#This Row],[Gewinn aus Zinsen]]</f>
        <v>5.6843418860808015E-14</v>
      </c>
      <c r="J480" s="7">
        <f>aktuelleAnleihen[[#This Row],[Gewinn gesamt]]/aktuelleAnleihen[[#This Row],[Kaufpreis]]</f>
        <v>6.7810671549738452E-2</v>
      </c>
      <c r="K480" s="3">
        <f>aktuelleAnleihen[[#This Row],[Verkaufspreis]]-aktuelleAnleihen[[#This Row],[Kaufpreis]]+aktuelleAnleihen[[#This Row],[Zinszahlungen]]</f>
        <v>105.12326301369876</v>
      </c>
      <c r="L480" s="4">
        <v>1550.2465999999999</v>
      </c>
      <c r="M480" s="7">
        <v>0.75</v>
      </c>
      <c r="N480" s="61">
        <v>1</v>
      </c>
      <c r="O480" s="1">
        <v>1</v>
      </c>
      <c r="P480" s="1" t="s">
        <v>925</v>
      </c>
      <c r="Q480" s="30">
        <v>45385</v>
      </c>
      <c r="R480" s="1">
        <v>2</v>
      </c>
      <c r="S480" s="1">
        <v>1000</v>
      </c>
      <c r="T480" s="9">
        <v>45436</v>
      </c>
      <c r="U480" s="1">
        <v>2</v>
      </c>
      <c r="V480" s="62">
        <f>aktuelleAnleihen[[#This Row],[Stückelung]]*aktuelleAnleihen[[#This Row],[Anteile]]*aktuelleAnleihen[[#This Row],[Coupon]]/aktuelleAnleihen[[#This Row],[Aktueller Wechselkurs]]*($AC$1-aktuelleAnleihen[[#This Row],[Letzte Zinszahlung]])/365</f>
        <v>5.3698630136986303</v>
      </c>
      <c r="W480" s="4">
        <v>50.246600000000001</v>
      </c>
      <c r="X480" s="120" t="s">
        <v>56</v>
      </c>
      <c r="Y480" s="120" t="s">
        <v>52</v>
      </c>
      <c r="Z480" s="1" t="s">
        <v>648</v>
      </c>
      <c r="AA480" s="1" t="s">
        <v>649</v>
      </c>
      <c r="AB480" s="3">
        <f>SUMIF('Zinszahlungen Anleihen'!K:K,aktuelleAnleihen[[#This Row],[ISIN]],'Zinszahlungen Anleihen'!D:D)</f>
        <v>70</v>
      </c>
      <c r="AE480" s="9"/>
      <c r="AF480" s="1"/>
      <c r="AI480" s="3"/>
      <c r="AJ480" s="1"/>
      <c r="AM480" s="10"/>
      <c r="AN480" s="1"/>
      <c r="AP480" s="7"/>
      <c r="AQ480" s="1"/>
    </row>
    <row r="481" spans="1:43" x14ac:dyDescent="0.2">
      <c r="A481" s="1" t="s">
        <v>638</v>
      </c>
      <c r="B481" s="1" t="s">
        <v>4</v>
      </c>
      <c r="C481" s="7">
        <v>7.0000000000000007E-2</v>
      </c>
      <c r="D481" s="7">
        <v>0.8</v>
      </c>
      <c r="E481" s="7">
        <f>aktuelleAnleihen[[#This Row],[Aktueller Kurs]]-aktuelleAnleihen[[#This Row],[Kaufkurs]]</f>
        <v>4.0000000000000036E-2</v>
      </c>
      <c r="F481" s="8">
        <f>aktuelleAnleihen[[#This Row],[Stückelung]]*aktuelleAnleihen[[#This Row],[Aktueller Kurs]]*aktuelleAnleihen[[#This Row],[Anteile]]/aktuelleAnleihen[[#This Row],[Aktueller Wechselkurs]]+aktuelleAnleihen[[#This Row],[Stückzinsen]]</f>
        <v>1608.0547945205481</v>
      </c>
      <c r="G481" s="8">
        <f>aktuelleAnleihen[[#This Row],[Kursdifferenz]]*aktuelleAnleihen[[#This Row],[Anteile]]*aktuelleAnleihen[[#This Row],[Stückelung]]/aktuelleAnleihen[[#This Row],[Wechselkurs am Kauftag]]</f>
        <v>80.000000000000071</v>
      </c>
      <c r="H481" s="8">
        <f>aktuelleAnleihen[[#This Row],[Stückzinsen]]-aktuelleAnleihen[[#This Row],[Stückzinsen am Kauftag]]+aktuelleAnleihen[[#This Row],[Zinszahlungen]]</f>
        <v>25.123294520547944</v>
      </c>
      <c r="I481" s="8">
        <f>aktuelleAnleihen[[#This Row],[Gewinn gesamt]]-aktuelleAnleihen[[#This Row],[Gewinn aus Kursänderung]]-aktuelleAnleihen[[#This Row],[Gewinn aus Zinsen]]</f>
        <v>1.2789769243681803E-13</v>
      </c>
      <c r="J481" s="7">
        <f>aktuelleAnleihen[[#This Row],[Gewinn gesamt]]/aktuelleAnleihen[[#This Row],[Kaufpreis]]</f>
        <v>6.6832722544210063E-2</v>
      </c>
      <c r="K481" s="3">
        <f>aktuelleAnleihen[[#This Row],[Verkaufspreis]]-aktuelleAnleihen[[#This Row],[Kaufpreis]]+aktuelleAnleihen[[#This Row],[Zinszahlungen]]</f>
        <v>105.12329452054814</v>
      </c>
      <c r="L481" s="4">
        <v>1572.9314999999999</v>
      </c>
      <c r="M481" s="7">
        <v>0.76</v>
      </c>
      <c r="N481" s="61">
        <v>1</v>
      </c>
      <c r="O481" s="1">
        <v>1</v>
      </c>
      <c r="P481" s="1" t="s">
        <v>925</v>
      </c>
      <c r="Q481" s="30">
        <v>45385</v>
      </c>
      <c r="R481" s="1">
        <v>2</v>
      </c>
      <c r="S481" s="1">
        <v>1000</v>
      </c>
      <c r="T481" s="9">
        <v>45429</v>
      </c>
      <c r="U481" s="1">
        <v>2</v>
      </c>
      <c r="V481" s="62">
        <f>aktuelleAnleihen[[#This Row],[Stückelung]]*aktuelleAnleihen[[#This Row],[Anteile]]*aktuelleAnleihen[[#This Row],[Coupon]]/aktuelleAnleihen[[#This Row],[Aktueller Wechselkurs]]*($AC$1-aktuelleAnleihen[[#This Row],[Letzte Zinszahlung]])/365</f>
        <v>8.0547945205479454</v>
      </c>
      <c r="W481" s="4">
        <v>52.9315</v>
      </c>
      <c r="X481" s="120" t="s">
        <v>56</v>
      </c>
      <c r="Y481" s="120" t="s">
        <v>216</v>
      </c>
      <c r="Z481" s="1" t="s">
        <v>639</v>
      </c>
      <c r="AA481" s="1" t="s">
        <v>640</v>
      </c>
      <c r="AB481" s="3">
        <f>SUMIF('Zinszahlungen Anleihen'!K:K,aktuelleAnleihen[[#This Row],[ISIN]],'Zinszahlungen Anleihen'!D:D)</f>
        <v>70</v>
      </c>
      <c r="AE481" s="9"/>
      <c r="AF481" s="1"/>
      <c r="AI481" s="3"/>
      <c r="AJ481" s="1"/>
      <c r="AM481" s="10"/>
      <c r="AN481" s="1"/>
      <c r="AP481" s="7"/>
      <c r="AQ481" s="1"/>
    </row>
    <row r="482" spans="1:43" x14ac:dyDescent="0.2">
      <c r="A482" s="1" t="s">
        <v>441</v>
      </c>
      <c r="B482" s="1" t="s">
        <v>7</v>
      </c>
      <c r="C482" s="7">
        <v>0.08</v>
      </c>
      <c r="D482" s="7">
        <v>0.86</v>
      </c>
      <c r="E482" s="7">
        <f>aktuelleAnleihen[[#This Row],[Aktueller Kurs]]-aktuelleAnleihen[[#This Row],[Kaufkurs]]</f>
        <v>4.0000000000000036E-2</v>
      </c>
      <c r="F482" s="8">
        <f>aktuelleAnleihen[[#This Row],[Stückelung]]*aktuelleAnleihen[[#This Row],[Aktueller Kurs]]*aktuelleAnleihen[[#This Row],[Anteile]]/aktuelleAnleihen[[#This Row],[Aktueller Wechselkurs]]+aktuelleAnleihen[[#This Row],[Stückzinsen]]</f>
        <v>1812.9315068493152</v>
      </c>
      <c r="G482" s="8">
        <f>aktuelleAnleihen[[#This Row],[Kursdifferenz]]*aktuelleAnleihen[[#This Row],[Anteile]]*aktuelleAnleihen[[#This Row],[Stückelung]]/aktuelleAnleihen[[#This Row],[Wechselkurs am Kauftag]]</f>
        <v>80.000000000000071</v>
      </c>
      <c r="H482" s="8">
        <f>aktuelleAnleihen[[#This Row],[Stückzinsen]]-aktuelleAnleihen[[#This Row],[Stückzinsen am Kauftag]]+aktuelleAnleihen[[#This Row],[Zinszahlungen]]</f>
        <v>28.493106849315069</v>
      </c>
      <c r="I482" s="8">
        <f>aktuelleAnleihen[[#This Row],[Gewinn gesamt]]-aktuelleAnleihen[[#This Row],[Gewinn aus Kursänderung]]-aktuelleAnleihen[[#This Row],[Gewinn aus Zinsen]]</f>
        <v>0</v>
      </c>
      <c r="J482" s="7">
        <f>aktuelleAnleihen[[#This Row],[Gewinn gesamt]]/aktuelleAnleihen[[#This Row],[Kaufpreis]]</f>
        <v>6.3653287117513405E-2</v>
      </c>
      <c r="K482" s="3">
        <f>aktuelleAnleihen[[#This Row],[Verkaufspreis]]-aktuelleAnleihen[[#This Row],[Kaufpreis]]+aktuelleAnleihen[[#This Row],[Zinszahlungen]]</f>
        <v>108.49310684931515</v>
      </c>
      <c r="L482" s="4">
        <v>1704.4384</v>
      </c>
      <c r="M482" s="7">
        <v>0.82</v>
      </c>
      <c r="N482" s="61">
        <v>1</v>
      </c>
      <c r="O482" s="1">
        <v>1</v>
      </c>
      <c r="P482" s="1" t="s">
        <v>925</v>
      </c>
      <c r="Q482" s="30">
        <v>45385</v>
      </c>
      <c r="R482" s="1">
        <v>2</v>
      </c>
      <c r="S482" s="1">
        <v>1000</v>
      </c>
      <c r="T482" s="9">
        <v>45238</v>
      </c>
      <c r="U482" s="1">
        <v>1</v>
      </c>
      <c r="V482" s="62">
        <f>aktuelleAnleihen[[#This Row],[Stückelung]]*aktuelleAnleihen[[#This Row],[Anteile]]*aktuelleAnleihen[[#This Row],[Coupon]]/aktuelleAnleihen[[#This Row],[Aktueller Wechselkurs]]*($AC$1-aktuelleAnleihen[[#This Row],[Letzte Zinszahlung]])/365</f>
        <v>92.93150684931507</v>
      </c>
      <c r="W482" s="4">
        <v>64.438400000000001</v>
      </c>
      <c r="X482" s="120" t="s">
        <v>56</v>
      </c>
      <c r="Y482" s="120" t="s">
        <v>39</v>
      </c>
      <c r="Z482" s="1" t="s">
        <v>442</v>
      </c>
      <c r="AA482" s="1" t="s">
        <v>443</v>
      </c>
      <c r="AB482" s="3">
        <f>SUMIF('Zinszahlungen Anleihen'!K:K,aktuelleAnleihen[[#This Row],[ISIN]],'Zinszahlungen Anleihen'!D:D)</f>
        <v>0</v>
      </c>
      <c r="AE482" s="9"/>
      <c r="AF482" s="1"/>
      <c r="AI482" s="3"/>
      <c r="AJ482" s="1"/>
      <c r="AM482" s="10"/>
      <c r="AN482" s="1"/>
      <c r="AP482" s="7"/>
      <c r="AQ482" s="1"/>
    </row>
    <row r="483" spans="1:43" x14ac:dyDescent="0.2">
      <c r="A483" s="1" t="s">
        <v>1671</v>
      </c>
      <c r="B483" s="1" t="s">
        <v>0</v>
      </c>
      <c r="C483" s="7">
        <v>8.1250000000000003E-2</v>
      </c>
      <c r="D483" s="7">
        <v>1.2569999999999999</v>
      </c>
      <c r="E483" s="7">
        <f>aktuelleAnleihen[[#This Row],[Aktueller Kurs]]-aktuelleAnleihen[[#This Row],[Kaufkurs]]</f>
        <v>4.589999999999983E-2</v>
      </c>
      <c r="F483" s="8">
        <f>aktuelleAnleihen[[#This Row],[Stückelung]]*aktuelleAnleihen[[#This Row],[Aktueller Kurs]]*aktuelleAnleihen[[#This Row],[Anteile]]/aktuelleAnleihen[[#This Row],[Aktueller Wechselkurs]]+aktuelleAnleihen[[#This Row],[Stückzinsen]]</f>
        <v>2367.1927178781525</v>
      </c>
      <c r="G483" s="8">
        <f>aktuelleAnleihen[[#This Row],[Kursdifferenz]]*aktuelleAnleihen[[#This Row],[Anteile]]*aktuelleAnleihen[[#This Row],[Stückelung]]/aktuelleAnleihen[[#This Row],[Wechselkurs am Kauftag]]</f>
        <v>85.610370232210812</v>
      </c>
      <c r="H483" s="8">
        <f>aktuelleAnleihen[[#This Row],[Stückzinsen]]-aktuelleAnleihen[[#This Row],[Stückzinsen am Kauftag]]+aktuelleAnleihen[[#This Row],[Zinszahlungen]]</f>
        <v>14.854840649247905</v>
      </c>
      <c r="I483" s="8">
        <f>aktuelleAnleihen[[#This Row],[Gewinn gesamt]]-aktuelleAnleihen[[#This Row],[Gewinn aus Kursänderung]]-aktuelleAnleihen[[#This Row],[Gewinn aus Zinsen]]</f>
        <v>-36.165093003306339</v>
      </c>
      <c r="J483" s="7">
        <f>aktuelleAnleihen[[#This Row],[Gewinn gesamt]]/aktuelleAnleihen[[#This Row],[Kaufpreis]]</f>
        <v>2.7921457508766311E-2</v>
      </c>
      <c r="K483" s="3">
        <f>aktuelleAnleihen[[#This Row],[Verkaufspreis]]-aktuelleAnleihen[[#This Row],[Kaufpreis]]+aktuelleAnleihen[[#This Row],[Zinszahlungen]]</f>
        <v>64.300117878152378</v>
      </c>
      <c r="L483" s="4">
        <v>2302.8926000000001</v>
      </c>
      <c r="M483" s="7">
        <v>1.2111000000000001</v>
      </c>
      <c r="N483" s="61">
        <v>1.0723</v>
      </c>
      <c r="O483" s="1">
        <v>1.0891</v>
      </c>
      <c r="P483" s="1" t="s">
        <v>887</v>
      </c>
      <c r="Q483" s="30">
        <v>45412</v>
      </c>
      <c r="R483" s="1">
        <v>2</v>
      </c>
      <c r="S483" s="1">
        <v>1000</v>
      </c>
      <c r="T483" s="9">
        <v>45306</v>
      </c>
      <c r="U483" s="1">
        <v>2</v>
      </c>
      <c r="V483" s="62">
        <f>aktuelleAnleihen[[#This Row],[Stückelung]]*aktuelleAnleihen[[#This Row],[Anteile]]*aktuelleAnleihen[[#This Row],[Coupon]]/aktuelleAnleihen[[#This Row],[Aktueller Wechselkurs]]*($AC$1-aktuelleAnleihen[[#This Row],[Letzte Zinszahlung]])/365</f>
        <v>58.864740649247906</v>
      </c>
      <c r="W483" s="4">
        <v>44.009900000000002</v>
      </c>
      <c r="X483" s="120" t="s">
        <v>276</v>
      </c>
      <c r="Y483" s="120" t="s">
        <v>39</v>
      </c>
      <c r="Z483" s="1" t="s">
        <v>1672</v>
      </c>
      <c r="AA483" s="1" t="s">
        <v>1673</v>
      </c>
      <c r="AB483" s="3">
        <f>SUMIF('Zinszahlungen Anleihen'!K:K,aktuelleAnleihen[[#This Row],[ISIN]],'Zinszahlungen Anleihen'!D:D)</f>
        <v>0</v>
      </c>
      <c r="AE483" s="9"/>
      <c r="AF483" s="1"/>
      <c r="AI483" s="3"/>
      <c r="AJ483" s="1"/>
      <c r="AM483" s="10"/>
      <c r="AN483" s="1"/>
      <c r="AP483" s="7"/>
      <c r="AQ483" s="1"/>
    </row>
    <row r="484" spans="1:43" x14ac:dyDescent="0.2">
      <c r="A484" s="1" t="s">
        <v>516</v>
      </c>
      <c r="B484" s="1" t="s">
        <v>9</v>
      </c>
      <c r="C484" s="7">
        <v>7.7499999999999999E-2</v>
      </c>
      <c r="D484" s="7">
        <v>1.0125</v>
      </c>
      <c r="E484" s="7">
        <f>aktuelleAnleihen[[#This Row],[Aktueller Kurs]]-aktuelleAnleihen[[#This Row],[Kaufkurs]]</f>
        <v>4.3099999999999916E-2</v>
      </c>
      <c r="F484" s="8">
        <f>aktuelleAnleihen[[#This Row],[Stückelung]]*aktuelleAnleihen[[#This Row],[Aktueller Kurs]]*aktuelleAnleihen[[#This Row],[Anteile]]/aktuelleAnleihen[[#This Row],[Aktueller Wechselkurs]]+aktuelleAnleihen[[#This Row],[Stückzinsen]]</f>
        <v>2040.7123287671234</v>
      </c>
      <c r="G484" s="8">
        <f>aktuelleAnleihen[[#This Row],[Kursdifferenz]]*aktuelleAnleihen[[#This Row],[Anteile]]*aktuelleAnleihen[[#This Row],[Stückelung]]/aktuelleAnleihen[[#This Row],[Wechselkurs am Kauftag]]</f>
        <v>86.199999999999832</v>
      </c>
      <c r="H484" s="8">
        <f>aktuelleAnleihen[[#This Row],[Stückzinsen]]-aktuelleAnleihen[[#This Row],[Stückzinsen am Kauftag]]+aktuelleAnleihen[[#This Row],[Zinszahlungen]]</f>
        <v>27.815028767123287</v>
      </c>
      <c r="I484" s="8">
        <f>aktuelleAnleihen[[#This Row],[Gewinn gesamt]]-aktuelleAnleihen[[#This Row],[Gewinn aus Kursänderung]]-aktuelleAnleihen[[#This Row],[Gewinn aus Zinsen]]</f>
        <v>2.2026824808563106E-13</v>
      </c>
      <c r="J484" s="7">
        <f>aktuelleAnleihen[[#This Row],[Gewinn gesamt]]/aktuelleAnleihen[[#This Row],[Kaufpreis]]</f>
        <v>5.688812611768479E-2</v>
      </c>
      <c r="K484" s="3">
        <f>aktuelleAnleihen[[#This Row],[Verkaufspreis]]-aktuelleAnleihen[[#This Row],[Kaufpreis]]+aktuelleAnleihen[[#This Row],[Zinszahlungen]]</f>
        <v>114.01502876712334</v>
      </c>
      <c r="L484" s="4">
        <v>2004.1973</v>
      </c>
      <c r="M484" s="7">
        <v>0.96940000000000004</v>
      </c>
      <c r="N484" s="61">
        <v>1</v>
      </c>
      <c r="O484" s="1">
        <v>1</v>
      </c>
      <c r="P484" s="1" t="s">
        <v>925</v>
      </c>
      <c r="Q484" s="30">
        <v>45385</v>
      </c>
      <c r="R484" s="1">
        <v>2</v>
      </c>
      <c r="S484" s="1">
        <v>1000</v>
      </c>
      <c r="T484" s="9">
        <v>45413</v>
      </c>
      <c r="U484" s="1">
        <v>2</v>
      </c>
      <c r="V484" s="62">
        <f>aktuelleAnleihen[[#This Row],[Stückelung]]*aktuelleAnleihen[[#This Row],[Anteile]]*aktuelleAnleihen[[#This Row],[Coupon]]/aktuelleAnleihen[[#This Row],[Aktueller Wechselkurs]]*($AC$1-aktuelleAnleihen[[#This Row],[Letzte Zinszahlung]])/365</f>
        <v>15.712328767123287</v>
      </c>
      <c r="W484" s="4">
        <v>65.397300000000001</v>
      </c>
      <c r="X484" s="120" t="s">
        <v>102</v>
      </c>
      <c r="Y484" s="120" t="s">
        <v>39</v>
      </c>
      <c r="Z484" s="1" t="s">
        <v>517</v>
      </c>
      <c r="AA484" s="1" t="s">
        <v>518</v>
      </c>
      <c r="AB484" s="3">
        <f>SUMIF('Zinszahlungen Anleihen'!K:K,aktuelleAnleihen[[#This Row],[ISIN]],'Zinszahlungen Anleihen'!D:D)</f>
        <v>77.5</v>
      </c>
      <c r="AE484" s="9"/>
      <c r="AF484" s="1"/>
      <c r="AI484" s="3"/>
      <c r="AJ484" s="1"/>
      <c r="AM484" s="10"/>
      <c r="AN484" s="1"/>
      <c r="AP484" s="7"/>
      <c r="AQ484" s="1"/>
    </row>
    <row r="485" spans="1:43" x14ac:dyDescent="0.2">
      <c r="A485" s="1" t="s">
        <v>1406</v>
      </c>
      <c r="B485" s="1" t="s">
        <v>10</v>
      </c>
      <c r="C485" s="7">
        <v>8.6999999999999994E-2</v>
      </c>
      <c r="D485" s="7">
        <v>1.11595</v>
      </c>
      <c r="E485" s="7">
        <f>aktuelleAnleihen[[#This Row],[Aktueller Kurs]]-aktuelleAnleihen[[#This Row],[Kaufkurs]]</f>
        <v>4.7050000000000036E-2</v>
      </c>
      <c r="F485" s="8">
        <f>aktuelleAnleihen[[#This Row],[Stückelung]]*aktuelleAnleihen[[#This Row],[Aktueller Kurs]]*aktuelleAnleihen[[#This Row],[Anteile]]/aktuelleAnleihen[[#This Row],[Aktueller Wechselkurs]]+aktuelleAnleihen[[#This Row],[Stückzinsen]]</f>
        <v>2065.5021174955318</v>
      </c>
      <c r="G485" s="8">
        <f>aktuelleAnleihen[[#This Row],[Kursdifferenz]]*aktuelleAnleihen[[#This Row],[Anteile]]*aktuelleAnleihen[[#This Row],[Stückelung]]/aktuelleAnleihen[[#This Row],[Wechselkurs am Kauftag]]</f>
        <v>87.755292362212145</v>
      </c>
      <c r="H485" s="8">
        <f>aktuelleAnleihen[[#This Row],[Stückzinsen]]-aktuelleAnleihen[[#This Row],[Stückzinsen am Kauftag]]+aktuelleAnleihen[[#This Row],[Zinszahlungen]]</f>
        <v>16.937895609585198</v>
      </c>
      <c r="I485" s="8">
        <f>aktuelleAnleihen[[#This Row],[Gewinn gesamt]]-aktuelleAnleihen[[#This Row],[Gewinn aus Kursänderung]]-aktuelleAnleihen[[#This Row],[Gewinn aus Zinsen]]</f>
        <v>-32.106925306845042</v>
      </c>
      <c r="J485" s="7">
        <f>aktuelleAnleihen[[#This Row],[Gewinn gesamt]]/aktuelleAnleihen[[#This Row],[Kaufpreis]]</f>
        <v>3.4996078668019098E-2</v>
      </c>
      <c r="K485" s="3">
        <f>aktuelleAnleihen[[#This Row],[Verkaufspreis]]-aktuelleAnleihen[[#This Row],[Kaufpreis]]+aktuelleAnleihen[[#This Row],[Zinszahlungen]]</f>
        <v>72.586262664952301</v>
      </c>
      <c r="L485" s="4">
        <v>2074.1255999999998</v>
      </c>
      <c r="M485" s="7">
        <v>1.0689</v>
      </c>
      <c r="N485" s="61">
        <v>1.0723</v>
      </c>
      <c r="O485" s="1">
        <v>1.0891</v>
      </c>
      <c r="P485" s="1" t="s">
        <v>887</v>
      </c>
      <c r="Q485" s="30">
        <v>45412</v>
      </c>
      <c r="R485" s="1">
        <v>2</v>
      </c>
      <c r="S485" s="1">
        <v>1000</v>
      </c>
      <c r="T485" s="9">
        <v>45413</v>
      </c>
      <c r="U485" s="1">
        <v>2</v>
      </c>
      <c r="V485" s="62">
        <f>aktuelleAnleihen[[#This Row],[Stückelung]]*aktuelleAnleihen[[#This Row],[Anteile]]*aktuelleAnleihen[[#This Row],[Coupon]]/aktuelleAnleihen[[#This Row],[Aktueller Wechselkurs]]*($AC$1-aktuelleAnleihen[[#This Row],[Letzte Zinszahlung]])/365</f>
        <v>16.195350440164873</v>
      </c>
      <c r="W485" s="4">
        <v>80.467200000000005</v>
      </c>
      <c r="X485" s="120" t="s">
        <v>276</v>
      </c>
      <c r="Y485" s="120" t="s">
        <v>39</v>
      </c>
      <c r="Z485" s="1" t="s">
        <v>1407</v>
      </c>
      <c r="AA485" s="1" t="s">
        <v>1408</v>
      </c>
      <c r="AB485" s="3">
        <f>SUMIF('Zinszahlungen Anleihen'!K:K,aktuelleAnleihen[[#This Row],[ISIN]],'Zinszahlungen Anleihen'!D:D)</f>
        <v>81.20974516942033</v>
      </c>
      <c r="AE485" s="9"/>
      <c r="AF485" s="1"/>
      <c r="AI485" s="3"/>
      <c r="AJ485" s="1"/>
      <c r="AM485" s="10"/>
      <c r="AN485" s="1"/>
      <c r="AP485" s="7"/>
      <c r="AQ485" s="1"/>
    </row>
    <row r="486" spans="1:43" x14ac:dyDescent="0.2">
      <c r="A486" s="1" t="s">
        <v>1007</v>
      </c>
      <c r="B486" s="1" t="s">
        <v>10</v>
      </c>
      <c r="C486" s="7">
        <v>0.11874999999999999</v>
      </c>
      <c r="D486" s="7">
        <v>1.0631999999999999</v>
      </c>
      <c r="E486" s="7">
        <f>aktuelleAnleihen[[#This Row],[Aktueller Kurs]]-aktuelleAnleihen[[#This Row],[Kaufkurs]]</f>
        <v>4.7999999999999821E-2</v>
      </c>
      <c r="F486" s="8">
        <f>aktuelleAnleihen[[#This Row],[Stückelung]]*aktuelleAnleihen[[#This Row],[Aktueller Kurs]]*aktuelleAnleihen[[#This Row],[Anteile]]/aktuelleAnleihen[[#This Row],[Aktueller Wechselkurs]]+aktuelleAnleihen[[#This Row],[Stückzinsen]]</f>
        <v>1975.1409672181251</v>
      </c>
      <c r="G486" s="8">
        <f>aktuelleAnleihen[[#This Row],[Kursdifferenz]]*aktuelleAnleihen[[#This Row],[Anteile]]*aktuelleAnleihen[[#This Row],[Stückelung]]/aktuelleAnleihen[[#This Row],[Wechselkurs am Kauftag]]</f>
        <v>89.527184556560329</v>
      </c>
      <c r="H486" s="8">
        <f>aktuelleAnleihen[[#This Row],[Stückzinsen]]-aktuelleAnleihen[[#This Row],[Stückzinsen am Kauftag]]+aktuelleAnleihen[[#This Row],[Zinszahlungen]]</f>
        <v>22.70317454527617</v>
      </c>
      <c r="I486" s="8">
        <f>aktuelleAnleihen[[#This Row],[Gewinn gesamt]]-aktuelleAnleihen[[#This Row],[Gewinn aus Kursänderung]]-aktuelleAnleihen[[#This Row],[Gewinn aus Zinsen]]</f>
        <v>-30.589391883711428</v>
      </c>
      <c r="J486" s="7">
        <f>aktuelleAnleihen[[#This Row],[Gewinn gesamt]]/aktuelleAnleihen[[#This Row],[Kaufpreis]]</f>
        <v>4.3116433703789314E-2</v>
      </c>
      <c r="K486" s="3">
        <f>aktuelleAnleihen[[#This Row],[Verkaufspreis]]-aktuelleAnleihen[[#This Row],[Kaufpreis]]+aktuelleAnleihen[[#This Row],[Zinszahlungen]]</f>
        <v>81.64096721812507</v>
      </c>
      <c r="L486" s="4">
        <v>1893.5</v>
      </c>
      <c r="M486" s="7">
        <v>1.0152000000000001</v>
      </c>
      <c r="N486" s="61">
        <v>1.0723</v>
      </c>
      <c r="O486" s="1">
        <v>1.0891</v>
      </c>
      <c r="P486" s="1" t="s">
        <v>887</v>
      </c>
      <c r="Q486" s="30">
        <v>45412</v>
      </c>
      <c r="R486" s="1">
        <v>2</v>
      </c>
      <c r="S486" s="1">
        <v>1000</v>
      </c>
      <c r="T486" s="9">
        <v>45412</v>
      </c>
      <c r="U486" s="1">
        <v>2</v>
      </c>
      <c r="V486" s="62">
        <f>aktuelleAnleihen[[#This Row],[Stückelung]]*aktuelleAnleihen[[#This Row],[Anteile]]*aktuelleAnleihen[[#This Row],[Coupon]]/aktuelleAnleihen[[#This Row],[Aktueller Wechselkurs]]*($AC$1-aktuelleAnleihen[[#This Row],[Letzte Zinszahlung]])/365</f>
        <v>22.70317454527617</v>
      </c>
      <c r="W486" s="4">
        <v>0</v>
      </c>
      <c r="X486" s="120" t="s">
        <v>276</v>
      </c>
      <c r="Y486" s="120" t="s">
        <v>39</v>
      </c>
      <c r="Z486" s="1" t="s">
        <v>1008</v>
      </c>
      <c r="AA486" s="1" t="s">
        <v>1009</v>
      </c>
      <c r="AB486" s="3">
        <f>SUMIF('Zinszahlungen Anleihen'!K:K,aktuelleAnleihen[[#This Row],[ISIN]],'Zinszahlungen Anleihen'!D:D)</f>
        <v>0</v>
      </c>
      <c r="AE486" s="9"/>
      <c r="AF486" s="1"/>
      <c r="AI486" s="3"/>
      <c r="AJ486" s="1"/>
      <c r="AM486" s="10"/>
      <c r="AN486" s="1"/>
      <c r="AP486" s="7"/>
      <c r="AQ486" s="1"/>
    </row>
    <row r="487" spans="1:43" x14ac:dyDescent="0.2">
      <c r="A487" s="1" t="s">
        <v>71</v>
      </c>
      <c r="B487" s="1" t="s">
        <v>0</v>
      </c>
      <c r="C487" s="7">
        <v>9.5000000000000001E-2</v>
      </c>
      <c r="D487" s="7">
        <v>0.95499999999999996</v>
      </c>
      <c r="E487" s="7">
        <f>aktuelleAnleihen[[#This Row],[Aktueller Kurs]]-aktuelleAnleihen[[#This Row],[Kaufkurs]]</f>
        <v>4.6499999999999986E-2</v>
      </c>
      <c r="F487" s="8">
        <f>aktuelleAnleihen[[#This Row],[Stückelung]]*aktuelleAnleihen[[#This Row],[Aktueller Kurs]]*aktuelleAnleihen[[#This Row],[Anteile]]/aktuelleAnleihen[[#This Row],[Aktueller Wechselkurs]]+aktuelleAnleihen[[#This Row],[Stückzinsen]]</f>
        <v>1936.027397260274</v>
      </c>
      <c r="G487" s="8">
        <f>aktuelleAnleihen[[#This Row],[Kursdifferenz]]*aktuelleAnleihen[[#This Row],[Anteile]]*aktuelleAnleihen[[#This Row],[Stückelung]]/aktuelleAnleihen[[#This Row],[Wechselkurs am Kauftag]]</f>
        <v>92.999999999999972</v>
      </c>
      <c r="H487" s="8">
        <f>aktuelleAnleihen[[#This Row],[Stückzinsen]]-aktuelleAnleihen[[#This Row],[Stückzinsen am Kauftag]]+aktuelleAnleihen[[#This Row],[Zinszahlungen]]</f>
        <v>33.57529726027397</v>
      </c>
      <c r="I487" s="8">
        <f>aktuelleAnleihen[[#This Row],[Gewinn gesamt]]-aktuelleAnleihen[[#This Row],[Gewinn aus Kursänderung]]-aktuelleAnleihen[[#This Row],[Gewinn aus Zinsen]]</f>
        <v>1.1368683772161603E-13</v>
      </c>
      <c r="J487" s="7">
        <f>aktuelleAnleihen[[#This Row],[Gewinn gesamt]]/aktuelleAnleihen[[#This Row],[Kaufpreis]]</f>
        <v>6.6462841076587884E-2</v>
      </c>
      <c r="K487" s="3">
        <f>aktuelleAnleihen[[#This Row],[Verkaufspreis]]-aktuelleAnleihen[[#This Row],[Kaufpreis]]+aktuelleAnleihen[[#This Row],[Zinszahlungen]]</f>
        <v>126.57529726027406</v>
      </c>
      <c r="L487" s="4">
        <v>1904.4521</v>
      </c>
      <c r="M487" s="7">
        <v>0.90849999999999997</v>
      </c>
      <c r="N487" s="61">
        <v>1</v>
      </c>
      <c r="O487" s="1">
        <v>1</v>
      </c>
      <c r="P487" s="1" t="s">
        <v>925</v>
      </c>
      <c r="Q487" s="30">
        <v>45385</v>
      </c>
      <c r="R487" s="1">
        <v>2</v>
      </c>
      <c r="S487" s="1">
        <v>1000</v>
      </c>
      <c r="T487" s="9">
        <v>45400</v>
      </c>
      <c r="U487" s="1">
        <v>2</v>
      </c>
      <c r="V487" s="62">
        <f>aktuelleAnleihen[[#This Row],[Stückelung]]*aktuelleAnleihen[[#This Row],[Anteile]]*aktuelleAnleihen[[#This Row],[Coupon]]/aktuelleAnleihen[[#This Row],[Aktueller Wechselkurs]]*($AC$1-aktuelleAnleihen[[#This Row],[Letzte Zinszahlung]])/365</f>
        <v>26.027397260273972</v>
      </c>
      <c r="W487" s="4">
        <v>87.452100000000002</v>
      </c>
      <c r="X487" s="120" t="s">
        <v>35</v>
      </c>
      <c r="Y487" s="120" t="s">
        <v>91</v>
      </c>
      <c r="Z487" s="1" t="s">
        <v>265</v>
      </c>
      <c r="AA487" s="1" t="s">
        <v>266</v>
      </c>
      <c r="AB487" s="3">
        <f>SUMIF('Zinszahlungen Anleihen'!K:K,aktuelleAnleihen[[#This Row],[ISIN]],'Zinszahlungen Anleihen'!D:D)</f>
        <v>95</v>
      </c>
      <c r="AE487" s="9"/>
      <c r="AF487" s="1"/>
      <c r="AI487" s="3"/>
      <c r="AJ487" s="1"/>
      <c r="AM487" s="10"/>
      <c r="AN487" s="1"/>
      <c r="AP487" s="7"/>
      <c r="AQ487" s="1"/>
    </row>
    <row r="488" spans="1:43" x14ac:dyDescent="0.2">
      <c r="A488" s="1" t="s">
        <v>97</v>
      </c>
      <c r="B488" s="1" t="s">
        <v>0</v>
      </c>
      <c r="C488" s="7">
        <v>9.2499999999999999E-2</v>
      </c>
      <c r="D488" s="7">
        <v>0.65644999999999998</v>
      </c>
      <c r="E488" s="7">
        <f>aktuelleAnleihen[[#This Row],[Aktueller Kurs]]-aktuelleAnleihen[[#This Row],[Kaufkurs]]</f>
        <v>4.8649999999999971E-2</v>
      </c>
      <c r="F488" s="8">
        <f>aktuelleAnleihen[[#This Row],[Stückelung]]*aktuelleAnleihen[[#This Row],[Aktueller Kurs]]*aktuelleAnleihen[[#This Row],[Anteile]]/aktuelleAnleihen[[#This Row],[Aktueller Wechselkurs]]+aktuelleAnleihen[[#This Row],[Stückzinsen]]</f>
        <v>1355.4753424657533</v>
      </c>
      <c r="G488" s="8">
        <f>aktuelleAnleihen[[#This Row],[Kursdifferenz]]*aktuelleAnleihen[[#This Row],[Anteile]]*aktuelleAnleihen[[#This Row],[Stückelung]]/aktuelleAnleihen[[#This Row],[Wechselkurs am Kauftag]]</f>
        <v>97.29999999999994</v>
      </c>
      <c r="H488" s="8">
        <f>aktuelleAnleihen[[#This Row],[Stückzinsen]]-aktuelleAnleihen[[#This Row],[Stückzinsen am Kauftag]]+aktuelleAnleihen[[#This Row],[Zinszahlungen]]</f>
        <v>36.493142465753422</v>
      </c>
      <c r="I488" s="8">
        <f>aktuelleAnleihen[[#This Row],[Gewinn gesamt]]-aktuelleAnleihen[[#This Row],[Gewinn aus Kursänderung]]-aktuelleAnleihen[[#This Row],[Gewinn aus Zinsen]]</f>
        <v>0</v>
      </c>
      <c r="J488" s="7">
        <f>aktuelleAnleihen[[#This Row],[Gewinn gesamt]]/aktuelleAnleihen[[#This Row],[Kaufpreis]]</f>
        <v>0.10951550449515705</v>
      </c>
      <c r="K488" s="3">
        <f>aktuelleAnleihen[[#This Row],[Verkaufspreis]]-aktuelleAnleihen[[#This Row],[Kaufpreis]]+aktuelleAnleihen[[#This Row],[Zinszahlungen]]</f>
        <v>133.79314246575336</v>
      </c>
      <c r="L488" s="4">
        <v>1221.6822</v>
      </c>
      <c r="M488" s="7">
        <v>0.60780000000000001</v>
      </c>
      <c r="N488" s="61">
        <v>1</v>
      </c>
      <c r="O488" s="1">
        <v>1</v>
      </c>
      <c r="P488" s="1" t="s">
        <v>925</v>
      </c>
      <c r="Q488" s="30">
        <v>45378</v>
      </c>
      <c r="R488" s="1">
        <v>2</v>
      </c>
      <c r="S488" s="1">
        <v>1000</v>
      </c>
      <c r="T488" s="9">
        <v>45366</v>
      </c>
      <c r="U488" s="1">
        <v>2</v>
      </c>
      <c r="V488" s="62">
        <f>aktuelleAnleihen[[#This Row],[Stückelung]]*aktuelleAnleihen[[#This Row],[Anteile]]*aktuelleAnleihen[[#This Row],[Coupon]]/aktuelleAnleihen[[#This Row],[Aktueller Wechselkurs]]*($AC$1-aktuelleAnleihen[[#This Row],[Letzte Zinszahlung]])/365</f>
        <v>42.575342465753423</v>
      </c>
      <c r="W488" s="4">
        <v>6.0822000000000003</v>
      </c>
      <c r="X488" s="120" t="s">
        <v>98</v>
      </c>
      <c r="Y488" s="120" t="s">
        <v>52</v>
      </c>
      <c r="Z488" s="1" t="s">
        <v>99</v>
      </c>
      <c r="AA488" s="1" t="s">
        <v>100</v>
      </c>
      <c r="AB488" s="3">
        <f>SUMIF('Zinszahlungen Anleihen'!K:K,aktuelleAnleihen[[#This Row],[ISIN]],'Zinszahlungen Anleihen'!D:D)</f>
        <v>0</v>
      </c>
      <c r="AE488" s="9"/>
      <c r="AF488" s="1"/>
      <c r="AI488" s="3"/>
      <c r="AJ488" s="1"/>
      <c r="AM488" s="10"/>
      <c r="AN488" s="1"/>
      <c r="AP488" s="7"/>
      <c r="AQ488" s="1"/>
    </row>
    <row r="489" spans="1:43" x14ac:dyDescent="0.2">
      <c r="A489" s="1" t="s">
        <v>150</v>
      </c>
      <c r="B489" s="1" t="s">
        <v>3</v>
      </c>
      <c r="C489" s="7">
        <v>9.2499999999999999E-2</v>
      </c>
      <c r="D489" s="7">
        <v>0.73111000000000004</v>
      </c>
      <c r="E489" s="7">
        <f>aktuelleAnleihen[[#This Row],[Aktueller Kurs]]-aktuelleAnleihen[[#This Row],[Kaufkurs]]</f>
        <v>5.1109999999999989E-2</v>
      </c>
      <c r="F489" s="8">
        <f>aktuelleAnleihen[[#This Row],[Stückelung]]*aktuelleAnleihen[[#This Row],[Aktueller Kurs]]*aktuelleAnleihen[[#This Row],[Anteile]]/aktuelleAnleihen[[#This Row],[Aktueller Wechselkurs]]+aktuelleAnleihen[[#This Row],[Stückzinsen]]</f>
        <v>1469.3158904109589</v>
      </c>
      <c r="G489" s="8">
        <f>aktuelleAnleihen[[#This Row],[Kursdifferenz]]*aktuelleAnleihen[[#This Row],[Anteile]]*aktuelleAnleihen[[#This Row],[Stückelung]]/aktuelleAnleihen[[#This Row],[Wechselkurs am Kauftag]]</f>
        <v>102.21999999999997</v>
      </c>
      <c r="H489" s="8">
        <f>aktuelleAnleihen[[#This Row],[Stückzinsen]]-aktuelleAnleihen[[#This Row],[Stückzinsen am Kauftag]]+aktuelleAnleihen[[#This Row],[Zinszahlungen]]</f>
        <v>35.986290410958901</v>
      </c>
      <c r="I489" s="8">
        <f>aktuelleAnleihen[[#This Row],[Gewinn gesamt]]-aktuelleAnleihen[[#This Row],[Gewinn aus Kursänderung]]-aktuelleAnleihen[[#This Row],[Gewinn aus Zinsen]]</f>
        <v>0</v>
      </c>
      <c r="J489" s="7">
        <f>aktuelleAnleihen[[#This Row],[Gewinn gesamt]]/aktuelleAnleihen[[#This Row],[Kaufpreis]]</f>
        <v>9.1158508864371615E-2</v>
      </c>
      <c r="K489" s="3">
        <f>aktuelleAnleihen[[#This Row],[Verkaufspreis]]-aktuelleAnleihen[[#This Row],[Kaufpreis]]+aktuelleAnleihen[[#This Row],[Zinszahlungen]]</f>
        <v>138.2062904109589</v>
      </c>
      <c r="L489" s="4">
        <v>1516.1096</v>
      </c>
      <c r="M489" s="7">
        <v>0.68</v>
      </c>
      <c r="N489" s="61">
        <v>1</v>
      </c>
      <c r="O489" s="1">
        <v>1</v>
      </c>
      <c r="P489" s="1" t="s">
        <v>925</v>
      </c>
      <c r="Q489" s="30">
        <v>45378</v>
      </c>
      <c r="R489" s="1">
        <v>2</v>
      </c>
      <c r="S489" s="1">
        <v>1000</v>
      </c>
      <c r="T489" s="9">
        <v>45436</v>
      </c>
      <c r="U489" s="1">
        <v>1</v>
      </c>
      <c r="V489" s="62">
        <f>aktuelleAnleihen[[#This Row],[Stückelung]]*aktuelleAnleihen[[#This Row],[Anteile]]*aktuelleAnleihen[[#This Row],[Coupon]]/aktuelleAnleihen[[#This Row],[Aktueller Wechselkurs]]*($AC$1-aktuelleAnleihen[[#This Row],[Letzte Zinszahlung]])/365</f>
        <v>7.095890410958904</v>
      </c>
      <c r="W489" s="4">
        <v>156.1096</v>
      </c>
      <c r="X489" s="120" t="s">
        <v>56</v>
      </c>
      <c r="Y489" s="120" t="s">
        <v>39</v>
      </c>
      <c r="Z489" s="1" t="s">
        <v>151</v>
      </c>
      <c r="AA489" s="1" t="s">
        <v>152</v>
      </c>
      <c r="AB489" s="3">
        <f>SUMIF('Zinszahlungen Anleihen'!K:K,aktuelleAnleihen[[#This Row],[ISIN]],'Zinszahlungen Anleihen'!D:D)</f>
        <v>185</v>
      </c>
      <c r="AE489" s="9"/>
      <c r="AF489" s="1"/>
      <c r="AI489" s="3"/>
      <c r="AJ489" s="1"/>
      <c r="AM489" s="10"/>
      <c r="AN489" s="1"/>
      <c r="AP489" s="7"/>
      <c r="AQ489" s="1"/>
    </row>
    <row r="490" spans="1:43" x14ac:dyDescent="0.2">
      <c r="A490" s="1" t="s">
        <v>42</v>
      </c>
      <c r="B490" s="1" t="s">
        <v>5</v>
      </c>
      <c r="C490" s="7">
        <v>0.105</v>
      </c>
      <c r="D490" s="7">
        <v>1.0425500000000001</v>
      </c>
      <c r="E490" s="7">
        <f>aktuelleAnleihen[[#This Row],[Aktueller Kurs]]-aktuelleAnleihen[[#This Row],[Kaufkurs]]</f>
        <v>5.2750000000000075E-2</v>
      </c>
      <c r="F490" s="8">
        <f>aktuelleAnleihen[[#This Row],[Stückelung]]*aktuelleAnleihen[[#This Row],[Aktueller Kurs]]*aktuelleAnleihen[[#This Row],[Anteile]]/aktuelleAnleihen[[#This Row],[Aktueller Wechselkurs]]+aktuelleAnleihen[[#This Row],[Stückzinsen]]</f>
        <v>2124.7986301369865</v>
      </c>
      <c r="G490" s="8">
        <f>aktuelleAnleihen[[#This Row],[Kursdifferenz]]*aktuelleAnleihen[[#This Row],[Anteile]]*aktuelleAnleihen[[#This Row],[Stückelung]]/aktuelleAnleihen[[#This Row],[Wechselkurs am Kauftag]]</f>
        <v>105.50000000000014</v>
      </c>
      <c r="H490" s="8">
        <f>aktuelleAnleihen[[#This Row],[Stückzinsen]]-aktuelleAnleihen[[#This Row],[Stückzinsen am Kauftag]]+aktuelleAnleihen[[#This Row],[Zinszahlungen]]</f>
        <v>37.397230136986302</v>
      </c>
      <c r="I490" s="8">
        <f>aktuelleAnleihen[[#This Row],[Gewinn gesamt]]-aktuelleAnleihen[[#This Row],[Gewinn aus Kursänderung]]-aktuelleAnleihen[[#This Row],[Gewinn aus Zinsen]]</f>
        <v>9.2370555648813024E-14</v>
      </c>
      <c r="J490" s="7">
        <f>aktuelleAnleihen[[#This Row],[Gewinn gesamt]]/aktuelleAnleihen[[#This Row],[Kaufpreis]]</f>
        <v>7.2101079366000007E-2</v>
      </c>
      <c r="K490" s="3">
        <f>aktuelleAnleihen[[#This Row],[Verkaufspreis]]-aktuelleAnleihen[[#This Row],[Kaufpreis]]+aktuelleAnleihen[[#This Row],[Zinszahlungen]]</f>
        <v>142.89723013698654</v>
      </c>
      <c r="L490" s="4">
        <v>1981.9014</v>
      </c>
      <c r="M490" s="7">
        <v>0.98980000000000001</v>
      </c>
      <c r="N490" s="61">
        <v>1</v>
      </c>
      <c r="O490" s="1">
        <v>1</v>
      </c>
      <c r="P490" s="1" t="s">
        <v>925</v>
      </c>
      <c r="Q490" s="30">
        <v>45385</v>
      </c>
      <c r="R490" s="1">
        <v>2</v>
      </c>
      <c r="S490" s="1">
        <v>1000</v>
      </c>
      <c r="T490" s="9">
        <v>45381</v>
      </c>
      <c r="U490" s="1">
        <v>2</v>
      </c>
      <c r="V490" s="62">
        <f>aktuelleAnleihen[[#This Row],[Stückelung]]*aktuelleAnleihen[[#This Row],[Anteile]]*aktuelleAnleihen[[#This Row],[Coupon]]/aktuelleAnleihen[[#This Row],[Aktueller Wechselkurs]]*($AC$1-aktuelleAnleihen[[#This Row],[Letzte Zinszahlung]])/365</f>
        <v>39.698630136986303</v>
      </c>
      <c r="W490" s="4">
        <v>2.3014000000000001</v>
      </c>
      <c r="X490" s="120" t="s">
        <v>43</v>
      </c>
      <c r="Y490" s="120" t="s">
        <v>39</v>
      </c>
      <c r="Z490" s="1" t="s">
        <v>211</v>
      </c>
      <c r="AA490" s="1" t="s">
        <v>212</v>
      </c>
      <c r="AB490" s="3">
        <f>SUMIF('Zinszahlungen Anleihen'!K:K,aktuelleAnleihen[[#This Row],[ISIN]],'Zinszahlungen Anleihen'!D:D)</f>
        <v>0</v>
      </c>
      <c r="AE490" s="9"/>
      <c r="AF490" s="1"/>
      <c r="AI490" s="3"/>
      <c r="AJ490" s="1"/>
      <c r="AM490" s="10"/>
      <c r="AN490" s="1"/>
      <c r="AP490" s="7"/>
      <c r="AQ490" s="1"/>
    </row>
    <row r="491" spans="1:43" x14ac:dyDescent="0.2">
      <c r="A491" s="1" t="s">
        <v>625</v>
      </c>
      <c r="B491" s="1" t="s">
        <v>0</v>
      </c>
      <c r="C491" s="7">
        <v>7.1249999999999994E-2</v>
      </c>
      <c r="D491" s="7">
        <v>0.63049999999999995</v>
      </c>
      <c r="E491" s="7">
        <f>aktuelleAnleihen[[#This Row],[Aktueller Kurs]]-aktuelleAnleihen[[#This Row],[Kaufkurs]]</f>
        <v>5.369999999999997E-2</v>
      </c>
      <c r="F491" s="8">
        <f>aktuelleAnleihen[[#This Row],[Stückelung]]*aktuelleAnleihen[[#This Row],[Aktueller Kurs]]*aktuelleAnleihen[[#This Row],[Anteile]]/aktuelleAnleihen[[#This Row],[Aktueller Wechselkurs]]+aktuelleAnleihen[[#This Row],[Stückzinsen]]</f>
        <v>1387.4931506849316</v>
      </c>
      <c r="G491" s="8">
        <f>aktuelleAnleihen[[#This Row],[Kursdifferenz]]*aktuelleAnleihen[[#This Row],[Anteile]]*aktuelleAnleihen[[#This Row],[Stückelung]]/aktuelleAnleihen[[#This Row],[Wechselkurs am Kauftag]]</f>
        <v>107.39999999999993</v>
      </c>
      <c r="H491" s="8">
        <f>aktuelleAnleihen[[#This Row],[Stückzinsen]]-aktuelleAnleihen[[#This Row],[Stückzinsen am Kauftag]]+aktuelleAnleihen[[#This Row],[Zinszahlungen]]</f>
        <v>25.376750684931508</v>
      </c>
      <c r="I491" s="8">
        <f>aktuelleAnleihen[[#This Row],[Gewinn gesamt]]-aktuelleAnleihen[[#This Row],[Gewinn aus Kursänderung]]-aktuelleAnleihen[[#This Row],[Gewinn aus Zinsen]]</f>
        <v>1.4210854715202004E-13</v>
      </c>
      <c r="J491" s="7">
        <f>aktuelleAnleihen[[#This Row],[Gewinn gesamt]]/aktuelleAnleihen[[#This Row],[Kaufpreis]]</f>
        <v>0.10582212098680752</v>
      </c>
      <c r="K491" s="3">
        <f>aktuelleAnleihen[[#This Row],[Verkaufspreis]]-aktuelleAnleihen[[#This Row],[Kaufpreis]]+aktuelleAnleihen[[#This Row],[Zinszahlungen]]</f>
        <v>132.77675068493159</v>
      </c>
      <c r="L491" s="4">
        <v>1254.7164</v>
      </c>
      <c r="M491" s="7">
        <v>0.57679999999999998</v>
      </c>
      <c r="N491" s="61">
        <v>1</v>
      </c>
      <c r="O491" s="1">
        <v>1</v>
      </c>
      <c r="P491" s="1" t="s">
        <v>925</v>
      </c>
      <c r="Q491" s="30">
        <v>45385</v>
      </c>
      <c r="R491" s="1">
        <v>2</v>
      </c>
      <c r="S491" s="1">
        <v>1000</v>
      </c>
      <c r="T491" s="9">
        <v>45126</v>
      </c>
      <c r="U491" s="1">
        <v>1</v>
      </c>
      <c r="V491" s="62">
        <f>aktuelleAnleihen[[#This Row],[Stückelung]]*aktuelleAnleihen[[#This Row],[Anteile]]*aktuelleAnleihen[[#This Row],[Coupon]]/aktuelleAnleihen[[#This Row],[Aktueller Wechselkurs]]*($AC$1-aktuelleAnleihen[[#This Row],[Letzte Zinszahlung]])/365</f>
        <v>126.49315068493151</v>
      </c>
      <c r="W491" s="4">
        <v>101.1164</v>
      </c>
      <c r="X491" s="120" t="s">
        <v>65</v>
      </c>
      <c r="Y491" s="120" t="s">
        <v>52</v>
      </c>
      <c r="Z491" s="1" t="s">
        <v>626</v>
      </c>
      <c r="AA491" s="1" t="s">
        <v>627</v>
      </c>
      <c r="AB491" s="3">
        <f>SUMIF('Zinszahlungen Anleihen'!K:K,aktuelleAnleihen[[#This Row],[ISIN]],'Zinszahlungen Anleihen'!D:D)</f>
        <v>0</v>
      </c>
      <c r="AE491" s="9"/>
      <c r="AF491" s="1"/>
      <c r="AI491" s="3"/>
      <c r="AJ491" s="1"/>
      <c r="AM491" s="10"/>
      <c r="AN491" s="1"/>
      <c r="AP491" s="7"/>
      <c r="AQ491" s="1"/>
    </row>
    <row r="492" spans="1:43" x14ac:dyDescent="0.2">
      <c r="A492" s="1" t="s">
        <v>1269</v>
      </c>
      <c r="B492" s="1" t="s">
        <v>6</v>
      </c>
      <c r="C492" s="7">
        <v>8.5000000000000006E-2</v>
      </c>
      <c r="D492" s="7">
        <v>0.6765000000000001</v>
      </c>
      <c r="E492" s="7">
        <f>aktuelleAnleihen[[#This Row],[Aktueller Kurs]]-aktuelleAnleihen[[#This Row],[Kaufkurs]]</f>
        <v>5.8000000000000052E-2</v>
      </c>
      <c r="F492" s="8">
        <f>aktuelleAnleihen[[#This Row],[Stückelung]]*aktuelleAnleihen[[#This Row],[Aktueller Kurs]]*aktuelleAnleihen[[#This Row],[Anteile]]/aktuelleAnleihen[[#This Row],[Aktueller Wechselkurs]]+aktuelleAnleihen[[#This Row],[Stückzinsen]]</f>
        <v>1297.0493419852767</v>
      </c>
      <c r="G492" s="8">
        <f>aktuelleAnleihen[[#This Row],[Kursdifferenz]]*aktuelleAnleihen[[#This Row],[Anteile]]*aktuelleAnleihen[[#This Row],[Stückelung]]/aktuelleAnleihen[[#This Row],[Wechselkurs am Kauftag]]</f>
        <v>108.17868133917756</v>
      </c>
      <c r="H492" s="8">
        <f>aktuelleAnleihen[[#This Row],[Stückzinsen]]-aktuelleAnleihen[[#This Row],[Stückzinsen am Kauftag]]+aktuelleAnleihen[[#This Row],[Zinszahlungen]]</f>
        <v>15.647677629386081</v>
      </c>
      <c r="I492" s="8">
        <f>aktuelleAnleihen[[#This Row],[Gewinn gesamt]]-aktuelleAnleihen[[#This Row],[Gewinn aus Kursänderung]]-aktuelleAnleihen[[#This Row],[Gewinn aus Zinsen]]</f>
        <v>-19.463616983286968</v>
      </c>
      <c r="J492" s="7">
        <f>aktuelleAnleihen[[#This Row],[Gewinn gesamt]]/aktuelleAnleihen[[#This Row],[Kaufpreis]]</f>
        <v>8.7502234019629865E-2</v>
      </c>
      <c r="K492" s="3">
        <f>aktuelleAnleihen[[#This Row],[Verkaufspreis]]-aktuelleAnleihen[[#This Row],[Kaufpreis]]+aktuelleAnleihen[[#This Row],[Zinszahlungen]]</f>
        <v>104.36274198527667</v>
      </c>
      <c r="L492" s="4">
        <v>1192.6866</v>
      </c>
      <c r="M492" s="7">
        <v>0.61850000000000005</v>
      </c>
      <c r="N492" s="61">
        <v>1.0723</v>
      </c>
      <c r="O492" s="1">
        <v>1.0891</v>
      </c>
      <c r="P492" s="1" t="s">
        <v>887</v>
      </c>
      <c r="Q492" s="30">
        <v>45412</v>
      </c>
      <c r="R492" s="1">
        <v>2</v>
      </c>
      <c r="S492" s="1">
        <v>1000</v>
      </c>
      <c r="T492" s="9">
        <v>45322</v>
      </c>
      <c r="U492" s="1">
        <v>2</v>
      </c>
      <c r="V492" s="62">
        <f>aktuelleAnleihen[[#This Row],[Stückelung]]*aktuelleAnleihen[[#This Row],[Anteile]]*aktuelleAnleihen[[#This Row],[Coupon]]/aktuelleAnleihen[[#This Row],[Aktueller Wechselkurs]]*($AC$1-aktuelleAnleihen[[#This Row],[Letzte Zinszahlung]])/365</f>
        <v>54.739177629386084</v>
      </c>
      <c r="W492" s="4">
        <v>39.091500000000003</v>
      </c>
      <c r="X492" s="120" t="s">
        <v>276</v>
      </c>
      <c r="Y492" s="120" t="s">
        <v>39</v>
      </c>
      <c r="Z492" s="1" t="s">
        <v>1466</v>
      </c>
      <c r="AA492" s="1" t="s">
        <v>1467</v>
      </c>
      <c r="AB492" s="3">
        <f>SUMIF('Zinszahlungen Anleihen'!K:K,aktuelleAnleihen[[#This Row],[ISIN]],'Zinszahlungen Anleihen'!D:D)</f>
        <v>0</v>
      </c>
      <c r="AE492" s="9"/>
      <c r="AF492" s="1"/>
      <c r="AI492" s="3"/>
      <c r="AJ492" s="1"/>
      <c r="AM492" s="10"/>
      <c r="AN492" s="1"/>
      <c r="AP492" s="7"/>
      <c r="AQ492" s="1"/>
    </row>
    <row r="493" spans="1:43" x14ac:dyDescent="0.2">
      <c r="A493" s="1" t="s">
        <v>1735</v>
      </c>
      <c r="B493" s="1" t="s">
        <v>10</v>
      </c>
      <c r="C493" s="7">
        <v>0.08</v>
      </c>
      <c r="D493" s="7">
        <v>1.01475</v>
      </c>
      <c r="E493" s="7">
        <f>aktuelleAnleihen[[#This Row],[Aktueller Kurs]]-aktuelleAnleihen[[#This Row],[Kaufkurs]]</f>
        <v>5.875000000000008E-2</v>
      </c>
      <c r="F493" s="8">
        <f>aktuelleAnleihen[[#This Row],[Stückelung]]*aktuelleAnleihen[[#This Row],[Aktueller Kurs]]*aktuelleAnleihen[[#This Row],[Anteile]]/aktuelleAnleihen[[#This Row],[Aktueller Wechselkurs]]+aktuelleAnleihen[[#This Row],[Stückzinsen]]</f>
        <v>1872.7226074564521</v>
      </c>
      <c r="G493" s="8">
        <f>aktuelleAnleihen[[#This Row],[Kursdifferenz]]*aktuelleAnleihen[[#This Row],[Anteile]]*aktuelleAnleihen[[#This Row],[Stückelung]]/aktuelleAnleihen[[#This Row],[Wechselkurs am Kauftag]]</f>
        <v>109.57754359787387</v>
      </c>
      <c r="H493" s="8">
        <f>aktuelleAnleihen[[#This Row],[Stückzinsen]]-aktuelleAnleihen[[#This Row],[Stückzinsen am Kauftag]]+aktuelleAnleihen[[#This Row],[Zinszahlungen]]</f>
        <v>14.945420162701822</v>
      </c>
      <c r="I493" s="8">
        <f>aktuelleAnleihen[[#This Row],[Gewinn gesamt]]-aktuelleAnleihen[[#This Row],[Gewinn aus Kursänderung]]-aktuelleAnleihen[[#This Row],[Gewinn aus Zinsen]]</f>
        <v>-29.195397064038431</v>
      </c>
      <c r="J493" s="7">
        <f>aktuelleAnleihen[[#This Row],[Gewinn gesamt]]/aktuelleAnleihen[[#This Row],[Kaufpreis]]</f>
        <v>5.1490764939893553E-2</v>
      </c>
      <c r="K493" s="3">
        <f>aktuelleAnleihen[[#This Row],[Verkaufspreis]]-aktuelleAnleihen[[#This Row],[Kaufpreis]]+aktuelleAnleihen[[#This Row],[Zinszahlungen]]</f>
        <v>95.327566696537261</v>
      </c>
      <c r="L493" s="4">
        <v>1851.3526999999999</v>
      </c>
      <c r="M493" s="7">
        <v>0.95599999999999996</v>
      </c>
      <c r="N493" s="61">
        <v>1.0723</v>
      </c>
      <c r="O493" s="1">
        <v>1.0891</v>
      </c>
      <c r="P493" s="1" t="s">
        <v>887</v>
      </c>
      <c r="Q493" s="30">
        <v>45412</v>
      </c>
      <c r="R493" s="1">
        <v>2</v>
      </c>
      <c r="S493" s="1">
        <v>1000</v>
      </c>
      <c r="T493" s="9">
        <v>45427</v>
      </c>
      <c r="U493" s="1">
        <v>2</v>
      </c>
      <c r="V493" s="62">
        <f>aktuelleAnleihen[[#This Row],[Stückelung]]*aktuelleAnleihen[[#This Row],[Anteile]]*aktuelleAnleihen[[#This Row],[Coupon]]/aktuelleAnleihen[[#This Row],[Aktueller Wechselkurs]]*($AC$1-aktuelleAnleihen[[#This Row],[Letzte Zinszahlung]])/365</f>
        <v>9.2573609226167655</v>
      </c>
      <c r="W493" s="4">
        <v>68.269599999999997</v>
      </c>
      <c r="X493" s="120" t="s">
        <v>276</v>
      </c>
      <c r="Y493" s="120" t="s">
        <v>39</v>
      </c>
      <c r="Z493" s="1" t="s">
        <v>1736</v>
      </c>
      <c r="AA493" s="1" t="s">
        <v>1737</v>
      </c>
      <c r="AB493" s="3">
        <f>SUMIF('Zinszahlungen Anleihen'!K:K,aktuelleAnleihen[[#This Row],[ISIN]],'Zinszahlungen Anleihen'!D:D)</f>
        <v>73.95765924008505</v>
      </c>
      <c r="AE493" s="9"/>
      <c r="AF493" s="1"/>
      <c r="AI493" s="3"/>
      <c r="AJ493" s="1"/>
      <c r="AM493" s="10"/>
      <c r="AN493" s="1"/>
      <c r="AP493" s="7"/>
      <c r="AQ493" s="1"/>
    </row>
    <row r="494" spans="1:43" x14ac:dyDescent="0.2">
      <c r="A494" s="1" t="s">
        <v>757</v>
      </c>
      <c r="B494" s="1" t="s">
        <v>2</v>
      </c>
      <c r="C494" s="7">
        <v>6.5000000000000002E-2</v>
      </c>
      <c r="D494" s="7">
        <v>0.55411999999999995</v>
      </c>
      <c r="E494" s="7">
        <f>aktuelleAnleihen[[#This Row],[Aktueller Kurs]]-aktuelleAnleihen[[#This Row],[Kaufkurs]]</f>
        <v>5.6219999999999937E-2</v>
      </c>
      <c r="F494" s="8">
        <f>aktuelleAnleihen[[#This Row],[Stückelung]]*aktuelleAnleihen[[#This Row],[Aktueller Kurs]]*aktuelleAnleihen[[#This Row],[Anteile]]/aktuelleAnleihen[[#This Row],[Aktueller Wechselkurs]]+aktuelleAnleihen[[#This Row],[Stückzinsen]]</f>
        <v>1143.1441095890409</v>
      </c>
      <c r="G494" s="8">
        <f>aktuelleAnleihen[[#This Row],[Kursdifferenz]]*aktuelleAnleihen[[#This Row],[Anteile]]*aktuelleAnleihen[[#This Row],[Stückelung]]/aktuelleAnleihen[[#This Row],[Wechselkurs am Kauftag]]</f>
        <v>112.43999999999987</v>
      </c>
      <c r="H494" s="8">
        <f>aktuelleAnleihen[[#This Row],[Stückzinsen]]-aktuelleAnleihen[[#This Row],[Stückzinsen am Kauftag]]+aktuelleAnleihen[[#This Row],[Zinszahlungen]]</f>
        <v>23.150709589041099</v>
      </c>
      <c r="I494" s="8">
        <f>aktuelleAnleihen[[#This Row],[Gewinn gesamt]]-aktuelleAnleihen[[#This Row],[Gewinn aus Kursänderung]]-aktuelleAnleihen[[#This Row],[Gewinn aus Zinsen]]</f>
        <v>-7.1054273576010019E-14</v>
      </c>
      <c r="J494" s="7">
        <f>aktuelleAnleihen[[#This Row],[Gewinn gesamt]]/aktuelleAnleihen[[#This Row],[Kaufpreis]]</f>
        <v>0.13457421670061448</v>
      </c>
      <c r="K494" s="3">
        <f>aktuelleAnleihen[[#This Row],[Verkaufspreis]]-aktuelleAnleihen[[#This Row],[Kaufpreis]]+aktuelleAnleihen[[#This Row],[Zinszahlungen]]</f>
        <v>135.5907095890409</v>
      </c>
      <c r="L494" s="4">
        <v>1007.5534</v>
      </c>
      <c r="M494" s="7">
        <v>0.49790000000000001</v>
      </c>
      <c r="N494" s="61">
        <v>1</v>
      </c>
      <c r="O494" s="1">
        <v>1</v>
      </c>
      <c r="P494" s="1" t="s">
        <v>925</v>
      </c>
      <c r="Q494" s="30">
        <v>45385</v>
      </c>
      <c r="R494" s="1">
        <v>2</v>
      </c>
      <c r="S494" s="1">
        <v>1000</v>
      </c>
      <c r="T494" s="9">
        <v>45352</v>
      </c>
      <c r="U494" s="1">
        <v>2</v>
      </c>
      <c r="V494" s="62">
        <f>aktuelleAnleihen[[#This Row],[Stückelung]]*aktuelleAnleihen[[#This Row],[Anteile]]*aktuelleAnleihen[[#This Row],[Coupon]]/aktuelleAnleihen[[#This Row],[Aktueller Wechselkurs]]*($AC$1-aktuelleAnleihen[[#This Row],[Letzte Zinszahlung]])/365</f>
        <v>34.904109589041099</v>
      </c>
      <c r="W494" s="4">
        <v>11.753399999999999</v>
      </c>
      <c r="X494" s="120" t="s">
        <v>35</v>
      </c>
      <c r="Y494" s="120" t="s">
        <v>52</v>
      </c>
      <c r="Z494" s="1" t="s">
        <v>758</v>
      </c>
      <c r="AA494" s="1" t="s">
        <v>759</v>
      </c>
      <c r="AB494" s="3">
        <f>SUMIF('Zinszahlungen Anleihen'!K:K,aktuelleAnleihen[[#This Row],[ISIN]],'Zinszahlungen Anleihen'!D:D)</f>
        <v>0</v>
      </c>
      <c r="AE494" s="9"/>
      <c r="AF494" s="1"/>
      <c r="AI494" s="3"/>
      <c r="AJ494" s="1"/>
      <c r="AM494" s="10"/>
      <c r="AN494" s="1"/>
      <c r="AP494" s="7"/>
      <c r="AQ494" s="1"/>
    </row>
    <row r="495" spans="1:43" x14ac:dyDescent="0.2">
      <c r="A495" s="1" t="s">
        <v>987</v>
      </c>
      <c r="B495" s="1" t="s">
        <v>2</v>
      </c>
      <c r="C495" s="7">
        <v>0.13875000000000001</v>
      </c>
      <c r="D495" s="7">
        <v>0.94479999999999997</v>
      </c>
      <c r="E495" s="7">
        <f>aktuelleAnleihen[[#This Row],[Aktueller Kurs]]-aktuelleAnleihen[[#This Row],[Kaufkurs]]</f>
        <v>6.1799999999999966E-2</v>
      </c>
      <c r="F495" s="8">
        <f>aktuelleAnleihen[[#This Row],[Stückelung]]*aktuelleAnleihen[[#This Row],[Aktueller Kurs]]*aktuelleAnleihen[[#This Row],[Anteile]]/aktuelleAnleihen[[#This Row],[Aktueller Wechselkurs]]+aktuelleAnleihen[[#This Row],[Stückzinsen]]</f>
        <v>1818.0815377281481</v>
      </c>
      <c r="G495" s="8">
        <f>aktuelleAnleihen[[#This Row],[Kursdifferenz]]*aktuelleAnleihen[[#This Row],[Anteile]]*aktuelleAnleihen[[#This Row],[Stückelung]]/aktuelleAnleihen[[#This Row],[Wechselkurs am Kauftag]]</f>
        <v>115.2662501165718</v>
      </c>
      <c r="H495" s="8">
        <f>aktuelleAnleihen[[#This Row],[Stückzinsen]]-aktuelleAnleihen[[#This Row],[Stückzinsen am Kauftag]]+aktuelleAnleihen[[#This Row],[Zinszahlungen]]</f>
        <v>25.640978550845681</v>
      </c>
      <c r="I495" s="8">
        <f>aktuelleAnleihen[[#This Row],[Gewinn gesamt]]-aktuelleAnleihen[[#This Row],[Gewinn aus Kursänderung]]-aktuelleAnleihen[[#This Row],[Gewinn aus Zinsen]]</f>
        <v>-27.182890939269321</v>
      </c>
      <c r="J495" s="7">
        <f>aktuelleAnleihen[[#This Row],[Gewinn gesamt]]/aktuelleAnleihen[[#This Row],[Kaufpreis]]</f>
        <v>6.6725647492291026E-2</v>
      </c>
      <c r="K495" s="3">
        <f>aktuelleAnleihen[[#This Row],[Verkaufspreis]]-aktuelleAnleihen[[#This Row],[Kaufpreis]]+aktuelleAnleihen[[#This Row],[Zinszahlungen]]</f>
        <v>113.72433772814816</v>
      </c>
      <c r="L495" s="4">
        <v>1704.3571999999999</v>
      </c>
      <c r="M495" s="7">
        <v>0.88300000000000001</v>
      </c>
      <c r="N495" s="61">
        <v>1.0723</v>
      </c>
      <c r="O495" s="1">
        <v>1.0891</v>
      </c>
      <c r="P495" s="1" t="s">
        <v>887</v>
      </c>
      <c r="Q495" s="30">
        <v>45412</v>
      </c>
      <c r="R495" s="1">
        <v>2</v>
      </c>
      <c r="S495" s="1">
        <v>1000</v>
      </c>
      <c r="T495" s="9">
        <v>45331</v>
      </c>
      <c r="U495" s="1">
        <v>2</v>
      </c>
      <c r="V495" s="62">
        <f>aktuelleAnleihen[[#This Row],[Stückelung]]*aktuelleAnleihen[[#This Row],[Anteile]]*aktuelleAnleihen[[#This Row],[Coupon]]/aktuelleAnleihen[[#This Row],[Aktueller Wechselkurs]]*($AC$1-aktuelleAnleihen[[#This Row],[Letzte Zinszahlung]])/365</f>
        <v>83.07097855084568</v>
      </c>
      <c r="W495" s="4">
        <v>57.43</v>
      </c>
      <c r="X495" s="120" t="s">
        <v>65</v>
      </c>
      <c r="Y495" s="120" t="s">
        <v>57</v>
      </c>
      <c r="Z495" s="1" t="s">
        <v>988</v>
      </c>
      <c r="AA495" s="1" t="s">
        <v>989</v>
      </c>
      <c r="AB495" s="3">
        <f>SUMIF('Zinszahlungen Anleihen'!K:K,aktuelleAnleihen[[#This Row],[ISIN]],'Zinszahlungen Anleihen'!D:D)</f>
        <v>0</v>
      </c>
      <c r="AE495" s="9"/>
      <c r="AF495" s="1"/>
      <c r="AI495" s="3"/>
      <c r="AJ495" s="1"/>
      <c r="AM495" s="10"/>
      <c r="AN495" s="1"/>
      <c r="AP495" s="7"/>
      <c r="AQ495" s="1"/>
    </row>
    <row r="496" spans="1:43" x14ac:dyDescent="0.2">
      <c r="A496" s="1" t="s">
        <v>511</v>
      </c>
      <c r="B496" s="1" t="s">
        <v>2</v>
      </c>
      <c r="C496" s="7">
        <v>7.7499999999999999E-2</v>
      </c>
      <c r="D496" s="7">
        <v>0.56000000000000005</v>
      </c>
      <c r="E496" s="7">
        <f>aktuelleAnleihen[[#This Row],[Aktueller Kurs]]-aktuelleAnleihen[[#This Row],[Kaufkurs]]</f>
        <v>6.0000000000000053E-2</v>
      </c>
      <c r="F496" s="8">
        <f>aktuelleAnleihen[[#This Row],[Stückelung]]*aktuelleAnleihen[[#This Row],[Aktueller Kurs]]*aktuelleAnleihen[[#This Row],[Anteile]]/aktuelleAnleihen[[#This Row],[Aktueller Wechselkurs]]+aktuelleAnleihen[[#This Row],[Stückzinsen]]</f>
        <v>1213</v>
      </c>
      <c r="G496" s="8">
        <f>aktuelleAnleihen[[#This Row],[Kursdifferenz]]*aktuelleAnleihen[[#This Row],[Anteile]]*aktuelleAnleihen[[#This Row],[Stückelung]]/aktuelleAnleihen[[#This Row],[Wechselkurs am Kauftag]]</f>
        <v>120.00000000000011</v>
      </c>
      <c r="H496" s="8">
        <f>aktuelleAnleihen[[#This Row],[Stückzinsen]]-aktuelleAnleihen[[#This Row],[Stückzinsen am Kauftag]]+aktuelleAnleihen[[#This Row],[Zinszahlungen]]</f>
        <v>27.602699999999999</v>
      </c>
      <c r="I496" s="8">
        <f>aktuelleAnleihen[[#This Row],[Gewinn gesamt]]-aktuelleAnleihen[[#This Row],[Gewinn aus Kursänderung]]-aktuelleAnleihen[[#This Row],[Gewinn aus Zinsen]]</f>
        <v>-1.9895196601282805E-13</v>
      </c>
      <c r="J496" s="7">
        <f>aktuelleAnleihen[[#This Row],[Gewinn gesamt]]/aktuelleAnleihen[[#This Row],[Kaufpreis]]</f>
        <v>0.13854240103668358</v>
      </c>
      <c r="K496" s="3">
        <f>aktuelleAnleihen[[#This Row],[Verkaufspreis]]-aktuelleAnleihen[[#This Row],[Kaufpreis]]+aktuelleAnleihen[[#This Row],[Zinszahlungen]]</f>
        <v>147.60269999999991</v>
      </c>
      <c r="L496" s="4">
        <v>1065.3973000000001</v>
      </c>
      <c r="M496" s="7">
        <v>0.5</v>
      </c>
      <c r="N496" s="61">
        <v>1</v>
      </c>
      <c r="O496" s="1">
        <v>1</v>
      </c>
      <c r="P496" s="1" t="s">
        <v>925</v>
      </c>
      <c r="Q496" s="30">
        <v>45385</v>
      </c>
      <c r="R496" s="1">
        <v>2</v>
      </c>
      <c r="S496" s="1">
        <v>1000</v>
      </c>
      <c r="T496" s="9">
        <v>45231</v>
      </c>
      <c r="U496" s="1">
        <v>1</v>
      </c>
      <c r="V496" s="62">
        <f>aktuelleAnleihen[[#This Row],[Stückelung]]*aktuelleAnleihen[[#This Row],[Anteile]]*aktuelleAnleihen[[#This Row],[Coupon]]/aktuelleAnleihen[[#This Row],[Aktueller Wechselkurs]]*($AC$1-aktuelleAnleihen[[#This Row],[Letzte Zinszahlung]])/365</f>
        <v>93</v>
      </c>
      <c r="W496" s="4">
        <v>65.397300000000001</v>
      </c>
      <c r="X496" s="120" t="s">
        <v>56</v>
      </c>
      <c r="Y496" s="120" t="s">
        <v>52</v>
      </c>
      <c r="Z496" s="1" t="s">
        <v>512</v>
      </c>
      <c r="AA496" s="1" t="s">
        <v>513</v>
      </c>
      <c r="AB496" s="3">
        <f>SUMIF('Zinszahlungen Anleihen'!K:K,aktuelleAnleihen[[#This Row],[ISIN]],'Zinszahlungen Anleihen'!D:D)</f>
        <v>0</v>
      </c>
      <c r="AE496" s="9"/>
      <c r="AF496" s="1"/>
      <c r="AI496" s="3"/>
      <c r="AJ496" s="1"/>
      <c r="AM496" s="10"/>
      <c r="AN496" s="1"/>
      <c r="AP496" s="7"/>
      <c r="AQ496" s="1"/>
    </row>
    <row r="497" spans="1:43" x14ac:dyDescent="0.2">
      <c r="A497" s="1" t="s">
        <v>132</v>
      </c>
      <c r="B497" s="1" t="s">
        <v>2</v>
      </c>
      <c r="C497" s="7">
        <v>8.6919999999999997E-2</v>
      </c>
      <c r="D497" s="7">
        <v>0.81884000000000001</v>
      </c>
      <c r="E497" s="7">
        <f>aktuelleAnleihen[[#This Row],[Aktueller Kurs]]-aktuelleAnleihen[[#This Row],[Kaufkurs]]</f>
        <v>6.0040000000000981E-2</v>
      </c>
      <c r="F497" s="8">
        <f>aktuelleAnleihen[[#This Row],[Stückelung]]*aktuelleAnleihen[[#This Row],[Aktueller Kurs]]*aktuelleAnleihen[[#This Row],[Anteile]]/aktuelleAnleihen[[#This Row],[Aktueller Wechselkurs]]+aktuelleAnleihen[[#This Row],[Stückzinsen]]</f>
        <v>1662.9225205479452</v>
      </c>
      <c r="G497" s="8">
        <f>aktuelleAnleihen[[#This Row],[Kursdifferenz]]*aktuelleAnleihen[[#This Row],[Anteile]]*aktuelleAnleihen[[#This Row],[Stückelung]]/aktuelleAnleihen[[#This Row],[Wechselkurs am Kauftag]]</f>
        <v>120.08000000000196</v>
      </c>
      <c r="H497" s="8">
        <f>aktuelleAnleihen[[#This Row],[Stückzinsen]]-aktuelleAnleihen[[#This Row],[Stückzinsen am Kauftag]]+aktuelleAnleihen[[#This Row],[Zinszahlungen]]</f>
        <v>34.410820547945207</v>
      </c>
      <c r="I497" s="8">
        <f>aktuelleAnleihen[[#This Row],[Gewinn gesamt]]-aktuelleAnleihen[[#This Row],[Gewinn aus Kursänderung]]-aktuelleAnleihen[[#This Row],[Gewinn aus Zinsen]]</f>
        <v>-1.8900436771218665E-12</v>
      </c>
      <c r="J497" s="7">
        <f>aktuelleAnleihen[[#This Row],[Gewinn gesamt]]/aktuelleAnleihen[[#This Row],[Kaufpreis]]</f>
        <v>9.955000116821637E-2</v>
      </c>
      <c r="K497" s="3">
        <f>aktuelleAnleihen[[#This Row],[Verkaufspreis]]-aktuelleAnleihen[[#This Row],[Kaufpreis]]+aktuelleAnleihen[[#This Row],[Zinszahlungen]]</f>
        <v>154.49082054794528</v>
      </c>
      <c r="L497" s="4">
        <v>1551.8916999999999</v>
      </c>
      <c r="M497" s="7">
        <v>0.75879999999999903</v>
      </c>
      <c r="N497" s="61">
        <v>1</v>
      </c>
      <c r="O497" s="1">
        <v>1</v>
      </c>
      <c r="P497" s="1" t="s">
        <v>925</v>
      </c>
      <c r="Q497" s="30">
        <v>45378</v>
      </c>
      <c r="R497" s="1">
        <v>2</v>
      </c>
      <c r="S497" s="1">
        <v>1000</v>
      </c>
      <c r="T497" s="9">
        <v>45397</v>
      </c>
      <c r="U497" s="1">
        <v>4</v>
      </c>
      <c r="V497" s="62">
        <f>aktuelleAnleihen[[#This Row],[Stückelung]]*aktuelleAnleihen[[#This Row],[Anteile]]*aktuelleAnleihen[[#This Row],[Coupon]]/aktuelleAnleihen[[#This Row],[Aktueller Wechselkurs]]*($AC$1-aktuelleAnleihen[[#This Row],[Letzte Zinszahlung]])/365</f>
        <v>25.242520547945208</v>
      </c>
      <c r="W497" s="4">
        <v>34.291699999999999</v>
      </c>
      <c r="X497" s="120" t="s">
        <v>56</v>
      </c>
      <c r="Y497" s="120" t="s">
        <v>52</v>
      </c>
      <c r="Z497" s="1" t="s">
        <v>133</v>
      </c>
      <c r="AA497" s="1" t="s">
        <v>134</v>
      </c>
      <c r="AB497" s="3">
        <f>SUMIF('Zinszahlungen Anleihen'!K:K,aktuelleAnleihen[[#This Row],[ISIN]],'Zinszahlungen Anleihen'!D:D)</f>
        <v>43.46</v>
      </c>
      <c r="AE497" s="9"/>
      <c r="AF497" s="1"/>
      <c r="AI497" s="3"/>
      <c r="AJ497" s="1"/>
      <c r="AM497" s="10"/>
      <c r="AN497" s="1"/>
      <c r="AP497" s="7"/>
      <c r="AQ497" s="1"/>
    </row>
    <row r="498" spans="1:43" x14ac:dyDescent="0.2">
      <c r="A498" s="1" t="s">
        <v>483</v>
      </c>
      <c r="B498" s="1" t="s">
        <v>3</v>
      </c>
      <c r="C498" s="7">
        <v>7.9000000000000001E-2</v>
      </c>
      <c r="D498" s="7">
        <v>0.88500000000000001</v>
      </c>
      <c r="E498" s="7">
        <f>aktuelleAnleihen[[#This Row],[Aktueller Kurs]]-aktuelleAnleihen[[#This Row],[Kaufkurs]]</f>
        <v>6.1699999999999977E-2</v>
      </c>
      <c r="F498" s="8">
        <f>aktuelleAnleihen[[#This Row],[Stückelung]]*aktuelleAnleihen[[#This Row],[Aktueller Kurs]]*aktuelleAnleihen[[#This Row],[Anteile]]/aktuelleAnleihen[[#This Row],[Aktueller Wechselkurs]]+aktuelleAnleihen[[#This Row],[Stückzinsen]]</f>
        <v>1812.854794520548</v>
      </c>
      <c r="G498" s="8">
        <f>aktuelleAnleihen[[#This Row],[Kursdifferenz]]*aktuelleAnleihen[[#This Row],[Anteile]]*aktuelleAnleihen[[#This Row],[Stückelung]]/aktuelleAnleihen[[#This Row],[Wechselkurs am Kauftag]]</f>
        <v>123.39999999999995</v>
      </c>
      <c r="H498" s="8">
        <f>aktuelleAnleihen[[#This Row],[Stückzinsen]]-aktuelleAnleihen[[#This Row],[Stückzinsen am Kauftag]]+aktuelleAnleihen[[#This Row],[Zinszahlungen]]</f>
        <v>28.136994520547947</v>
      </c>
      <c r="I498" s="8">
        <f>aktuelleAnleihen[[#This Row],[Gewinn gesamt]]-aktuelleAnleihen[[#This Row],[Gewinn aus Kursänderung]]-aktuelleAnleihen[[#This Row],[Gewinn aus Zinsen]]</f>
        <v>8.1712414612411521E-14</v>
      </c>
      <c r="J498" s="7">
        <f>aktuelleAnleihen[[#This Row],[Gewinn gesamt]]/aktuelleAnleihen[[#This Row],[Kaufpreis]]</f>
        <v>9.121493462632374E-2</v>
      </c>
      <c r="K498" s="3">
        <f>aktuelleAnleihen[[#This Row],[Verkaufspreis]]-aktuelleAnleihen[[#This Row],[Kaufpreis]]+aktuelleAnleihen[[#This Row],[Zinszahlungen]]</f>
        <v>151.53699452054798</v>
      </c>
      <c r="L498" s="4">
        <v>1661.3178</v>
      </c>
      <c r="M498" s="7">
        <v>0.82330000000000003</v>
      </c>
      <c r="N498" s="61">
        <v>1</v>
      </c>
      <c r="O498" s="1">
        <v>1</v>
      </c>
      <c r="P498" s="1" t="s">
        <v>925</v>
      </c>
      <c r="Q498" s="30">
        <v>45385</v>
      </c>
      <c r="R498" s="1">
        <v>2000</v>
      </c>
      <c r="S498" s="1">
        <v>1</v>
      </c>
      <c r="T498" s="9">
        <v>45351</v>
      </c>
      <c r="U498" s="1">
        <v>2</v>
      </c>
      <c r="V498" s="62">
        <f>aktuelleAnleihen[[#This Row],[Stückelung]]*aktuelleAnleihen[[#This Row],[Anteile]]*aktuelleAnleihen[[#This Row],[Coupon]]/aktuelleAnleihen[[#This Row],[Aktueller Wechselkurs]]*($AC$1-aktuelleAnleihen[[#This Row],[Letzte Zinszahlung]])/365</f>
        <v>42.854794520547948</v>
      </c>
      <c r="W498" s="4">
        <v>14.7178</v>
      </c>
      <c r="X498" s="120" t="s">
        <v>35</v>
      </c>
      <c r="Y498" s="120" t="s">
        <v>61</v>
      </c>
      <c r="Z498" s="1" t="s">
        <v>484</v>
      </c>
      <c r="AA498" s="1" t="s">
        <v>485</v>
      </c>
      <c r="AB498" s="3">
        <f>SUMIF('Zinszahlungen Anleihen'!K:K,aktuelleAnleihen[[#This Row],[ISIN]],'Zinszahlungen Anleihen'!D:D)</f>
        <v>0</v>
      </c>
      <c r="AE498" s="9"/>
      <c r="AF498" s="1"/>
      <c r="AI498" s="3"/>
      <c r="AJ498" s="1"/>
      <c r="AM498" s="10"/>
      <c r="AN498" s="1"/>
      <c r="AP498" s="7"/>
      <c r="AQ498" s="1"/>
    </row>
    <row r="499" spans="1:43" x14ac:dyDescent="0.2">
      <c r="A499" s="1" t="s">
        <v>115</v>
      </c>
      <c r="B499" s="1" t="s">
        <v>0</v>
      </c>
      <c r="C499" s="7">
        <v>0.12875</v>
      </c>
      <c r="D499" s="7">
        <v>1.0018100000000001</v>
      </c>
      <c r="E499" s="7">
        <f>aktuelleAnleihen[[#This Row],[Aktueller Kurs]]-aktuelleAnleihen[[#This Row],[Kaufkurs]]</f>
        <v>6.2510000000000066E-2</v>
      </c>
      <c r="F499" s="8">
        <f>aktuelleAnleihen[[#This Row],[Stückelung]]*aktuelleAnleihen[[#This Row],[Aktueller Kurs]]*aktuelleAnleihen[[#This Row],[Anteile]]/aktuelleAnleihen[[#This Row],[Aktueller Wechselkurs]]+aktuelleAnleihen[[#This Row],[Stückzinsen]]</f>
        <v>2007.8528767123289</v>
      </c>
      <c r="G499" s="8">
        <f>aktuelleAnleihen[[#This Row],[Kursdifferenz]]*aktuelleAnleihen[[#This Row],[Anteile]]*aktuelleAnleihen[[#This Row],[Stückelung]]/aktuelleAnleihen[[#This Row],[Wechselkurs am Kauftag]]</f>
        <v>125.02000000000012</v>
      </c>
      <c r="H499" s="8">
        <f>aktuelleAnleihen[[#This Row],[Stückzinsen]]-aktuelleAnleihen[[#This Row],[Stückzinsen am Kauftag]]+aktuelleAnleihen[[#This Row],[Zinszahlungen]]</f>
        <v>50.265376712328766</v>
      </c>
      <c r="I499" s="8">
        <f>aktuelleAnleihen[[#This Row],[Gewinn gesamt]]-aktuelleAnleihen[[#This Row],[Gewinn aus Kursänderung]]-aktuelleAnleihen[[#This Row],[Gewinn aus Zinsen]]</f>
        <v>-9.2370555648813024E-14</v>
      </c>
      <c r="J499" s="7">
        <f>aktuelleAnleihen[[#This Row],[Gewinn gesamt]]/aktuelleAnleihen[[#This Row],[Kaufpreis]]</f>
        <v>9.2404159173158279E-2</v>
      </c>
      <c r="K499" s="3">
        <f>aktuelleAnleihen[[#This Row],[Verkaufspreis]]-aktuelleAnleihen[[#This Row],[Kaufpreis]]+aktuelleAnleihen[[#This Row],[Zinszahlungen]]</f>
        <v>175.2853767123288</v>
      </c>
      <c r="L499" s="4">
        <v>1896.9425000000001</v>
      </c>
      <c r="M499" s="7">
        <v>0.93930000000000002</v>
      </c>
      <c r="N499" s="61">
        <v>1</v>
      </c>
      <c r="O499" s="1">
        <v>1</v>
      </c>
      <c r="P499" s="1" t="s">
        <v>925</v>
      </c>
      <c r="Q499" s="30">
        <v>45378</v>
      </c>
      <c r="R499" s="1">
        <v>2</v>
      </c>
      <c r="S499" s="1">
        <v>1000</v>
      </c>
      <c r="T499" s="9">
        <v>45444</v>
      </c>
      <c r="U499" s="1">
        <v>4</v>
      </c>
      <c r="V499" s="62">
        <f>aktuelleAnleihen[[#This Row],[Stückelung]]*aktuelleAnleihen[[#This Row],[Anteile]]*aktuelleAnleihen[[#This Row],[Coupon]]/aktuelleAnleihen[[#This Row],[Aktueller Wechselkurs]]*($AC$1-aktuelleAnleihen[[#This Row],[Letzte Zinszahlung]])/365</f>
        <v>4.2328767123287667</v>
      </c>
      <c r="W499" s="4">
        <v>18.342500000000001</v>
      </c>
      <c r="X499" s="120" t="s">
        <v>116</v>
      </c>
      <c r="Y499" s="120" t="s">
        <v>61</v>
      </c>
      <c r="Z499" s="1" t="s">
        <v>117</v>
      </c>
      <c r="AA499" s="1" t="s">
        <v>118</v>
      </c>
      <c r="AB499" s="3">
        <f>SUMIF('Zinszahlungen Anleihen'!K:K,aktuelleAnleihen[[#This Row],[ISIN]],'Zinszahlungen Anleihen'!D:D)</f>
        <v>64.375</v>
      </c>
      <c r="AE499" s="9"/>
      <c r="AF499" s="1"/>
      <c r="AI499" s="3"/>
      <c r="AJ499" s="1"/>
      <c r="AM499" s="10"/>
      <c r="AN499" s="1"/>
      <c r="AP499" s="7"/>
      <c r="AQ499" s="1"/>
    </row>
    <row r="500" spans="1:43" x14ac:dyDescent="0.2">
      <c r="A500" s="1" t="s">
        <v>957</v>
      </c>
      <c r="B500" s="1" t="s">
        <v>9</v>
      </c>
      <c r="C500" s="7">
        <v>8.1509999999999999E-2</v>
      </c>
      <c r="D500" s="7">
        <v>0.32990000000000003</v>
      </c>
      <c r="E500" s="7">
        <f>aktuelleAnleihen[[#This Row],[Aktueller Kurs]]-aktuelleAnleihen[[#This Row],[Kaufkurs]]</f>
        <v>6.4900000000000013E-2</v>
      </c>
      <c r="F500" s="8">
        <f>aktuelleAnleihen[[#This Row],[Stückelung]]*aktuelleAnleihen[[#This Row],[Aktueller Kurs]]*aktuelleAnleihen[[#This Row],[Anteile]]/aktuelleAnleihen[[#This Row],[Aktueller Wechselkurs]]+aktuelleAnleihen[[#This Row],[Stückzinsen]]</f>
        <v>669.62586301369868</v>
      </c>
      <c r="G500" s="8">
        <f>aktuelleAnleihen[[#This Row],[Kursdifferenz]]*aktuelleAnleihen[[#This Row],[Anteile]]*aktuelleAnleihen[[#This Row],[Stückelung]]/aktuelleAnleihen[[#This Row],[Wechselkurs am Kauftag]]</f>
        <v>129.80000000000004</v>
      </c>
      <c r="H500" s="8">
        <f>aktuelleAnleihen[[#This Row],[Stückzinsen]]-aktuelleAnleihen[[#This Row],[Stückzinsen am Kauftag]]+aktuelleAnleihen[[#This Row],[Zinszahlungen]]</f>
        <v>20.210063013698633</v>
      </c>
      <c r="I500" s="8">
        <f>aktuelleAnleihen[[#This Row],[Gewinn gesamt]]-aktuelleAnleihen[[#This Row],[Gewinn aus Kursänderung]]-aktuelleAnleihen[[#This Row],[Gewinn aus Zinsen]]</f>
        <v>-3.1974423109204508E-14</v>
      </c>
      <c r="J500" s="7">
        <f>aktuelleAnleihen[[#This Row],[Gewinn gesamt]]/aktuelleAnleihen[[#This Row],[Kaufpreis]]</f>
        <v>0.26769785829971626</v>
      </c>
      <c r="K500" s="3">
        <f>aktuelleAnleihen[[#This Row],[Verkaufspreis]]-aktuelleAnleihen[[#This Row],[Kaufpreis]]+aktuelleAnleihen[[#This Row],[Zinszahlungen]]</f>
        <v>150.01006301369864</v>
      </c>
      <c r="L500" s="4">
        <v>560.37080000000003</v>
      </c>
      <c r="M500" s="7">
        <v>0.26500000000000001</v>
      </c>
      <c r="N500" s="61">
        <v>1</v>
      </c>
      <c r="O500" s="1">
        <v>1</v>
      </c>
      <c r="P500" s="1" t="s">
        <v>925</v>
      </c>
      <c r="Q500" s="30">
        <v>45406</v>
      </c>
      <c r="R500" s="1">
        <v>2</v>
      </c>
      <c r="S500" s="1">
        <v>1000</v>
      </c>
      <c r="T500" s="9">
        <v>45428</v>
      </c>
      <c r="U500" s="1">
        <v>4</v>
      </c>
      <c r="V500" s="62">
        <f>aktuelleAnleihen[[#This Row],[Stückelung]]*aktuelleAnleihen[[#This Row],[Anteile]]*aktuelleAnleihen[[#This Row],[Coupon]]/aktuelleAnleihen[[#This Row],[Aktueller Wechselkurs]]*($AC$1-aktuelleAnleihen[[#This Row],[Letzte Zinszahlung]])/365</f>
        <v>9.8258630136986298</v>
      </c>
      <c r="W500" s="4">
        <v>30.370799999999999</v>
      </c>
      <c r="X500" s="120" t="s">
        <v>284</v>
      </c>
      <c r="Y500" s="120" t="s">
        <v>216</v>
      </c>
      <c r="Z500" s="1" t="s">
        <v>958</v>
      </c>
      <c r="AA500" s="1" t="s">
        <v>959</v>
      </c>
      <c r="AB500" s="3">
        <f>SUMIF('Zinszahlungen Anleihen'!K:K,aktuelleAnleihen[[#This Row],[ISIN]],'Zinszahlungen Anleihen'!D:D)</f>
        <v>40.755000000000003</v>
      </c>
      <c r="AE500" s="9"/>
      <c r="AF500" s="1"/>
      <c r="AI500" s="3"/>
      <c r="AJ500" s="1"/>
      <c r="AM500" s="10"/>
      <c r="AN500" s="1"/>
      <c r="AP500" s="7"/>
      <c r="AQ500" s="1"/>
    </row>
    <row r="501" spans="1:43" x14ac:dyDescent="0.2">
      <c r="A501" s="1" t="s">
        <v>739</v>
      </c>
      <c r="B501" s="1" t="s">
        <v>4</v>
      </c>
      <c r="C501" s="7">
        <v>6.5000000000000002E-2</v>
      </c>
      <c r="D501" s="7">
        <v>0.998</v>
      </c>
      <c r="E501" s="7">
        <f>aktuelleAnleihen[[#This Row],[Aktueller Kurs]]-aktuelleAnleihen[[#This Row],[Kaufkurs]]</f>
        <v>6.7999999999999949E-2</v>
      </c>
      <c r="F501" s="8">
        <f>aktuelleAnleihen[[#This Row],[Stückelung]]*aktuelleAnleihen[[#This Row],[Aktueller Kurs]]*aktuelleAnleihen[[#This Row],[Anteile]]/aktuelleAnleihen[[#This Row],[Aktueller Wechselkurs]]+aktuelleAnleihen[[#This Row],[Stückzinsen]]</f>
        <v>2060.4657534246576</v>
      </c>
      <c r="G501" s="8">
        <f>aktuelleAnleihen[[#This Row],[Kursdifferenz]]*aktuelleAnleihen[[#This Row],[Anteile]]*aktuelleAnleihen[[#This Row],[Stückelung]]/aktuelleAnleihen[[#This Row],[Wechselkurs am Kauftag]]</f>
        <v>135.99999999999989</v>
      </c>
      <c r="H501" s="8">
        <f>aktuelleAnleihen[[#This Row],[Stückzinsen]]-aktuelleAnleihen[[#This Row],[Stückzinsen am Kauftag]]+aktuelleAnleihen[[#This Row],[Zinszahlungen]]</f>
        <v>23.150653424657534</v>
      </c>
      <c r="I501" s="8">
        <f>aktuelleAnleihen[[#This Row],[Gewinn gesamt]]-aktuelleAnleihen[[#This Row],[Gewinn aus Kursänderung]]-aktuelleAnleihen[[#This Row],[Gewinn aus Zinsen]]</f>
        <v>1.2789769243681803E-13</v>
      </c>
      <c r="J501" s="7">
        <f>aktuelleAnleihen[[#This Row],[Gewinn gesamt]]/aktuelleAnleihen[[#This Row],[Kaufpreis]]</f>
        <v>8.3705564335263286E-2</v>
      </c>
      <c r="K501" s="3">
        <f>aktuelleAnleihen[[#This Row],[Verkaufspreis]]-aktuelleAnleihen[[#This Row],[Kaufpreis]]+aktuelleAnleihen[[#This Row],[Zinszahlungen]]</f>
        <v>159.15065342465755</v>
      </c>
      <c r="L501" s="4">
        <v>1901.3151</v>
      </c>
      <c r="M501" s="7">
        <v>0.93</v>
      </c>
      <c r="N501" s="61">
        <v>1</v>
      </c>
      <c r="O501" s="1">
        <v>1</v>
      </c>
      <c r="P501" s="1" t="s">
        <v>925</v>
      </c>
      <c r="Q501" s="30">
        <v>45385</v>
      </c>
      <c r="R501" s="1">
        <v>2</v>
      </c>
      <c r="S501" s="1">
        <v>1000</v>
      </c>
      <c r="T501" s="9">
        <v>45269</v>
      </c>
      <c r="U501" s="1">
        <v>2</v>
      </c>
      <c r="V501" s="62">
        <f>aktuelleAnleihen[[#This Row],[Stückelung]]*aktuelleAnleihen[[#This Row],[Anteile]]*aktuelleAnleihen[[#This Row],[Coupon]]/aktuelleAnleihen[[#This Row],[Aktueller Wechselkurs]]*($AC$1-aktuelleAnleihen[[#This Row],[Letzte Zinszahlung]])/365</f>
        <v>64.465753424657535</v>
      </c>
      <c r="W501" s="4">
        <v>41.315100000000001</v>
      </c>
      <c r="X501" s="120" t="s">
        <v>56</v>
      </c>
      <c r="Y501" s="120" t="s">
        <v>81</v>
      </c>
      <c r="Z501" s="1" t="s">
        <v>740</v>
      </c>
      <c r="AA501" s="1" t="s">
        <v>741</v>
      </c>
      <c r="AB501" s="3">
        <f>SUMIF('Zinszahlungen Anleihen'!K:K,aktuelleAnleihen[[#This Row],[ISIN]],'Zinszahlungen Anleihen'!D:D)</f>
        <v>0</v>
      </c>
      <c r="AE501" s="9"/>
      <c r="AF501" s="1"/>
      <c r="AI501" s="3"/>
      <c r="AJ501" s="1"/>
      <c r="AM501" s="10"/>
      <c r="AN501" s="1"/>
      <c r="AP501" s="7"/>
      <c r="AQ501" s="1"/>
    </row>
    <row r="502" spans="1:43" x14ac:dyDescent="0.2">
      <c r="A502" s="1" t="s">
        <v>1852</v>
      </c>
      <c r="B502" s="1" t="s">
        <v>5</v>
      </c>
      <c r="C502" s="7">
        <v>7.7499999999999999E-2</v>
      </c>
      <c r="D502" s="7">
        <v>0.95840000000000003</v>
      </c>
      <c r="E502" s="7">
        <f>aktuelleAnleihen[[#This Row],[Aktueller Kurs]]-aktuelleAnleihen[[#This Row],[Kaufkurs]]</f>
        <v>6.8100000000000049E-2</v>
      </c>
      <c r="F502" s="8">
        <f>aktuelleAnleihen[[#This Row],[Stückelung]]*aktuelleAnleihen[[#This Row],[Aktueller Kurs]]*aktuelleAnleihen[[#This Row],[Anteile]]/aktuelleAnleihen[[#This Row],[Aktueller Wechselkurs]]+aktuelleAnleihen[[#This Row],[Stückzinsen]]</f>
        <v>1939.3068493150683</v>
      </c>
      <c r="G502" s="8">
        <f>aktuelleAnleihen[[#This Row],[Kursdifferenz]]*aktuelleAnleihen[[#This Row],[Anteile]]*aktuelleAnleihen[[#This Row],[Stückelung]]/aktuelleAnleihen[[#This Row],[Wechselkurs am Kauftag]]</f>
        <v>136.2000000000001</v>
      </c>
      <c r="H502" s="8">
        <f>aktuelleAnleihen[[#This Row],[Stückzinsen]]-aktuelleAnleihen[[#This Row],[Stückzinsen am Kauftag]]+aktuelleAnleihen[[#This Row],[Zinszahlungen]]</f>
        <v>27.390449315068494</v>
      </c>
      <c r="I502" s="8">
        <f>aktuelleAnleihen[[#This Row],[Gewinn gesamt]]-aktuelleAnleihen[[#This Row],[Gewinn aus Kursänderung]]-aktuelleAnleihen[[#This Row],[Gewinn aus Zinsen]]</f>
        <v>-2.7000623958883807E-13</v>
      </c>
      <c r="J502" s="7">
        <f>aktuelleAnleihen[[#This Row],[Gewinn gesamt]]/aktuelleAnleihen[[#This Row],[Kaufpreis]]</f>
        <v>8.8273797552767347E-2</v>
      </c>
      <c r="K502" s="3">
        <f>aktuelleAnleihen[[#This Row],[Verkaufspreis]]-aktuelleAnleihen[[#This Row],[Kaufpreis]]+aktuelleAnleihen[[#This Row],[Zinszahlungen]]</f>
        <v>163.59044931506833</v>
      </c>
      <c r="L502" s="4">
        <v>1853.2164</v>
      </c>
      <c r="M502" s="7">
        <v>0.89029999999999998</v>
      </c>
      <c r="N502" s="61">
        <v>1</v>
      </c>
      <c r="O502" s="1">
        <v>1</v>
      </c>
      <c r="P502" s="1" t="s">
        <v>925</v>
      </c>
      <c r="Q502" s="30">
        <v>45385</v>
      </c>
      <c r="R502" s="1">
        <v>2</v>
      </c>
      <c r="S502" s="1">
        <v>1000</v>
      </c>
      <c r="T502" s="9">
        <v>45397</v>
      </c>
      <c r="U502" s="1">
        <v>2</v>
      </c>
      <c r="V502" s="62">
        <f>aktuelleAnleihen[[#This Row],[Stückelung]]*aktuelleAnleihen[[#This Row],[Anteile]]*aktuelleAnleihen[[#This Row],[Coupon]]/aktuelleAnleihen[[#This Row],[Aktueller Wechselkurs]]*($AC$1-aktuelleAnleihen[[#This Row],[Letzte Zinszahlung]])/365</f>
        <v>22.506849315068493</v>
      </c>
      <c r="W502" s="4">
        <v>72.616399999999999</v>
      </c>
      <c r="X502" s="120" t="s">
        <v>102</v>
      </c>
      <c r="Y502" s="120" t="s">
        <v>44</v>
      </c>
      <c r="Z502" s="1" t="s">
        <v>515</v>
      </c>
      <c r="AA502" s="1" t="s">
        <v>1851</v>
      </c>
      <c r="AB502" s="3">
        <f>SUMIF('Zinszahlungen Anleihen'!K:K,aktuelleAnleihen[[#This Row],[ISIN]],'Zinszahlungen Anleihen'!D:D)</f>
        <v>77.5</v>
      </c>
      <c r="AE502" s="9"/>
      <c r="AF502" s="1"/>
      <c r="AI502" s="3"/>
      <c r="AJ502" s="1"/>
      <c r="AM502" s="10"/>
      <c r="AN502" s="1"/>
      <c r="AP502" s="7"/>
      <c r="AQ502" s="1"/>
    </row>
    <row r="503" spans="1:43" x14ac:dyDescent="0.2">
      <c r="A503" s="1" t="s">
        <v>1264</v>
      </c>
      <c r="B503" s="1" t="s">
        <v>0</v>
      </c>
      <c r="C503" s="7">
        <v>9.2499999999999999E-2</v>
      </c>
      <c r="D503" s="7">
        <v>0.87909999999999999</v>
      </c>
      <c r="E503" s="7">
        <f>aktuelleAnleihen[[#This Row],[Aktueller Kurs]]-aktuelleAnleihen[[#This Row],[Kaufkurs]]</f>
        <v>7.3100000000000054E-2</v>
      </c>
      <c r="F503" s="8">
        <f>aktuelleAnleihen[[#This Row],[Stückelung]]*aktuelleAnleihen[[#This Row],[Aktueller Kurs]]*aktuelleAnleihen[[#This Row],[Anteile]]/aktuelleAnleihen[[#This Row],[Aktueller Wechselkurs]]+aktuelleAnleihen[[#This Row],[Stückzinsen]]</f>
        <v>1635.3027446314225</v>
      </c>
      <c r="G503" s="8">
        <f>aktuelleAnleihen[[#This Row],[Kursdifferenz]]*aktuelleAnleihen[[#This Row],[Anteile]]*aktuelleAnleihen[[#This Row],[Stückelung]]/aktuelleAnleihen[[#This Row],[Wechselkurs am Kauftag]]</f>
        <v>136.34244148092893</v>
      </c>
      <c r="H503" s="8">
        <f>aktuelleAnleihen[[#This Row],[Stückzinsen]]-aktuelleAnleihen[[#This Row],[Stückzinsen am Kauftag]]+aktuelleAnleihen[[#This Row],[Zinszahlungen]]</f>
        <v>17.633563500213199</v>
      </c>
      <c r="I503" s="8">
        <f>aktuelleAnleihen[[#This Row],[Gewinn gesamt]]-aktuelleAnleihen[[#This Row],[Gewinn aus Kursänderung]]-aktuelleAnleihen[[#This Row],[Gewinn aus Zinsen]]</f>
        <v>-25.292660349719711</v>
      </c>
      <c r="J503" s="7">
        <f>aktuelleAnleihen[[#This Row],[Gewinn gesamt]]/aktuelleAnleihen[[#This Row],[Kaufpreis]]</f>
        <v>8.5411979051525824E-2</v>
      </c>
      <c r="K503" s="3">
        <f>aktuelleAnleihen[[#This Row],[Verkaufspreis]]-aktuelleAnleihen[[#This Row],[Kaufpreis]]+aktuelleAnleihen[[#This Row],[Zinszahlungen]]</f>
        <v>128.68334463142241</v>
      </c>
      <c r="L503" s="4">
        <v>1506.6194</v>
      </c>
      <c r="M503" s="7">
        <v>0.80599999999999994</v>
      </c>
      <c r="N503" s="61">
        <v>1.0723</v>
      </c>
      <c r="O503" s="1">
        <v>1.0891</v>
      </c>
      <c r="P503" s="1" t="s">
        <v>887</v>
      </c>
      <c r="Q503" s="30">
        <v>45412</v>
      </c>
      <c r="R503" s="1">
        <v>2</v>
      </c>
      <c r="S503" s="1">
        <v>1000</v>
      </c>
      <c r="T503" s="9">
        <v>45405</v>
      </c>
      <c r="U503" s="1">
        <v>2</v>
      </c>
      <c r="V503" s="62">
        <f>aktuelleAnleihen[[#This Row],[Stückelung]]*aktuelleAnleihen[[#This Row],[Anteile]]*aktuelleAnleihen[[#This Row],[Coupon]]/aktuelleAnleihen[[#This Row],[Aktueller Wechselkurs]]*($AC$1-aktuelleAnleihen[[#This Row],[Letzte Zinszahlung]])/365</f>
        <v>20.942263500213198</v>
      </c>
      <c r="W503" s="4">
        <v>3.3087</v>
      </c>
      <c r="X503" s="120" t="s">
        <v>65</v>
      </c>
      <c r="Y503" s="120" t="s">
        <v>52</v>
      </c>
      <c r="Z503" s="1" t="s">
        <v>1265</v>
      </c>
      <c r="AA503" s="1" t="s">
        <v>1266</v>
      </c>
      <c r="AB503" s="3">
        <f>SUMIF('Zinszahlungen Anleihen'!K:K,aktuelleAnleihen[[#This Row],[ISIN]],'Zinszahlungen Anleihen'!D:D)</f>
        <v>0</v>
      </c>
      <c r="AE503" s="9"/>
      <c r="AF503" s="1"/>
      <c r="AI503" s="3"/>
      <c r="AJ503" s="1"/>
      <c r="AM503" s="10"/>
      <c r="AN503" s="1"/>
      <c r="AP503" s="7"/>
      <c r="AQ503" s="1"/>
    </row>
    <row r="504" spans="1:43" x14ac:dyDescent="0.2">
      <c r="A504" s="1" t="s">
        <v>539</v>
      </c>
      <c r="B504" s="1" t="s">
        <v>9</v>
      </c>
      <c r="C504" s="7">
        <v>7.4999999999999997E-2</v>
      </c>
      <c r="D504" s="7">
        <v>0.62749999999999995</v>
      </c>
      <c r="E504" s="7">
        <f>aktuelleAnleihen[[#This Row],[Aktueller Kurs]]-aktuelleAnleihen[[#This Row],[Kaufkurs]]</f>
        <v>6.9899999999999962E-2</v>
      </c>
      <c r="F504" s="8">
        <f>aktuelleAnleihen[[#This Row],[Stückelung]]*aktuelleAnleihen[[#This Row],[Aktueller Kurs]]*aktuelleAnleihen[[#This Row],[Anteile]]/aktuelleAnleihen[[#This Row],[Aktueller Wechselkurs]]+aktuelleAnleihen[[#This Row],[Stückzinsen]]</f>
        <v>1297.7397260273972</v>
      </c>
      <c r="G504" s="8">
        <f>aktuelleAnleihen[[#This Row],[Kursdifferenz]]*aktuelleAnleihen[[#This Row],[Anteile]]*aktuelleAnleihen[[#This Row],[Stückelung]]/aktuelleAnleihen[[#This Row],[Wechselkurs am Kauftag]]</f>
        <v>139.79999999999993</v>
      </c>
      <c r="H504" s="8">
        <f>aktuelleAnleihen[[#This Row],[Stückzinsen]]-aktuelleAnleihen[[#This Row],[Stückzinsen am Kauftag]]+aktuelleAnleihen[[#This Row],[Zinszahlungen]]</f>
        <v>26.71232602739726</v>
      </c>
      <c r="I504" s="8">
        <f>aktuelleAnleihen[[#This Row],[Gewinn gesamt]]-aktuelleAnleihen[[#This Row],[Gewinn aus Kursänderung]]-aktuelleAnleihen[[#This Row],[Gewinn aus Zinsen]]</f>
        <v>0</v>
      </c>
      <c r="J504" s="7">
        <f>aktuelleAnleihen[[#This Row],[Gewinn gesamt]]/aktuelleAnleihen[[#This Row],[Kaufpreis]]</f>
        <v>0.14719615704799688</v>
      </c>
      <c r="K504" s="3">
        <f>aktuelleAnleihen[[#This Row],[Verkaufspreis]]-aktuelleAnleihen[[#This Row],[Kaufpreis]]+aktuelleAnleihen[[#This Row],[Zinszahlungen]]</f>
        <v>166.51232602739719</v>
      </c>
      <c r="L504" s="4">
        <v>1131.2274</v>
      </c>
      <c r="M504" s="7">
        <v>0.55759999999999998</v>
      </c>
      <c r="N504" s="61">
        <v>1</v>
      </c>
      <c r="O504" s="1">
        <v>1</v>
      </c>
      <c r="P504" s="1" t="s">
        <v>925</v>
      </c>
      <c r="Q504" s="30">
        <v>45385</v>
      </c>
      <c r="R504" s="1">
        <v>2</v>
      </c>
      <c r="S504" s="1">
        <v>1000</v>
      </c>
      <c r="T504" s="9">
        <v>45346</v>
      </c>
      <c r="U504" s="1">
        <v>1</v>
      </c>
      <c r="V504" s="62">
        <f>aktuelleAnleihen[[#This Row],[Stückelung]]*aktuelleAnleihen[[#This Row],[Anteile]]*aktuelleAnleihen[[#This Row],[Coupon]]/aktuelleAnleihen[[#This Row],[Aktueller Wechselkurs]]*($AC$1-aktuelleAnleihen[[#This Row],[Letzte Zinszahlung]])/365</f>
        <v>42.739726027397261</v>
      </c>
      <c r="W504" s="4">
        <v>16.0274</v>
      </c>
      <c r="X504" s="120" t="s">
        <v>56</v>
      </c>
      <c r="Y504" s="120" t="s">
        <v>81</v>
      </c>
      <c r="Z504" s="1" t="s">
        <v>540</v>
      </c>
      <c r="AA504" s="1" t="s">
        <v>541</v>
      </c>
      <c r="AB504" s="3">
        <f>SUMIF('Zinszahlungen Anleihen'!K:K,aktuelleAnleihen[[#This Row],[ISIN]],'Zinszahlungen Anleihen'!D:D)</f>
        <v>0</v>
      </c>
      <c r="AE504" s="9"/>
      <c r="AF504" s="1"/>
      <c r="AI504" s="3"/>
      <c r="AJ504" s="1"/>
      <c r="AM504" s="10"/>
      <c r="AN504" s="1"/>
      <c r="AP504" s="7"/>
      <c r="AQ504" s="1"/>
    </row>
    <row r="505" spans="1:43" x14ac:dyDescent="0.2">
      <c r="A505" s="1" t="s">
        <v>1037</v>
      </c>
      <c r="B505" s="1" t="s">
        <v>0</v>
      </c>
      <c r="C505" s="7">
        <v>0.11</v>
      </c>
      <c r="D505" s="7">
        <v>0.84400000000000008</v>
      </c>
      <c r="E505" s="7">
        <f>aktuelleAnleihen[[#This Row],[Aktueller Kurs]]-aktuelleAnleihen[[#This Row],[Kaufkurs]]</f>
        <v>7.5000000000000067E-2</v>
      </c>
      <c r="F505" s="8">
        <f>aktuelleAnleihen[[#This Row],[Stückelung]]*aktuelleAnleihen[[#This Row],[Aktueller Kurs]]*aktuelleAnleihen[[#This Row],[Anteile]]/aktuelleAnleihen[[#This Row],[Aktueller Wechselkurs]]+aktuelleAnleihen[[#This Row],[Stückzinsen]]</f>
        <v>1613.5479464632733</v>
      </c>
      <c r="G505" s="8">
        <f>aktuelleAnleihen[[#This Row],[Kursdifferenz]]*aktuelleAnleihen[[#This Row],[Anteile]]*aktuelleAnleihen[[#This Row],[Stückelung]]/aktuelleAnleihen[[#This Row],[Wechselkurs am Kauftag]]</f>
        <v>139.88622586962617</v>
      </c>
      <c r="H505" s="8">
        <f>aktuelleAnleihen[[#This Row],[Stückzinsen]]-aktuelleAnleihen[[#This Row],[Stückzinsen am Kauftag]]+aktuelleAnleihen[[#This Row],[Zinszahlungen]]</f>
        <v>20.362656342990256</v>
      </c>
      <c r="I505" s="8">
        <f>aktuelleAnleihen[[#This Row],[Gewinn gesamt]]-aktuelleAnleihen[[#This Row],[Gewinn aus Kursänderung]]-aktuelleAnleihen[[#This Row],[Gewinn aus Zinsen]]</f>
        <v>-24.28273574934304</v>
      </c>
      <c r="J505" s="7">
        <f>aktuelleAnleihen[[#This Row],[Gewinn gesamt]]/aktuelleAnleihen[[#This Row],[Kaufpreis]]</f>
        <v>9.201937007025493E-2</v>
      </c>
      <c r="K505" s="3">
        <f>aktuelleAnleihen[[#This Row],[Verkaufspreis]]-aktuelleAnleihen[[#This Row],[Kaufpreis]]+aktuelleAnleihen[[#This Row],[Zinszahlungen]]</f>
        <v>135.96614646327339</v>
      </c>
      <c r="L505" s="4">
        <v>1477.5817999999999</v>
      </c>
      <c r="M505" s="7">
        <v>0.76900000000000002</v>
      </c>
      <c r="N505" s="61">
        <v>1.0723</v>
      </c>
      <c r="O505" s="1">
        <v>1.0891</v>
      </c>
      <c r="P505" s="1" t="s">
        <v>887</v>
      </c>
      <c r="Q505" s="30">
        <v>45412</v>
      </c>
      <c r="R505" s="1">
        <v>2</v>
      </c>
      <c r="S505" s="1">
        <v>1000</v>
      </c>
      <c r="T505" s="9">
        <v>45335</v>
      </c>
      <c r="U505" s="1">
        <v>2</v>
      </c>
      <c r="V505" s="62">
        <f>aktuelleAnleihen[[#This Row],[Stückelung]]*aktuelleAnleihen[[#This Row],[Anteile]]*aktuelleAnleihen[[#This Row],[Coupon]]/aktuelleAnleihen[[#This Row],[Aktueller Wechselkurs]]*($AC$1-aktuelleAnleihen[[#This Row],[Letzte Zinszahlung]])/365</f>
        <v>63.644356342990257</v>
      </c>
      <c r="W505" s="4">
        <v>43.281700000000001</v>
      </c>
      <c r="X505" s="120" t="s">
        <v>1038</v>
      </c>
      <c r="Y505" s="120" t="s">
        <v>39</v>
      </c>
      <c r="Z505" s="1" t="s">
        <v>1039</v>
      </c>
      <c r="AA505" s="1" t="s">
        <v>1040</v>
      </c>
      <c r="AB505" s="3">
        <f>SUMIF('Zinszahlungen Anleihen'!K:K,aktuelleAnleihen[[#This Row],[ISIN]],'Zinszahlungen Anleihen'!D:D)</f>
        <v>0</v>
      </c>
      <c r="AE505" s="9"/>
      <c r="AF505" s="1"/>
      <c r="AI505" s="3"/>
      <c r="AJ505" s="1"/>
      <c r="AM505" s="10"/>
      <c r="AN505" s="1"/>
      <c r="AP505" s="7"/>
      <c r="AQ505" s="1"/>
    </row>
    <row r="506" spans="1:43" x14ac:dyDescent="0.2">
      <c r="A506" s="1" t="s">
        <v>653</v>
      </c>
      <c r="B506" s="1" t="s">
        <v>0</v>
      </c>
      <c r="C506" s="7">
        <v>7.0000000000000007E-2</v>
      </c>
      <c r="D506" s="7">
        <v>0.9</v>
      </c>
      <c r="E506" s="7">
        <f>aktuelleAnleihen[[#This Row],[Aktueller Kurs]]-aktuelleAnleihen[[#This Row],[Kaufkurs]]</f>
        <v>7.0000000000000062E-2</v>
      </c>
      <c r="F506" s="8">
        <f>aktuelleAnleihen[[#This Row],[Stückelung]]*aktuelleAnleihen[[#This Row],[Aktueller Kurs]]*aktuelleAnleihen[[#This Row],[Anteile]]/aktuelleAnleihen[[#This Row],[Aktueller Wechselkurs]]+aktuelleAnleihen[[#This Row],[Stückzinsen]]</f>
        <v>1847.9452054794519</v>
      </c>
      <c r="G506" s="8">
        <f>aktuelleAnleihen[[#This Row],[Kursdifferenz]]*aktuelleAnleihen[[#This Row],[Anteile]]*aktuelleAnleihen[[#This Row],[Stückelung]]/aktuelleAnleihen[[#This Row],[Wechselkurs am Kauftag]]</f>
        <v>140.00000000000011</v>
      </c>
      <c r="H506" s="8">
        <f>aktuelleAnleihen[[#This Row],[Stückzinsen]]-aktuelleAnleihen[[#This Row],[Stückzinsen am Kauftag]]+aktuelleAnleihen[[#This Row],[Zinszahlungen]]</f>
        <v>24.931505479452056</v>
      </c>
      <c r="I506" s="8">
        <f>aktuelleAnleihen[[#This Row],[Gewinn gesamt]]-aktuelleAnleihen[[#This Row],[Gewinn aus Kursänderung]]-aktuelleAnleihen[[#This Row],[Gewinn aus Zinsen]]</f>
        <v>-1.9895196601282805E-13</v>
      </c>
      <c r="J506" s="7">
        <f>aktuelleAnleihen[[#This Row],[Gewinn gesamt]]/aktuelleAnleihen[[#This Row],[Kaufpreis]]</f>
        <v>9.7997720089534612E-2</v>
      </c>
      <c r="K506" s="3">
        <f>aktuelleAnleihen[[#This Row],[Verkaufspreis]]-aktuelleAnleihen[[#This Row],[Kaufpreis]]+aktuelleAnleihen[[#This Row],[Zinszahlungen]]</f>
        <v>164.93150547945197</v>
      </c>
      <c r="L506" s="4">
        <v>1683.0137</v>
      </c>
      <c r="M506" s="7">
        <v>0.83</v>
      </c>
      <c r="N506" s="61">
        <v>1</v>
      </c>
      <c r="O506" s="1">
        <v>1</v>
      </c>
      <c r="P506" s="1" t="s">
        <v>925</v>
      </c>
      <c r="Q506" s="30">
        <v>45385</v>
      </c>
      <c r="R506" s="1">
        <v>2</v>
      </c>
      <c r="S506" s="1">
        <v>1000</v>
      </c>
      <c r="T506" s="9">
        <v>45325</v>
      </c>
      <c r="U506" s="1">
        <v>2</v>
      </c>
      <c r="V506" s="62">
        <f>aktuelleAnleihen[[#This Row],[Stückelung]]*aktuelleAnleihen[[#This Row],[Anteile]]*aktuelleAnleihen[[#This Row],[Coupon]]/aktuelleAnleihen[[#This Row],[Aktueller Wechselkurs]]*($AC$1-aktuelleAnleihen[[#This Row],[Letzte Zinszahlung]])/365</f>
        <v>47.945205479452056</v>
      </c>
      <c r="W506" s="4">
        <v>23.0137</v>
      </c>
      <c r="X506" s="120" t="s">
        <v>35</v>
      </c>
      <c r="Y506" s="120" t="s">
        <v>57</v>
      </c>
      <c r="Z506" s="1" t="s">
        <v>654</v>
      </c>
      <c r="AA506" s="1" t="s">
        <v>655</v>
      </c>
      <c r="AB506" s="3">
        <f>SUMIF('Zinszahlungen Anleihen'!K:K,aktuelleAnleihen[[#This Row],[ISIN]],'Zinszahlungen Anleihen'!D:D)</f>
        <v>0</v>
      </c>
      <c r="AE506" s="9"/>
      <c r="AF506" s="1"/>
      <c r="AI506" s="3"/>
      <c r="AJ506" s="1"/>
      <c r="AM506" s="10"/>
      <c r="AN506" s="1"/>
      <c r="AP506" s="7"/>
      <c r="AQ506" s="1"/>
    </row>
    <row r="507" spans="1:43" x14ac:dyDescent="0.2">
      <c r="A507" s="1" t="s">
        <v>802</v>
      </c>
      <c r="B507" s="1" t="s">
        <v>4</v>
      </c>
      <c r="C507" s="7">
        <v>6.25E-2</v>
      </c>
      <c r="D507" s="7">
        <v>0.43</v>
      </c>
      <c r="E507" s="7">
        <f>aktuelleAnleihen[[#This Row],[Aktueller Kurs]]-aktuelleAnleihen[[#This Row],[Kaufkurs]]</f>
        <v>8.0000000000000016E-2</v>
      </c>
      <c r="F507" s="8">
        <f>aktuelleAnleihen[[#This Row],[Stückelung]]*aktuelleAnleihen[[#This Row],[Aktueller Kurs]]*aktuelleAnleihen[[#This Row],[Anteile]]/aktuelleAnleihen[[#This Row],[Aktueller Wechselkurs]]+aktuelleAnleihen[[#This Row],[Stückzinsen]]</f>
        <v>883.97260273972597</v>
      </c>
      <c r="G507" s="8">
        <f>aktuelleAnleihen[[#This Row],[Kursdifferenz]]*aktuelleAnleihen[[#This Row],[Anteile]]*aktuelleAnleihen[[#This Row],[Stückelung]]/aktuelleAnleihen[[#This Row],[Wechselkurs am Kauftag]]</f>
        <v>160.00000000000003</v>
      </c>
      <c r="H507" s="8">
        <f>aktuelleAnleihen[[#This Row],[Stückzinsen]]-aktuelleAnleihen[[#This Row],[Stückzinsen am Kauftag]]+aktuelleAnleihen[[#This Row],[Zinszahlungen]]</f>
        <v>22.260302739726029</v>
      </c>
      <c r="I507" s="8">
        <f>aktuelleAnleihen[[#This Row],[Gewinn gesamt]]-aktuelleAnleihen[[#This Row],[Gewinn aus Kursänderung]]-aktuelleAnleihen[[#This Row],[Gewinn aus Zinsen]]</f>
        <v>-1.1368683772161603E-13</v>
      </c>
      <c r="J507" s="7">
        <f>aktuelleAnleihen[[#This Row],[Gewinn gesamt]]/aktuelleAnleihen[[#This Row],[Kaufpreis]]</f>
        <v>0.25973650845186258</v>
      </c>
      <c r="K507" s="3">
        <f>aktuelleAnleihen[[#This Row],[Verkaufspreis]]-aktuelleAnleihen[[#This Row],[Kaufpreis]]+aktuelleAnleihen[[#This Row],[Zinszahlungen]]</f>
        <v>182.26030273972594</v>
      </c>
      <c r="L507" s="4">
        <v>701.71230000000003</v>
      </c>
      <c r="M507" s="7">
        <v>0.35</v>
      </c>
      <c r="N507" s="61">
        <v>1</v>
      </c>
      <c r="O507" s="1">
        <v>1</v>
      </c>
      <c r="P507" s="1" t="s">
        <v>925</v>
      </c>
      <c r="Q507" s="30">
        <v>45385</v>
      </c>
      <c r="R507" s="1">
        <v>2</v>
      </c>
      <c r="S507" s="1">
        <v>1000</v>
      </c>
      <c r="T507" s="9">
        <v>45380</v>
      </c>
      <c r="U507" s="1">
        <v>1</v>
      </c>
      <c r="V507" s="62">
        <f>aktuelleAnleihen[[#This Row],[Stückelung]]*aktuelleAnleihen[[#This Row],[Anteile]]*aktuelleAnleihen[[#This Row],[Coupon]]/aktuelleAnleihen[[#This Row],[Aktueller Wechselkurs]]*($AC$1-aktuelleAnleihen[[#This Row],[Letzte Zinszahlung]])/365</f>
        <v>23.972602739726028</v>
      </c>
      <c r="W507" s="4">
        <v>1.7122999999999999</v>
      </c>
      <c r="X507" s="120" t="s">
        <v>56</v>
      </c>
      <c r="Y507" s="120" t="s">
        <v>216</v>
      </c>
      <c r="Z507" s="1" t="s">
        <v>803</v>
      </c>
      <c r="AA507" s="1" t="s">
        <v>804</v>
      </c>
      <c r="AB507" s="3">
        <f>SUMIF('Zinszahlungen Anleihen'!K:K,aktuelleAnleihen[[#This Row],[ISIN]],'Zinszahlungen Anleihen'!D:D)</f>
        <v>0</v>
      </c>
      <c r="AE507" s="9"/>
      <c r="AF507" s="1"/>
      <c r="AI507" s="3"/>
      <c r="AJ507" s="1"/>
      <c r="AM507" s="10"/>
      <c r="AN507" s="1"/>
      <c r="AP507" s="7"/>
      <c r="AQ507" s="1"/>
    </row>
    <row r="508" spans="1:43" x14ac:dyDescent="0.2">
      <c r="A508" s="1" t="s">
        <v>595</v>
      </c>
      <c r="B508" s="1" t="s">
        <v>3</v>
      </c>
      <c r="C508" s="7">
        <v>7.2499999999999995E-2</v>
      </c>
      <c r="D508" s="7">
        <v>0.98</v>
      </c>
      <c r="E508" s="7">
        <f>aktuelleAnleihen[[#This Row],[Aktueller Kurs]]-aktuelleAnleihen[[#This Row],[Kaufkurs]]</f>
        <v>9.4999999999999973E-2</v>
      </c>
      <c r="F508" s="8">
        <f>aktuelleAnleihen[[#This Row],[Stückelung]]*aktuelleAnleihen[[#This Row],[Aktueller Kurs]]*aktuelleAnleihen[[#This Row],[Anteile]]/aktuelleAnleihen[[#This Row],[Aktueller Wechselkurs]]+aktuelleAnleihen[[#This Row],[Stückzinsen]]</f>
        <v>1964.3698630136987</v>
      </c>
      <c r="G508" s="8">
        <f>aktuelleAnleihen[[#This Row],[Kursdifferenz]]*aktuelleAnleihen[[#This Row],[Anteile]]*aktuelleAnleihen[[#This Row],[Stückelung]]/aktuelleAnleihen[[#This Row],[Wechselkurs am Kauftag]]</f>
        <v>189.99999999999994</v>
      </c>
      <c r="H508" s="8">
        <f>aktuelleAnleihen[[#This Row],[Stückzinsen]]-aktuelleAnleihen[[#This Row],[Stückzinsen am Kauftag]]+aktuelleAnleihen[[#This Row],[Zinszahlungen]]</f>
        <v>26.020563013698634</v>
      </c>
      <c r="I508" s="8">
        <f>aktuelleAnleihen[[#This Row],[Gewinn gesamt]]-aktuelleAnleihen[[#This Row],[Gewinn aus Kursänderung]]-aktuelleAnleihen[[#This Row],[Gewinn aus Zinsen]]</f>
        <v>4.2632564145606011E-14</v>
      </c>
      <c r="J508" s="7">
        <f>aktuelleAnleihen[[#This Row],[Gewinn gesamt]]/aktuelleAnleihen[[#This Row],[Kaufpreis]]</f>
        <v>0.11863725516092881</v>
      </c>
      <c r="K508" s="3">
        <f>aktuelleAnleihen[[#This Row],[Verkaufspreis]]-aktuelleAnleihen[[#This Row],[Kaufpreis]]+aktuelleAnleihen[[#This Row],[Zinszahlungen]]</f>
        <v>216.02056301369862</v>
      </c>
      <c r="L508" s="4">
        <v>1820.8493000000001</v>
      </c>
      <c r="M508" s="7">
        <v>0.88500000000000001</v>
      </c>
      <c r="N508" s="61">
        <v>1</v>
      </c>
      <c r="O508" s="1">
        <v>1</v>
      </c>
      <c r="P508" s="1" t="s">
        <v>925</v>
      </c>
      <c r="Q508" s="30">
        <v>45385</v>
      </c>
      <c r="R508" s="1">
        <v>2</v>
      </c>
      <c r="S508" s="1">
        <v>1000</v>
      </c>
      <c r="T508" s="9">
        <v>45439</v>
      </c>
      <c r="U508" s="1">
        <v>2</v>
      </c>
      <c r="V508" s="62">
        <f>aktuelleAnleihen[[#This Row],[Stückelung]]*aktuelleAnleihen[[#This Row],[Anteile]]*aktuelleAnleihen[[#This Row],[Coupon]]/aktuelleAnleihen[[#This Row],[Aktueller Wechselkurs]]*($AC$1-aktuelleAnleihen[[#This Row],[Letzte Zinszahlung]])/365</f>
        <v>4.3698630136986303</v>
      </c>
      <c r="W508" s="4">
        <v>50.849299999999999</v>
      </c>
      <c r="X508" s="120" t="s">
        <v>56</v>
      </c>
      <c r="Y508" s="120" t="s">
        <v>438</v>
      </c>
      <c r="Z508" s="1" t="s">
        <v>596</v>
      </c>
      <c r="AA508" s="1" t="s">
        <v>597</v>
      </c>
      <c r="AB508" s="3">
        <f>SUMIF('Zinszahlungen Anleihen'!K:K,aktuelleAnleihen[[#This Row],[ISIN]],'Zinszahlungen Anleihen'!D:D)</f>
        <v>72.5</v>
      </c>
      <c r="AE508" s="9"/>
      <c r="AF508" s="1"/>
      <c r="AI508" s="3"/>
      <c r="AJ508" s="1"/>
      <c r="AM508" s="10"/>
      <c r="AN508" s="1"/>
      <c r="AP508" s="7"/>
      <c r="AQ508" s="1"/>
    </row>
    <row r="509" spans="1:43" x14ac:dyDescent="0.2">
      <c r="A509" s="1" t="s">
        <v>340</v>
      </c>
      <c r="B509" s="1" t="s">
        <v>0</v>
      </c>
      <c r="C509" s="7">
        <v>8.8749999999999996E-2</v>
      </c>
      <c r="D509" s="7">
        <v>1.0266</v>
      </c>
      <c r="E509" s="7">
        <f>aktuelleAnleihen[[#This Row],[Aktueller Kurs]]-aktuelleAnleihen[[#This Row],[Kaufkurs]]</f>
        <v>0.13429999999999986</v>
      </c>
      <c r="F509" s="8">
        <f>aktuelleAnleihen[[#This Row],[Stückelung]]*aktuelleAnleihen[[#This Row],[Aktueller Kurs]]*aktuelleAnleihen[[#This Row],[Anteile]]/aktuelleAnleihen[[#This Row],[Aktueller Wechselkurs]]+aktuelleAnleihen[[#This Row],[Stückzinsen]]</f>
        <v>2085.7821917808219</v>
      </c>
      <c r="G509" s="8">
        <f>aktuelleAnleihen[[#This Row],[Kursdifferenz]]*aktuelleAnleihen[[#This Row],[Anteile]]*aktuelleAnleihen[[#This Row],[Stückelung]]/aktuelleAnleihen[[#This Row],[Wechselkurs am Kauftag]]</f>
        <v>268.59999999999974</v>
      </c>
      <c r="H509" s="8">
        <f>aktuelleAnleihen[[#This Row],[Stückzinsen]]-aktuelleAnleihen[[#This Row],[Stückzinsen am Kauftag]]+aktuelleAnleihen[[#This Row],[Zinszahlungen]]</f>
        <v>31.609591780821916</v>
      </c>
      <c r="I509" s="8">
        <f>aktuelleAnleihen[[#This Row],[Gewinn gesamt]]-aktuelleAnleihen[[#This Row],[Gewinn aus Kursänderung]]-aktuelleAnleihen[[#This Row],[Gewinn aus Zinsen]]</f>
        <v>2.8421709430404007E-13</v>
      </c>
      <c r="J509" s="7">
        <f>aktuelleAnleihen[[#This Row],[Gewinn gesamt]]/aktuelleAnleihen[[#This Row],[Kaufpreis]]</f>
        <v>0.16813071156043835</v>
      </c>
      <c r="K509" s="3">
        <f>aktuelleAnleihen[[#This Row],[Verkaufspreis]]-aktuelleAnleihen[[#This Row],[Kaufpreis]]+aktuelleAnleihen[[#This Row],[Zinszahlungen]]</f>
        <v>300.20959178082194</v>
      </c>
      <c r="L509" s="4">
        <v>1785.5726</v>
      </c>
      <c r="M509" s="7">
        <v>0.89230000000000009</v>
      </c>
      <c r="N509" s="61">
        <v>1</v>
      </c>
      <c r="O509" s="1">
        <v>1</v>
      </c>
      <c r="P509" s="1" t="s">
        <v>925</v>
      </c>
      <c r="Q509" s="30">
        <v>45385</v>
      </c>
      <c r="R509" s="1">
        <v>2</v>
      </c>
      <c r="S509" s="1">
        <v>1000</v>
      </c>
      <c r="T509" s="9">
        <v>45383</v>
      </c>
      <c r="U509" s="1">
        <v>2</v>
      </c>
      <c r="V509" s="62">
        <f>aktuelleAnleihen[[#This Row],[Stückelung]]*aktuelleAnleihen[[#This Row],[Anteile]]*aktuelleAnleihen[[#This Row],[Coupon]]/aktuelleAnleihen[[#This Row],[Aktueller Wechselkurs]]*($AC$1-aktuelleAnleihen[[#This Row],[Letzte Zinszahlung]])/365</f>
        <v>32.582191780821915</v>
      </c>
      <c r="W509" s="4">
        <v>0.97260000000000002</v>
      </c>
      <c r="X509" s="120" t="s">
        <v>51</v>
      </c>
      <c r="Y509" s="120" t="s">
        <v>341</v>
      </c>
      <c r="Z509" s="1" t="s">
        <v>342</v>
      </c>
      <c r="AA509" s="1" t="s">
        <v>343</v>
      </c>
      <c r="AB509" s="3">
        <f>SUMIF('Zinszahlungen Anleihen'!K:K,aktuelleAnleihen[[#This Row],[ISIN]],'Zinszahlungen Anleihen'!D:D)</f>
        <v>0</v>
      </c>
    </row>
    <row r="510" spans="1:43" x14ac:dyDescent="0.2">
      <c r="A510" s="1" t="s">
        <v>542</v>
      </c>
      <c r="B510" s="1" t="s">
        <v>3</v>
      </c>
      <c r="C510" s="7">
        <v>7.4999999999999997E-2</v>
      </c>
      <c r="D510" s="7">
        <v>0.97</v>
      </c>
      <c r="E510" s="7">
        <f>aktuelleAnleihen[[#This Row],[Aktueller Kurs]]-aktuelleAnleihen[[#This Row],[Kaufkurs]]</f>
        <v>0.15000000000000002</v>
      </c>
      <c r="F510" s="8">
        <f>aktuelleAnleihen[[#This Row],[Stückelung]]*aktuelleAnleihen[[#This Row],[Aktueller Kurs]]*aktuelleAnleihen[[#This Row],[Anteile]]/aktuelleAnleihen[[#This Row],[Aktueller Wechselkurs]]+aktuelleAnleihen[[#This Row],[Stückzinsen]]</f>
        <v>2010.6849315068494</v>
      </c>
      <c r="G510" s="8">
        <f>aktuelleAnleihen[[#This Row],[Kursdifferenz]]*aktuelleAnleihen[[#This Row],[Anteile]]*aktuelleAnleihen[[#This Row],[Stückelung]]/aktuelleAnleihen[[#This Row],[Wechselkurs am Kauftag]]</f>
        <v>300.00000000000006</v>
      </c>
      <c r="H510" s="8">
        <f>aktuelleAnleihen[[#This Row],[Stückzinsen]]-aktuelleAnleihen[[#This Row],[Stückzinsen am Kauftag]]+aktuelleAnleihen[[#This Row],[Zinszahlungen]]</f>
        <v>26.71233150684931</v>
      </c>
      <c r="I510" s="8">
        <f>aktuelleAnleihen[[#This Row],[Gewinn gesamt]]-aktuelleAnleihen[[#This Row],[Gewinn aus Kursänderung]]-aktuelleAnleihen[[#This Row],[Gewinn aus Zinsen]]</f>
        <v>-7.1054273576010019E-14</v>
      </c>
      <c r="J510" s="7">
        <f>aktuelleAnleihen[[#This Row],[Gewinn gesamt]]/aktuelleAnleihen[[#This Row],[Kaufpreis]]</f>
        <v>0.19401285478567126</v>
      </c>
      <c r="K510" s="3">
        <f>aktuelleAnleihen[[#This Row],[Verkaufspreis]]-aktuelleAnleihen[[#This Row],[Kaufpreis]]+aktuelleAnleihen[[#This Row],[Zinszahlungen]]</f>
        <v>326.7123315068493</v>
      </c>
      <c r="L510" s="4">
        <v>1683.9726000000001</v>
      </c>
      <c r="M510" s="7">
        <v>0.82</v>
      </c>
      <c r="N510" s="61">
        <v>1</v>
      </c>
      <c r="O510" s="1">
        <v>1</v>
      </c>
      <c r="P510" s="1" t="s">
        <v>925</v>
      </c>
      <c r="Q510" s="30">
        <v>45385</v>
      </c>
      <c r="R510" s="1">
        <v>2</v>
      </c>
      <c r="S510" s="1">
        <v>1000</v>
      </c>
      <c r="T510" s="9">
        <v>45278</v>
      </c>
      <c r="U510" s="1">
        <v>1</v>
      </c>
      <c r="V510" s="62">
        <f>aktuelleAnleihen[[#This Row],[Stückelung]]*aktuelleAnleihen[[#This Row],[Anteile]]*aktuelleAnleihen[[#This Row],[Coupon]]/aktuelleAnleihen[[#This Row],[Aktueller Wechselkurs]]*($AC$1-aktuelleAnleihen[[#This Row],[Letzte Zinszahlung]])/365</f>
        <v>70.68493150684931</v>
      </c>
      <c r="W510" s="4">
        <v>43.9726</v>
      </c>
      <c r="X510" s="120" t="s">
        <v>51</v>
      </c>
      <c r="Y510" s="120" t="s">
        <v>81</v>
      </c>
      <c r="Z510" s="1" t="s">
        <v>543</v>
      </c>
      <c r="AA510" s="1" t="s">
        <v>544</v>
      </c>
      <c r="AB510" s="3">
        <f>SUMIF('Zinszahlungen Anleihen'!K:K,aktuelleAnleihen[[#This Row],[ISIN]],'Zinszahlungen Anleihen'!D:D)</f>
        <v>0</v>
      </c>
    </row>
    <row r="511" spans="1:43" x14ac:dyDescent="0.2">
      <c r="A511" s="1" t="s">
        <v>471</v>
      </c>
      <c r="B511" s="1" t="s">
        <v>10</v>
      </c>
      <c r="C511" s="7">
        <v>7.9420000000000004E-2</v>
      </c>
      <c r="D511" s="7">
        <v>0.66069</v>
      </c>
      <c r="E511" s="7">
        <f>aktuelleAnleihen[[#This Row],[Aktueller Kurs]]-aktuelleAnleihen[[#This Row],[Kaufkurs]]</f>
        <v>0.24789</v>
      </c>
      <c r="F511" s="8">
        <f>aktuelleAnleihen[[#This Row],[Stückelung]]*aktuelleAnleihen[[#This Row],[Aktueller Kurs]]*aktuelleAnleihen[[#This Row],[Anteile]]/aktuelleAnleihen[[#This Row],[Aktueller Wechselkurs]]+aktuelleAnleihen[[#This Row],[Stückzinsen]]</f>
        <v>1323.9910684931508</v>
      </c>
      <c r="G511" s="8">
        <f>aktuelleAnleihen[[#This Row],[Kursdifferenz]]*aktuelleAnleihen[[#This Row],[Anteile]]*aktuelleAnleihen[[#This Row],[Stückelung]]/aktuelleAnleihen[[#This Row],[Wechselkurs am Kauftag]]</f>
        <v>495.78</v>
      </c>
      <c r="H511" s="8">
        <f>aktuelleAnleihen[[#This Row],[Stückzinsen]]-aktuelleAnleihen[[#This Row],[Stückzinsen am Kauftag]]+aktuelleAnleihen[[#This Row],[Zinszahlungen]]</f>
        <v>27.960168493150682</v>
      </c>
      <c r="I511" s="8">
        <f>aktuelleAnleihen[[#This Row],[Gewinn gesamt]]-aktuelleAnleihen[[#This Row],[Gewinn aus Kursänderung]]-aktuelleAnleihen[[#This Row],[Gewinn aus Zinsen]]</f>
        <v>1.4921397450962104E-13</v>
      </c>
      <c r="J511" s="7">
        <f>aktuelleAnleihen[[#This Row],[Gewinn gesamt]]/aktuelleAnleihen[[#This Row],[Kaufpreis]]</f>
        <v>0.62352922438788616</v>
      </c>
      <c r="K511" s="3">
        <f>aktuelleAnleihen[[#This Row],[Verkaufspreis]]-aktuelleAnleihen[[#This Row],[Kaufpreis]]+aktuelleAnleihen[[#This Row],[Zinszahlungen]]</f>
        <v>523.7401684931508</v>
      </c>
      <c r="L511" s="4">
        <v>839.96090000000004</v>
      </c>
      <c r="M511" s="7">
        <v>0.4128</v>
      </c>
      <c r="N511" s="61">
        <v>1</v>
      </c>
      <c r="O511" s="1">
        <v>1</v>
      </c>
      <c r="P511" s="1" t="s">
        <v>925</v>
      </c>
      <c r="Q511" s="30">
        <v>45385</v>
      </c>
      <c r="R511" s="1">
        <v>2</v>
      </c>
      <c r="S511" s="1">
        <v>1000</v>
      </c>
      <c r="T511" s="9">
        <v>45444</v>
      </c>
      <c r="U511" s="1">
        <v>4</v>
      </c>
      <c r="V511" s="62">
        <f>aktuelleAnleihen[[#This Row],[Stückelung]]*aktuelleAnleihen[[#This Row],[Anteile]]*aktuelleAnleihen[[#This Row],[Coupon]]/aktuelleAnleihen[[#This Row],[Aktueller Wechselkurs]]*($AC$1-aktuelleAnleihen[[#This Row],[Letzte Zinszahlung]])/365</f>
        <v>2.6110684931506847</v>
      </c>
      <c r="W511" s="4">
        <v>14.360900000000001</v>
      </c>
      <c r="X511" s="120" t="s">
        <v>170</v>
      </c>
      <c r="Y511" s="120" t="s">
        <v>91</v>
      </c>
      <c r="Z511" s="1" t="s">
        <v>472</v>
      </c>
      <c r="AA511" s="1" t="s">
        <v>473</v>
      </c>
      <c r="AB511" s="3">
        <f>SUMIF('Zinszahlungen Anleihen'!K:K,aktuelleAnleihen[[#This Row],[ISIN]],'Zinszahlungen Anleihen'!D:D)</f>
        <v>39.71</v>
      </c>
    </row>
  </sheetData>
  <phoneticPr fontId="10"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F1BF4-A6B3-4991-BCE1-2ADF2E17FBA6}">
  <dimension ref="A1:T2"/>
  <sheetViews>
    <sheetView tabSelected="1" topLeftCell="F1" workbookViewId="0">
      <selection activeCell="Q3" sqref="Q3"/>
    </sheetView>
  </sheetViews>
  <sheetFormatPr defaultRowHeight="12.75" x14ac:dyDescent="0.2"/>
  <cols>
    <col min="1" max="1" width="14" customWidth="1"/>
    <col min="2" max="2" width="28.42578125" bestFit="1" customWidth="1"/>
    <col min="3" max="3" width="28.42578125" customWidth="1"/>
    <col min="4" max="4" width="11.85546875" customWidth="1"/>
    <col min="5" max="5" width="11.140625" customWidth="1"/>
    <col min="6" max="6" width="20.28515625" customWidth="1"/>
    <col min="7" max="7" width="14.140625" customWidth="1"/>
    <col min="8" max="8" width="10.140625" customWidth="1"/>
    <col min="9" max="9" width="17.5703125" customWidth="1"/>
    <col min="10" max="10" width="13.42578125" customWidth="1"/>
    <col min="11" max="11" width="18.28515625" customWidth="1"/>
    <col min="12" max="13" width="11.140625" customWidth="1"/>
    <col min="14" max="14" width="19.7109375" customWidth="1"/>
    <col min="15" max="15" width="17.28515625" customWidth="1"/>
    <col min="16" max="16" width="9.28515625" customWidth="1"/>
    <col min="17" max="17" width="17.7109375" bestFit="1" customWidth="1"/>
    <col min="18" max="18" width="64.140625" bestFit="1" customWidth="1"/>
    <col min="19" max="19" width="12.42578125" customWidth="1"/>
    <col min="20" max="20" width="11.28515625" bestFit="1" customWidth="1"/>
  </cols>
  <sheetData>
    <row r="1" spans="1:20" ht="17.25" customHeight="1" x14ac:dyDescent="0.2">
      <c r="A1" s="108" t="s">
        <v>159</v>
      </c>
      <c r="B1" s="100" t="s">
        <v>14</v>
      </c>
      <c r="C1" s="100" t="s">
        <v>1538</v>
      </c>
      <c r="D1" s="100" t="s">
        <v>942</v>
      </c>
      <c r="E1" s="102" t="s">
        <v>167</v>
      </c>
      <c r="F1" s="101" t="s">
        <v>166</v>
      </c>
      <c r="G1" s="101" t="s">
        <v>160</v>
      </c>
      <c r="H1" s="103" t="s">
        <v>25</v>
      </c>
      <c r="I1" s="106" t="s">
        <v>162</v>
      </c>
      <c r="J1" s="104" t="s">
        <v>27</v>
      </c>
      <c r="K1" s="107" t="s">
        <v>1544</v>
      </c>
      <c r="L1" s="107" t="s">
        <v>1543</v>
      </c>
      <c r="M1" s="107" t="s">
        <v>1546</v>
      </c>
      <c r="N1" s="107" t="s">
        <v>1547</v>
      </c>
      <c r="O1" s="107" t="s">
        <v>1548</v>
      </c>
      <c r="P1" s="100" t="s">
        <v>31</v>
      </c>
      <c r="Q1" s="100" t="s">
        <v>32</v>
      </c>
      <c r="R1" s="100" t="s">
        <v>33</v>
      </c>
      <c r="S1" s="105" t="s">
        <v>168</v>
      </c>
      <c r="T1" s="157" t="s">
        <v>1877</v>
      </c>
    </row>
    <row r="2" spans="1:20" ht="14.25" x14ac:dyDescent="0.2">
      <c r="A2" s="109">
        <v>45412</v>
      </c>
      <c r="B2" s="110" t="s">
        <v>1540</v>
      </c>
      <c r="C2" s="110" t="s">
        <v>1539</v>
      </c>
      <c r="D2" s="111">
        <f>optionen[[#This Row],[Verkaufspreis]]-optionen[[#This Row],[Kaufpreis]]</f>
        <v>8741.56</v>
      </c>
      <c r="E2" s="112">
        <f>optionen[[#This Row],[Gewinn]]/optionen[[#This Row],[Kaufpreis]]</f>
        <v>0.58657243816254412</v>
      </c>
      <c r="F2" s="113">
        <f>optionen[[#This Row],[Aktueller Kurs]]*optionen[[#This Row],[Anteile]]</f>
        <v>23644.34</v>
      </c>
      <c r="G2" s="113">
        <f>optionen[[#This Row],[Kaufkurs]]*optionen[[#This Row],[Anteile]]</f>
        <v>14902.78</v>
      </c>
      <c r="H2" s="110">
        <v>5266</v>
      </c>
      <c r="I2" s="113">
        <v>4.49</v>
      </c>
      <c r="J2" s="113">
        <v>2.83</v>
      </c>
      <c r="K2" s="113" t="s">
        <v>1545</v>
      </c>
      <c r="L2" s="114">
        <v>1.04</v>
      </c>
      <c r="M2" s="114">
        <v>100</v>
      </c>
      <c r="N2" s="116">
        <v>45450</v>
      </c>
      <c r="O2" s="116">
        <v>45455</v>
      </c>
      <c r="P2" s="110" t="s">
        <v>1542</v>
      </c>
      <c r="Q2" s="170" t="s">
        <v>1880</v>
      </c>
      <c r="R2" s="115" t="s">
        <v>1541</v>
      </c>
      <c r="S2" s="110" t="b">
        <v>0</v>
      </c>
      <c r="T2" s="158">
        <v>45450</v>
      </c>
    </row>
  </sheetData>
  <conditionalFormatting sqref="A1:E1">
    <cfRule type="expression" dxfId="7" priority="3">
      <formula>A1048505&lt;&gt;""</formula>
    </cfRule>
  </conditionalFormatting>
  <conditionalFormatting sqref="F1">
    <cfRule type="expression" dxfId="6" priority="113">
      <formula>#REF!&lt;&gt;""</formula>
    </cfRule>
  </conditionalFormatting>
  <conditionalFormatting sqref="G1:I1">
    <cfRule type="expression" dxfId="5" priority="114">
      <formula>#REF!&lt;&gt;""</formula>
    </cfRule>
  </conditionalFormatting>
  <conditionalFormatting sqref="P1:R1">
    <cfRule type="expression" dxfId="4" priority="117">
      <formula>#REF!&lt;&gt;""</formula>
    </cfRule>
  </conditionalFormatting>
  <hyperlinks>
    <hyperlink ref="R2" r:id="rId1" xr:uid="{DDFA389C-916F-497A-BACC-7707B8445A2C}"/>
  </hyperlinks>
  <pageMargins left="0.7" right="0.7" top="0.75" bottom="0.75" header="0.3" footer="0.3"/>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E5BD9-3A6D-4C5E-8FB4-A4C7720B9106}">
  <dimension ref="A1:W4"/>
  <sheetViews>
    <sheetView workbookViewId="0">
      <selection activeCell="D5" sqref="D5"/>
    </sheetView>
  </sheetViews>
  <sheetFormatPr defaultRowHeight="14.25" x14ac:dyDescent="0.2"/>
  <cols>
    <col min="1" max="1" width="15.140625" style="1" customWidth="1"/>
    <col min="2" max="2" width="25.28515625" style="1" customWidth="1"/>
    <col min="3" max="3" width="33.140625" style="1" customWidth="1"/>
    <col min="4" max="4" width="33.140625" style="4" customWidth="1"/>
    <col min="5" max="5" width="18.140625" style="1" customWidth="1"/>
    <col min="6" max="6" width="14.42578125" style="4" customWidth="1"/>
    <col min="7" max="7" width="19.7109375" style="1" customWidth="1"/>
    <col min="8" max="8" width="14.42578125" style="42" customWidth="1"/>
    <col min="9" max="9" width="13.140625" style="7" customWidth="1"/>
    <col min="10" max="10" width="15.85546875" style="4" customWidth="1"/>
    <col min="11" max="11" width="26.28515625" style="1" bestFit="1" customWidth="1"/>
    <col min="12" max="12" width="23" style="4" customWidth="1"/>
    <col min="13" max="13" width="13.7109375" style="1" bestFit="1" customWidth="1"/>
    <col min="14" max="14" width="12.28515625" style="1" bestFit="1" customWidth="1"/>
    <col min="15" max="15" width="15.85546875" style="1" customWidth="1"/>
    <col min="16" max="16" width="25.7109375" style="1" customWidth="1"/>
    <col min="17" max="17" width="13.140625" style="1" customWidth="1"/>
    <col min="18" max="18" width="8.28515625" style="1" bestFit="1" customWidth="1"/>
    <col min="19" max="19" width="9.42578125" style="1" bestFit="1" customWidth="1"/>
    <col min="20" max="20" width="15.5703125" style="1" bestFit="1" customWidth="1"/>
    <col min="21" max="21" width="51.140625" style="1" bestFit="1" customWidth="1"/>
    <col min="22" max="22" width="9.7109375" style="1" bestFit="1" customWidth="1"/>
    <col min="23" max="23" width="255.7109375" style="1" bestFit="1" customWidth="1"/>
    <col min="24" max="16384" width="9.140625" style="1"/>
  </cols>
  <sheetData>
    <row r="1" spans="1:23" s="55" customFormat="1" ht="30.75" customHeight="1" x14ac:dyDescent="0.2">
      <c r="A1" s="51" t="s">
        <v>159</v>
      </c>
      <c r="B1" s="52" t="s">
        <v>22</v>
      </c>
      <c r="C1" s="52" t="s">
        <v>24</v>
      </c>
      <c r="D1" s="53" t="s">
        <v>162</v>
      </c>
      <c r="E1" s="52" t="s">
        <v>882</v>
      </c>
      <c r="F1" s="53" t="s">
        <v>931</v>
      </c>
      <c r="G1" s="52" t="s">
        <v>911</v>
      </c>
      <c r="H1" s="52" t="s">
        <v>906</v>
      </c>
      <c r="I1" s="57" t="s">
        <v>167</v>
      </c>
      <c r="J1" s="53" t="s">
        <v>166</v>
      </c>
      <c r="K1" s="53" t="s">
        <v>160</v>
      </c>
      <c r="L1" s="54" t="s">
        <v>25</v>
      </c>
      <c r="M1" s="39" t="s">
        <v>930</v>
      </c>
      <c r="N1" s="40" t="s">
        <v>886</v>
      </c>
      <c r="O1" s="40" t="s">
        <v>928</v>
      </c>
      <c r="P1" s="40" t="s">
        <v>915</v>
      </c>
      <c r="Q1" s="39" t="s">
        <v>891</v>
      </c>
      <c r="R1" s="52" t="s">
        <v>30</v>
      </c>
      <c r="S1" s="52" t="s">
        <v>31</v>
      </c>
      <c r="T1" s="52" t="s">
        <v>32</v>
      </c>
      <c r="U1" s="52" t="s">
        <v>33</v>
      </c>
      <c r="V1" s="40" t="s">
        <v>168</v>
      </c>
      <c r="W1" s="40" t="s">
        <v>885</v>
      </c>
    </row>
    <row r="2" spans="1:23" x14ac:dyDescent="0.2">
      <c r="A2" s="9">
        <v>45390</v>
      </c>
      <c r="B2" s="1" t="s">
        <v>897</v>
      </c>
      <c r="C2" s="1" t="s">
        <v>5</v>
      </c>
      <c r="D2" s="4">
        <v>382.45</v>
      </c>
      <c r="E2" s="5">
        <f>aktien[[#This Row],[Verkaufspreis]]-aktien[[#This Row],[Kaufpreis]]-aktien[[#This Row],[Gewinn aus Währungseffekten]]</f>
        <v>-199.52435661764713</v>
      </c>
      <c r="F2" s="4">
        <v>67.25</v>
      </c>
      <c r="G2" s="5">
        <f>aktien[[#This Row],[Kaufpreis]]*(aktien[[#This Row],[Wechselkurs Kaufdatum Währung pro Euro]]/aktien[[#This Row],[Aktueller Wechselkurs]]-1)</f>
        <v>-17.975643382352878</v>
      </c>
      <c r="H2" s="5">
        <f>aktien[[#This Row],[Gewinn aus Kursänderung]]+aktien[[#This Row],[Gewinn aus Dividende]]+aktien[[#This Row],[Gewinn aus Währungseffekten]]</f>
        <v>-150.25</v>
      </c>
      <c r="I2" s="7">
        <f>aktien[[#This Row],[Gewinn gesamt]]/aktien[[#This Row],[Kaufpreis]]</f>
        <v>-1.5364949507861434E-2</v>
      </c>
      <c r="J2" s="4">
        <f>aktien[[#This Row],[Aktueller Kurs]]*aktien[[#This Row],[Anteile]]</f>
        <v>9561.25</v>
      </c>
      <c r="K2" s="4">
        <f>L2*M2</f>
        <v>9778.75</v>
      </c>
      <c r="L2" s="1">
        <v>25</v>
      </c>
      <c r="M2" s="4">
        <v>391.15</v>
      </c>
      <c r="N2" s="1" t="s">
        <v>887</v>
      </c>
      <c r="O2" s="1">
        <v>1.0880000000000001</v>
      </c>
      <c r="P2" s="1">
        <v>1.0860000000000001</v>
      </c>
      <c r="Q2" s="41">
        <v>45444</v>
      </c>
      <c r="R2" s="1" t="s">
        <v>276</v>
      </c>
      <c r="S2" s="1" t="s">
        <v>39</v>
      </c>
      <c r="T2" s="1" t="s">
        <v>903</v>
      </c>
      <c r="U2" s="28" t="s">
        <v>901</v>
      </c>
      <c r="V2" s="1" t="b">
        <v>1</v>
      </c>
      <c r="W2" s="1" t="s">
        <v>916</v>
      </c>
    </row>
    <row r="3" spans="1:23" x14ac:dyDescent="0.2">
      <c r="A3" s="9">
        <v>45390</v>
      </c>
      <c r="B3" s="1" t="s">
        <v>898</v>
      </c>
      <c r="C3" s="1" t="s">
        <v>8</v>
      </c>
      <c r="D3" s="4">
        <v>38.005000000000003</v>
      </c>
      <c r="E3" s="5">
        <f>aktien[[#This Row],[Verkaufspreis]]-aktien[[#This Row],[Kaufpreis]]-aktien[[#This Row],[Gewinn aus Währungseffekten]]</f>
        <v>-57.395220588234864</v>
      </c>
      <c r="F3" s="4">
        <v>246</v>
      </c>
      <c r="G3" s="5">
        <f>aktien[[#This Row],[Kaufpreis]]*(aktien[[#This Row],[Wechselkurs Kaufdatum Währung pro Euro]]/aktien[[#This Row],[Aktueller Wechselkurs]]-1)</f>
        <v>-7.1047794117646808</v>
      </c>
      <c r="H3" s="5">
        <f>aktien[[#This Row],[Gewinn aus Kursänderung]]+aktien[[#This Row],[Gewinn aus Dividende]]+aktien[[#This Row],[Gewinn aus Währungseffekten]]</f>
        <v>181.50000000000048</v>
      </c>
      <c r="I3" s="7">
        <f>aktien[[#This Row],[Gewinn gesamt]]/aktien[[#This Row],[Kaufpreis]]</f>
        <v>4.695989650711526E-2</v>
      </c>
      <c r="J3" s="4">
        <f>aktien[[#This Row],[Aktueller Kurs]]*aktien[[#This Row],[Anteile]]</f>
        <v>3800.5000000000005</v>
      </c>
      <c r="K3" s="4">
        <f t="shared" ref="K3:K4" si="0">L3*M3</f>
        <v>3865</v>
      </c>
      <c r="L3" s="1">
        <v>100</v>
      </c>
      <c r="M3" s="4">
        <v>38.65</v>
      </c>
      <c r="N3" s="1" t="s">
        <v>887</v>
      </c>
      <c r="O3" s="1">
        <v>1.0880000000000001</v>
      </c>
      <c r="P3" s="1">
        <v>1.0860000000000001</v>
      </c>
      <c r="Q3" s="41">
        <v>45413</v>
      </c>
      <c r="R3" s="1" t="s">
        <v>276</v>
      </c>
      <c r="S3" s="1" t="s">
        <v>52</v>
      </c>
      <c r="T3" s="1" t="s">
        <v>905</v>
      </c>
      <c r="U3" s="28" t="s">
        <v>900</v>
      </c>
      <c r="V3" s="1" t="b">
        <v>1</v>
      </c>
      <c r="W3" s="1" t="s">
        <v>917</v>
      </c>
    </row>
    <row r="4" spans="1:23" x14ac:dyDescent="0.2">
      <c r="A4" s="9">
        <v>45390</v>
      </c>
      <c r="B4" s="1" t="s">
        <v>899</v>
      </c>
      <c r="C4" s="1" t="s">
        <v>7</v>
      </c>
      <c r="D4" s="4">
        <v>71.11</v>
      </c>
      <c r="E4" s="5">
        <f>aktien[[#This Row],[Verkaufspreis]]-aktien[[#This Row],[Kaufpreis]]-aktien[[#This Row],[Gewinn aus Währungseffekten]]</f>
        <v>1217.8529411764705</v>
      </c>
      <c r="F4" s="4">
        <v>47.239038708493851</v>
      </c>
      <c r="G4" s="5">
        <f>aktien[[#This Row],[Kaufpreis]]*(aktien[[#This Row],[Wechselkurs Kaufdatum Währung pro Euro]]/aktien[[#This Row],[Aktueller Wechselkurs]]-1)</f>
        <v>-10.85294117647055</v>
      </c>
      <c r="H4" s="5">
        <f>aktien[[#This Row],[Gewinn aus Kursänderung]]+aktien[[#This Row],[Gewinn aus Dividende]]+aktien[[#This Row],[Gewinn aus Währungseffekten]]</f>
        <v>1254.2390387084938</v>
      </c>
      <c r="I4" s="7">
        <f>aktien[[#This Row],[Gewinn gesamt]]/aktien[[#This Row],[Kaufpreis]]</f>
        <v>0.21243886156986683</v>
      </c>
      <c r="J4" s="4">
        <f>aktien[[#This Row],[Aktueller Kurs]]*aktien[[#This Row],[Anteile]]</f>
        <v>7111</v>
      </c>
      <c r="K4" s="4">
        <f t="shared" si="0"/>
        <v>5904</v>
      </c>
      <c r="L4" s="1">
        <v>100</v>
      </c>
      <c r="M4" s="4">
        <v>59.04</v>
      </c>
      <c r="N4" s="1" t="s">
        <v>887</v>
      </c>
      <c r="O4" s="1">
        <v>1.0880000000000001</v>
      </c>
      <c r="P4" s="1">
        <v>1.0860000000000001</v>
      </c>
      <c r="Q4" s="41">
        <v>45444</v>
      </c>
      <c r="R4" s="1" t="s">
        <v>276</v>
      </c>
      <c r="S4" s="1" t="s">
        <v>57</v>
      </c>
      <c r="T4" s="1" t="s">
        <v>904</v>
      </c>
      <c r="U4" s="28" t="s">
        <v>902</v>
      </c>
      <c r="V4" s="1" t="b">
        <v>1</v>
      </c>
      <c r="W4" s="1" t="s">
        <v>918</v>
      </c>
    </row>
  </sheetData>
  <phoneticPr fontId="15" type="noConversion"/>
  <conditionalFormatting sqref="A1:I1">
    <cfRule type="expression" dxfId="3" priority="110">
      <formula>A1048507&lt;&gt;""</formula>
    </cfRule>
  </conditionalFormatting>
  <conditionalFormatting sqref="J1 R1:U1">
    <cfRule type="expression" dxfId="2" priority="2">
      <formula>F1048507&lt;&gt;""</formula>
    </cfRule>
  </conditionalFormatting>
  <conditionalFormatting sqref="K1:L1 W1">
    <cfRule type="expression" dxfId="1" priority="1">
      <formula>F1048507&lt;&gt;""</formula>
    </cfRule>
  </conditionalFormatting>
  <hyperlinks>
    <hyperlink ref="U2" r:id="rId1" xr:uid="{D47B2CA5-A1E9-4026-9B10-E48B03FF2755}"/>
    <hyperlink ref="U3" r:id="rId2" xr:uid="{0D82EDEB-0024-475F-8EB2-89956F3BE3A1}"/>
    <hyperlink ref="U4" r:id="rId3" xr:uid="{F2268037-4989-4D28-BBD6-BFB559ED1D25}"/>
  </hyperlinks>
  <pageMargins left="0.7" right="0.7" top="0.75" bottom="0.75" header="0.3" footer="0.3"/>
  <tableParts count="1">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C9854-7890-4620-AC72-3FEEA6040A04}">
  <dimension ref="A1:R122"/>
  <sheetViews>
    <sheetView workbookViewId="0">
      <selection activeCell="E28" sqref="E28"/>
    </sheetView>
  </sheetViews>
  <sheetFormatPr defaultRowHeight="12.75" x14ac:dyDescent="0.2"/>
  <cols>
    <col min="1" max="1" width="27.28515625" customWidth="1"/>
    <col min="2" max="2" width="7.28515625" style="130" bestFit="1" customWidth="1"/>
    <col min="3" max="3" width="20.42578125" style="13" customWidth="1"/>
    <col min="4" max="4" width="19.5703125" customWidth="1"/>
    <col min="5" max="5" width="21.85546875" customWidth="1"/>
    <col min="6" max="6" width="28.42578125" customWidth="1"/>
    <col min="7" max="7" width="14.42578125" style="14" customWidth="1"/>
    <col min="9" max="9" width="51.85546875" customWidth="1"/>
  </cols>
  <sheetData>
    <row r="1" spans="1:18" ht="14.25" x14ac:dyDescent="0.2">
      <c r="A1" s="1"/>
      <c r="C1" s="4"/>
      <c r="D1" s="1"/>
      <c r="E1" s="1"/>
      <c r="F1" s="1"/>
      <c r="G1" s="7"/>
      <c r="H1" s="1"/>
      <c r="I1" s="1"/>
      <c r="J1" s="1"/>
      <c r="K1" s="1"/>
      <c r="L1" s="1"/>
      <c r="M1" s="1"/>
      <c r="N1" s="1"/>
      <c r="O1" s="1"/>
      <c r="P1" s="1"/>
      <c r="Q1" s="1"/>
      <c r="R1" s="1"/>
    </row>
    <row r="2" spans="1:18" ht="15" x14ac:dyDescent="0.25">
      <c r="A2" s="21" t="s">
        <v>892</v>
      </c>
      <c r="B2" s="120"/>
      <c r="C2" s="4"/>
      <c r="D2" s="1"/>
      <c r="E2" s="1"/>
      <c r="F2" s="1"/>
      <c r="G2" s="7"/>
      <c r="H2" s="1"/>
      <c r="I2" s="1"/>
      <c r="J2" s="1"/>
      <c r="K2" s="1"/>
      <c r="L2" s="1"/>
      <c r="M2" s="1"/>
      <c r="N2" s="1"/>
      <c r="O2" s="1"/>
      <c r="P2" s="1"/>
      <c r="Q2" s="1"/>
      <c r="R2" s="1"/>
    </row>
    <row r="3" spans="1:18" ht="15" x14ac:dyDescent="0.25">
      <c r="A3" s="15"/>
      <c r="B3" s="22" t="s">
        <v>893</v>
      </c>
      <c r="C3" s="23" t="s">
        <v>888</v>
      </c>
      <c r="D3" s="23" t="s">
        <v>889</v>
      </c>
      <c r="E3" s="22" t="s">
        <v>894</v>
      </c>
      <c r="F3" s="22" t="s">
        <v>895</v>
      </c>
      <c r="G3" s="24" t="s">
        <v>896</v>
      </c>
      <c r="H3" s="1"/>
      <c r="I3" s="93" t="s">
        <v>955</v>
      </c>
      <c r="J3" s="1"/>
      <c r="K3" s="1"/>
      <c r="L3" s="1"/>
      <c r="M3" s="1"/>
      <c r="N3" s="1"/>
      <c r="O3" s="1"/>
      <c r="P3" s="1"/>
      <c r="Q3" s="1"/>
      <c r="R3" s="1"/>
    </row>
    <row r="4" spans="1:18" ht="15" x14ac:dyDescent="0.25">
      <c r="A4" s="25" t="s">
        <v>890</v>
      </c>
      <c r="B4" s="1"/>
      <c r="C4" s="16">
        <f>SUM(C5:C16)</f>
        <v>977407.05113639799</v>
      </c>
      <c r="D4" s="16">
        <f>SUM(D5:D16)</f>
        <v>19547.75</v>
      </c>
      <c r="E4" s="16"/>
      <c r="F4" s="5">
        <f>SUM(C4:E4)</f>
        <v>996954.80113639799</v>
      </c>
      <c r="G4" s="17">
        <f>F4/F$4</f>
        <v>1</v>
      </c>
      <c r="H4" s="1"/>
      <c r="I4" t="str" cm="1">
        <f t="array" aca="1" ref="I4" ca="1">LEFT(CELL("filename",A2),FIND("[",CELL("filename",A2))-1)</f>
        <v>C:\Users\Christian\Documents\JS Projects\FiMa\</v>
      </c>
      <c r="J4" s="1"/>
      <c r="K4" s="1"/>
      <c r="L4" s="1"/>
      <c r="M4" s="1"/>
      <c r="N4" s="1"/>
      <c r="O4" s="1"/>
      <c r="P4" s="1"/>
      <c r="Q4" s="1"/>
      <c r="R4" s="1"/>
    </row>
    <row r="5" spans="1:18" ht="15" x14ac:dyDescent="0.25">
      <c r="A5" s="26" t="s">
        <v>0</v>
      </c>
      <c r="B5" s="131"/>
      <c r="C5" s="16">
        <f>SUMIFS('Anleihen(ver)käufe'!D:D,'Anleihen(ver)käufe'!S:S,TRUE,'Anleihen(ver)käufe'!C:C,A5)</f>
        <v>332432.53544594836</v>
      </c>
      <c r="D5" s="16">
        <f>SUMIFS(Aktien!K:K,Aktien!V:V,TRUE,Aktien!C:C,A5)</f>
        <v>0</v>
      </c>
      <c r="E5" s="16"/>
      <c r="F5" s="5">
        <f t="shared" ref="F5:F16" si="0">SUM(C5:E5)</f>
        <v>332432.53544594836</v>
      </c>
      <c r="G5" s="17">
        <f>F5/F$4</f>
        <v>0.33344795076669353</v>
      </c>
      <c r="H5" s="1"/>
      <c r="I5" s="1"/>
      <c r="J5" s="1"/>
      <c r="K5" s="1"/>
      <c r="L5" s="1"/>
      <c r="M5" s="1"/>
      <c r="N5" s="1"/>
      <c r="O5" s="1"/>
      <c r="P5" s="1"/>
      <c r="Q5" s="1"/>
      <c r="R5" s="1"/>
    </row>
    <row r="6" spans="1:18" ht="15" x14ac:dyDescent="0.25">
      <c r="A6" s="26" t="s">
        <v>1</v>
      </c>
      <c r="B6" s="132"/>
      <c r="C6" s="16">
        <f>SUMIFS('Anleihen(ver)käufe'!D:D,'Anleihen(ver)käufe'!S:S,TRUE,'Anleihen(ver)käufe'!C:C,A6)</f>
        <v>85035.275590479592</v>
      </c>
      <c r="D6" s="16">
        <f>SUMIFS(Aktien!K:K,Aktien!V:V,TRUE,Aktien!C:C,A6)</f>
        <v>0</v>
      </c>
      <c r="E6" s="16"/>
      <c r="F6" s="5">
        <f t="shared" si="0"/>
        <v>85035.275590479592</v>
      </c>
      <c r="G6" s="17">
        <f t="shared" ref="G6:G16" si="1">F6/F$4</f>
        <v>8.5295015875895788E-2</v>
      </c>
      <c r="H6" s="1"/>
      <c r="I6" s="1"/>
      <c r="J6" s="1"/>
      <c r="K6" s="1"/>
      <c r="L6" s="1"/>
      <c r="M6" s="1"/>
      <c r="N6" s="1"/>
      <c r="O6" s="1"/>
      <c r="P6" s="1"/>
      <c r="Q6" s="1"/>
      <c r="R6" s="1"/>
    </row>
    <row r="7" spans="1:18" ht="15" x14ac:dyDescent="0.25">
      <c r="A7" s="26" t="s">
        <v>2</v>
      </c>
      <c r="B7" s="133"/>
      <c r="C7" s="16">
        <f>SUMIFS('Anleihen(ver)käufe'!D:D,'Anleihen(ver)käufe'!S:S,TRUE,'Anleihen(ver)käufe'!C:C,A7)</f>
        <v>79485.136521408975</v>
      </c>
      <c r="D7" s="16">
        <f>SUMIFS(Aktien!K:K,Aktien!V:V,TRUE,Aktien!C:C,A7)</f>
        <v>0</v>
      </c>
      <c r="E7" s="16"/>
      <c r="F7" s="5">
        <f t="shared" si="0"/>
        <v>79485.136521408975</v>
      </c>
      <c r="G7" s="17">
        <f t="shared" si="1"/>
        <v>7.972792390468085E-2</v>
      </c>
      <c r="H7" s="1"/>
      <c r="I7" s="1"/>
      <c r="J7" s="1"/>
      <c r="K7" s="1"/>
      <c r="L7" s="1"/>
      <c r="M7" s="1"/>
      <c r="N7" s="1"/>
      <c r="O7" s="1"/>
      <c r="P7" s="1"/>
      <c r="Q7" s="1"/>
      <c r="R7" s="1"/>
    </row>
    <row r="8" spans="1:18" ht="15" x14ac:dyDescent="0.25">
      <c r="A8" s="26" t="s">
        <v>3</v>
      </c>
      <c r="B8" s="134"/>
      <c r="C8" s="16">
        <f>SUMIFS('Anleihen(ver)käufe'!D:D,'Anleihen(ver)käufe'!S:S,TRUE,'Anleihen(ver)käufe'!C:C,A8)</f>
        <v>39687.764178987934</v>
      </c>
      <c r="D8" s="16">
        <f>SUMIFS(Aktien!K:K,Aktien!V:V,TRUE,Aktien!C:C,A8)</f>
        <v>0</v>
      </c>
      <c r="E8" s="16"/>
      <c r="F8" s="5">
        <f t="shared" si="0"/>
        <v>39687.764178987934</v>
      </c>
      <c r="G8" s="17">
        <f t="shared" si="1"/>
        <v>3.9808990471532989E-2</v>
      </c>
      <c r="H8" s="1"/>
      <c r="I8" s="1"/>
      <c r="J8" s="1"/>
      <c r="K8" s="1"/>
      <c r="L8" s="1"/>
      <c r="M8" s="1"/>
      <c r="N8" s="1"/>
      <c r="O8" s="1"/>
      <c r="P8" s="1"/>
      <c r="Q8" s="1"/>
      <c r="R8" s="1"/>
    </row>
    <row r="9" spans="1:18" ht="15" x14ac:dyDescent="0.25">
      <c r="A9" s="26" t="s">
        <v>4</v>
      </c>
      <c r="B9" s="135"/>
      <c r="C9" s="16">
        <f>SUMIFS('Anleihen(ver)käufe'!D:D,'Anleihen(ver)käufe'!S:S,TRUE,'Anleihen(ver)käufe'!C:C,A9)</f>
        <v>78615.674967980071</v>
      </c>
      <c r="D9" s="16">
        <f>SUMIFS(Aktien!K:K,Aktien!V:V,TRUE,Aktien!C:C,A9)</f>
        <v>0</v>
      </c>
      <c r="E9" s="16"/>
      <c r="F9" s="5">
        <f t="shared" si="0"/>
        <v>78615.674967980071</v>
      </c>
      <c r="G9" s="17">
        <f t="shared" si="1"/>
        <v>7.8855806580567636E-2</v>
      </c>
      <c r="H9" s="1"/>
      <c r="I9" s="1"/>
      <c r="J9" s="1"/>
      <c r="K9" s="1"/>
      <c r="L9" s="1"/>
      <c r="M9" s="1"/>
      <c r="N9" s="1"/>
      <c r="O9" s="1"/>
      <c r="P9" s="1"/>
      <c r="Q9" s="1"/>
      <c r="R9" s="1"/>
    </row>
    <row r="10" spans="1:18" ht="15" x14ac:dyDescent="0.25">
      <c r="A10" s="26" t="s">
        <v>5</v>
      </c>
      <c r="B10" s="136"/>
      <c r="C10" s="16">
        <f>SUMIFS('Anleihen(ver)käufe'!D:D,'Anleihen(ver)käufe'!S:S,TRUE,'Anleihen(ver)käufe'!C:C,A10)</f>
        <v>24655.144285219714</v>
      </c>
      <c r="D10" s="16">
        <f>SUMIFS(Aktien!K:K,Aktien!V:V,TRUE,Aktien!C:C,A10)</f>
        <v>9778.75</v>
      </c>
      <c r="E10" s="16"/>
      <c r="F10" s="5">
        <f t="shared" si="0"/>
        <v>34433.894285219714</v>
      </c>
      <c r="G10" s="17">
        <f t="shared" si="1"/>
        <v>3.4539072629942283E-2</v>
      </c>
      <c r="H10" s="1"/>
      <c r="I10" s="1"/>
      <c r="J10" s="1"/>
      <c r="K10" s="1"/>
      <c r="L10" s="1"/>
      <c r="M10" s="1"/>
      <c r="N10" s="1"/>
      <c r="O10" s="1"/>
      <c r="P10" s="1"/>
      <c r="Q10" s="1"/>
      <c r="R10" s="1"/>
    </row>
    <row r="11" spans="1:18" ht="15" x14ac:dyDescent="0.25">
      <c r="A11" s="26" t="s">
        <v>6</v>
      </c>
      <c r="B11" s="137"/>
      <c r="C11" s="16">
        <f>SUMIFS('Anleihen(ver)käufe'!D:D,'Anleihen(ver)käufe'!S:S,TRUE,'Anleihen(ver)käufe'!C:C,A11)</f>
        <v>29688.019128857573</v>
      </c>
      <c r="D11" s="16">
        <f>SUMIFS(Aktien!K:K,Aktien!V:V,TRUE,Aktien!C:C,A11)</f>
        <v>0</v>
      </c>
      <c r="E11" s="16"/>
      <c r="F11" s="5">
        <f t="shared" si="0"/>
        <v>29688.019128857573</v>
      </c>
      <c r="G11" s="17">
        <f t="shared" si="1"/>
        <v>2.9778701195898868E-2</v>
      </c>
      <c r="H11" s="1"/>
      <c r="I11" s="1"/>
      <c r="J11" s="1"/>
      <c r="K11" s="1"/>
      <c r="L11" s="1"/>
      <c r="M11" s="1"/>
      <c r="N11" s="1"/>
      <c r="O11" s="1"/>
      <c r="P11" s="1"/>
      <c r="Q11" s="1"/>
      <c r="R11" s="1"/>
    </row>
    <row r="12" spans="1:18" ht="15" x14ac:dyDescent="0.25">
      <c r="A12" s="26" t="s">
        <v>7</v>
      </c>
      <c r="B12" s="138"/>
      <c r="C12" s="16">
        <f>SUMIFS('Anleihen(ver)käufe'!D:D,'Anleihen(ver)käufe'!S:S,TRUE,'Anleihen(ver)käufe'!C:C,A12)</f>
        <v>33987.184189586078</v>
      </c>
      <c r="D12" s="16">
        <f>SUMIFS(Aktien!K:K,Aktien!V:V,TRUE,Aktien!C:C,A12)</f>
        <v>5904</v>
      </c>
      <c r="E12" s="16"/>
      <c r="F12" s="5">
        <f t="shared" si="0"/>
        <v>39891.184189586078</v>
      </c>
      <c r="G12" s="17">
        <f t="shared" si="1"/>
        <v>4.0013031828639925E-2</v>
      </c>
      <c r="H12" s="1"/>
      <c r="I12" s="1"/>
      <c r="J12" s="1"/>
      <c r="K12" s="1"/>
      <c r="L12" s="1"/>
      <c r="M12" s="1"/>
      <c r="N12" s="1"/>
      <c r="O12" s="1"/>
      <c r="P12" s="1"/>
      <c r="Q12" s="1"/>
      <c r="R12" s="1"/>
    </row>
    <row r="13" spans="1:18" ht="15" x14ac:dyDescent="0.25">
      <c r="A13" s="26" t="s">
        <v>8</v>
      </c>
      <c r="B13" s="139"/>
      <c r="C13" s="16">
        <f>SUMIFS('Anleihen(ver)käufe'!D:D,'Anleihen(ver)käufe'!S:S,TRUE,'Anleihen(ver)käufe'!C:C,A13)</f>
        <v>63288.12636249057</v>
      </c>
      <c r="D13" s="16">
        <f>SUMIFS(Aktien!K:K,Aktien!V:V,TRUE,Aktien!C:C,A13)</f>
        <v>3865</v>
      </c>
      <c r="E13" s="16"/>
      <c r="F13" s="5">
        <f t="shared" si="0"/>
        <v>67153.12636249057</v>
      </c>
      <c r="G13" s="17">
        <f t="shared" si="1"/>
        <v>6.7358245615493098E-2</v>
      </c>
      <c r="H13" s="1"/>
      <c r="I13" s="1"/>
      <c r="J13" s="1"/>
      <c r="K13" s="1"/>
      <c r="L13" s="1"/>
      <c r="M13" s="1"/>
      <c r="N13" s="1"/>
      <c r="O13" s="1"/>
      <c r="P13" s="1"/>
      <c r="Q13" s="1"/>
      <c r="R13" s="1"/>
    </row>
    <row r="14" spans="1:18" ht="15" x14ac:dyDescent="0.25">
      <c r="A14" s="26" t="s">
        <v>9</v>
      </c>
      <c r="B14" s="140"/>
      <c r="C14" s="16">
        <f>SUMIFS('Anleihen(ver)käufe'!D:D,'Anleihen(ver)käufe'!S:S,TRUE,'Anleihen(ver)käufe'!C:C,A14)</f>
        <v>38764.20329203517</v>
      </c>
      <c r="D14" s="16">
        <f>SUMIFS(Aktien!K:K,Aktien!V:V,TRUE,Aktien!C:C,A14)</f>
        <v>0</v>
      </c>
      <c r="E14" s="16"/>
      <c r="F14" s="5">
        <f t="shared" si="0"/>
        <v>38764.20329203517</v>
      </c>
      <c r="G14" s="17">
        <f t="shared" si="1"/>
        <v>3.8882608567458676E-2</v>
      </c>
      <c r="H14" s="1"/>
      <c r="I14" s="1"/>
      <c r="J14" s="1"/>
      <c r="K14" s="1"/>
      <c r="L14" s="1"/>
      <c r="M14" s="1"/>
      <c r="N14" s="1"/>
      <c r="O14" s="1"/>
      <c r="P14" s="1"/>
      <c r="Q14" s="1"/>
      <c r="R14" s="1"/>
    </row>
    <row r="15" spans="1:18" ht="15" x14ac:dyDescent="0.25">
      <c r="A15" s="26" t="s">
        <v>10</v>
      </c>
      <c r="B15" s="141"/>
      <c r="C15" s="16">
        <f>SUMIFS('Anleihen(ver)käufe'!D:D,'Anleihen(ver)käufe'!S:S,TRUE,'Anleihen(ver)käufe'!C:C,A15)</f>
        <v>97029.762726120753</v>
      </c>
      <c r="D15" s="16">
        <f>SUMIFS(Aktien!K:K,Aktien!V:V,TRUE,Aktien!C:C,A15)</f>
        <v>0</v>
      </c>
      <c r="E15" s="16"/>
      <c r="F15" s="5">
        <f t="shared" si="0"/>
        <v>97029.762726120753</v>
      </c>
      <c r="G15" s="17">
        <f t="shared" si="1"/>
        <v>9.7326140177588311E-2</v>
      </c>
      <c r="H15" s="1"/>
      <c r="I15" s="1"/>
      <c r="J15" s="1"/>
      <c r="K15" s="1"/>
      <c r="L15" s="1"/>
      <c r="M15" s="1"/>
      <c r="N15" s="1"/>
      <c r="O15" s="1"/>
      <c r="P15" s="1"/>
      <c r="Q15" s="1"/>
      <c r="R15" s="1"/>
    </row>
    <row r="16" spans="1:18" ht="15" x14ac:dyDescent="0.25">
      <c r="A16" s="27" t="s">
        <v>11</v>
      </c>
      <c r="B16" s="142"/>
      <c r="C16" s="18">
        <f>SUMIFS('Anleihen(ver)käufe'!D:D,'Anleihen(ver)käufe'!S:S,TRUE,'Anleihen(ver)käufe'!C:C,A16)</f>
        <v>74738.224447283326</v>
      </c>
      <c r="D16" s="18">
        <f>SUMIFS(Aktien!K:K,Aktien!V:V,TRUE,Aktien!C:C,A16)</f>
        <v>0</v>
      </c>
      <c r="E16" s="18"/>
      <c r="F16" s="19">
        <f t="shared" si="0"/>
        <v>74738.224447283326</v>
      </c>
      <c r="G16" s="20">
        <f t="shared" si="1"/>
        <v>7.4966512385608183E-2</v>
      </c>
      <c r="H16" s="1"/>
      <c r="I16" s="1"/>
      <c r="J16" s="1"/>
      <c r="K16" s="1"/>
      <c r="L16" s="1"/>
      <c r="M16" s="1"/>
      <c r="N16" s="1"/>
      <c r="O16" s="1"/>
      <c r="P16" s="1"/>
      <c r="Q16" s="1"/>
      <c r="R16" s="1"/>
    </row>
    <row r="17" spans="1:18" ht="14.25" x14ac:dyDescent="0.2">
      <c r="A17" s="1"/>
      <c r="B17" s="120"/>
      <c r="C17" s="4"/>
      <c r="D17" s="1"/>
      <c r="E17" s="1"/>
      <c r="F17" s="1"/>
      <c r="G17" s="7"/>
      <c r="H17" s="1"/>
      <c r="I17" s="1"/>
      <c r="J17" s="1"/>
      <c r="K17" s="1"/>
      <c r="L17" s="1"/>
      <c r="M17" s="1"/>
      <c r="N17" s="1"/>
      <c r="O17" s="1"/>
      <c r="P17" s="1"/>
      <c r="Q17" s="1"/>
      <c r="R17" s="1"/>
    </row>
    <row r="18" spans="1:18" ht="15" x14ac:dyDescent="0.25">
      <c r="A18" s="143" t="s">
        <v>30</v>
      </c>
      <c r="B18" s="120" t="s">
        <v>1844</v>
      </c>
      <c r="C18" s="129"/>
      <c r="D18" s="1"/>
      <c r="E18" s="1"/>
      <c r="F18" s="1"/>
      <c r="G18" s="7"/>
      <c r="H18" s="1"/>
      <c r="I18" s="1"/>
      <c r="J18" s="1"/>
      <c r="K18" s="1"/>
      <c r="L18" s="1"/>
      <c r="M18" s="1"/>
      <c r="N18" s="1"/>
      <c r="O18" s="1"/>
      <c r="P18" s="1"/>
      <c r="Q18" s="1"/>
      <c r="R18" s="1"/>
    </row>
    <row r="19" spans="1:18" ht="15" x14ac:dyDescent="0.25">
      <c r="A19" s="143" t="s">
        <v>276</v>
      </c>
      <c r="B19" s="144">
        <f>COUNTIF(aktuelleAnleihen[Land],Nebenrechnungen!A19)</f>
        <v>83</v>
      </c>
      <c r="E19" s="1"/>
      <c r="F19" s="1"/>
      <c r="G19" s="7"/>
      <c r="H19" s="1"/>
      <c r="I19" s="1"/>
      <c r="J19" s="1"/>
      <c r="K19" s="1"/>
      <c r="L19" s="1"/>
      <c r="M19" s="1"/>
      <c r="N19" s="1"/>
      <c r="O19" s="1"/>
      <c r="P19" s="1"/>
      <c r="Q19" s="1"/>
      <c r="R19" s="1"/>
    </row>
    <row r="20" spans="1:18" ht="15" x14ac:dyDescent="0.25">
      <c r="A20" s="143" t="s">
        <v>56</v>
      </c>
      <c r="B20" s="144">
        <f>COUNTIF(aktuelleAnleihen[Land],Nebenrechnungen!A20)</f>
        <v>70</v>
      </c>
      <c r="E20" s="1"/>
      <c r="F20" s="1"/>
      <c r="G20" s="1"/>
      <c r="H20" s="1"/>
      <c r="I20" s="1"/>
      <c r="J20" s="1"/>
      <c r="K20" s="1"/>
      <c r="L20" s="1"/>
      <c r="M20" s="1"/>
    </row>
    <row r="21" spans="1:18" ht="15" x14ac:dyDescent="0.25">
      <c r="A21" s="93" t="s">
        <v>35</v>
      </c>
      <c r="B21" s="144">
        <f>COUNTIF(aktuelleAnleihen[Land],Nebenrechnungen!A21)</f>
        <v>44</v>
      </c>
      <c r="E21" s="1"/>
      <c r="F21" s="1"/>
      <c r="G21" s="1"/>
      <c r="H21" s="1"/>
      <c r="I21" s="1"/>
      <c r="J21" s="1"/>
      <c r="K21" s="1"/>
      <c r="L21" s="1"/>
      <c r="M21" s="1"/>
    </row>
    <row r="22" spans="1:18" ht="15" x14ac:dyDescent="0.25">
      <c r="A22" s="93" t="s">
        <v>65</v>
      </c>
      <c r="B22" s="144">
        <f>COUNTIF(aktuelleAnleihen[Land],Nebenrechnungen!A22)</f>
        <v>39</v>
      </c>
      <c r="E22" s="1"/>
      <c r="F22" s="1"/>
      <c r="G22" s="1"/>
      <c r="H22" s="1"/>
      <c r="I22" s="1"/>
      <c r="J22" s="1"/>
      <c r="K22" s="1"/>
      <c r="L22" s="1"/>
      <c r="M22" s="1"/>
    </row>
    <row r="23" spans="1:18" ht="15" x14ac:dyDescent="0.25">
      <c r="A23" s="93" t="s">
        <v>51</v>
      </c>
      <c r="B23" s="144">
        <f>COUNTIF(aktuelleAnleihen[Land],Nebenrechnungen!A23)</f>
        <v>34</v>
      </c>
      <c r="E23" s="1"/>
      <c r="F23" s="1"/>
      <c r="G23" s="1"/>
      <c r="H23" s="1"/>
      <c r="I23" s="1"/>
      <c r="J23" s="1"/>
      <c r="K23" s="1"/>
      <c r="L23" s="1"/>
      <c r="M23" s="1"/>
    </row>
    <row r="24" spans="1:18" ht="15" x14ac:dyDescent="0.25">
      <c r="A24" s="93" t="s">
        <v>102</v>
      </c>
      <c r="B24" s="144">
        <f>COUNTIF(aktuelleAnleihen[Land],Nebenrechnungen!A24)</f>
        <v>24</v>
      </c>
      <c r="E24" s="1"/>
      <c r="F24" s="1"/>
      <c r="G24" s="1"/>
      <c r="H24" s="1"/>
      <c r="I24" s="1"/>
      <c r="J24" s="1"/>
      <c r="K24" s="1"/>
      <c r="L24" s="1"/>
      <c r="M24" s="1"/>
    </row>
    <row r="25" spans="1:18" ht="15" x14ac:dyDescent="0.25">
      <c r="A25" s="93" t="s">
        <v>170</v>
      </c>
      <c r="B25" s="144">
        <f>COUNTIF(aktuelleAnleihen[Land],Nebenrechnungen!A25)</f>
        <v>20</v>
      </c>
      <c r="E25" s="1"/>
      <c r="F25" s="1"/>
      <c r="G25" s="1"/>
      <c r="H25" s="1"/>
      <c r="I25" s="1"/>
      <c r="J25" s="1"/>
      <c r="K25" s="1"/>
      <c r="L25" s="1"/>
      <c r="M25" s="1"/>
    </row>
    <row r="26" spans="1:18" ht="15" x14ac:dyDescent="0.25">
      <c r="A26" s="93" t="s">
        <v>1004</v>
      </c>
      <c r="B26" s="144">
        <f>COUNTIF(aktuelleAnleihen[Land],Nebenrechnungen!A26)</f>
        <v>20</v>
      </c>
      <c r="E26" s="1"/>
      <c r="F26" s="1"/>
      <c r="G26" s="7"/>
      <c r="H26" s="1"/>
      <c r="I26" s="1"/>
      <c r="J26" s="1"/>
      <c r="K26" s="1"/>
      <c r="L26" s="1"/>
      <c r="M26" s="1"/>
      <c r="N26" s="1"/>
      <c r="O26" s="1"/>
      <c r="P26" s="1"/>
      <c r="Q26" s="1"/>
      <c r="R26" s="1"/>
    </row>
    <row r="27" spans="1:18" ht="15" x14ac:dyDescent="0.25">
      <c r="A27" s="93" t="s">
        <v>1096</v>
      </c>
      <c r="B27" s="144">
        <f>COUNTIF(aktuelleAnleihen[Land],Nebenrechnungen!A27)</f>
        <v>10</v>
      </c>
      <c r="E27" s="1"/>
      <c r="F27" s="1"/>
      <c r="G27" s="7"/>
      <c r="H27" s="1"/>
      <c r="I27" s="1"/>
      <c r="J27" s="1"/>
      <c r="K27" s="1"/>
      <c r="L27" s="1"/>
      <c r="M27" s="1"/>
      <c r="N27" s="1"/>
      <c r="O27" s="1"/>
      <c r="P27" s="1"/>
      <c r="Q27" s="1"/>
      <c r="R27" s="1"/>
    </row>
    <row r="28" spans="1:18" ht="15" x14ac:dyDescent="0.25">
      <c r="A28" s="93" t="s">
        <v>986</v>
      </c>
      <c r="B28" s="144">
        <f>COUNTIF(aktuelleAnleihen[Land],Nebenrechnungen!A28)</f>
        <v>10</v>
      </c>
      <c r="E28" s="1"/>
      <c r="F28" s="1"/>
      <c r="G28" s="7"/>
      <c r="H28" s="1"/>
      <c r="I28" s="1"/>
      <c r="J28" s="1"/>
      <c r="K28" s="1"/>
      <c r="L28" s="1"/>
      <c r="M28" s="1"/>
      <c r="N28" s="1"/>
      <c r="O28" s="1"/>
      <c r="P28" s="1"/>
      <c r="Q28" s="1"/>
      <c r="R28" s="1"/>
    </row>
    <row r="29" spans="1:18" ht="15" x14ac:dyDescent="0.25">
      <c r="A29" s="93" t="s">
        <v>1105</v>
      </c>
      <c r="B29" s="144">
        <f>COUNTIF(aktuelleAnleihen[Land],Nebenrechnungen!A29)</f>
        <v>10</v>
      </c>
      <c r="E29" s="1"/>
      <c r="F29" s="1"/>
      <c r="G29" s="7"/>
      <c r="H29" s="1"/>
      <c r="I29" s="1"/>
      <c r="J29" s="1"/>
      <c r="K29" s="1"/>
      <c r="L29" s="1"/>
      <c r="M29" s="1"/>
      <c r="N29" s="1"/>
      <c r="O29" s="1"/>
      <c r="P29" s="1"/>
      <c r="Q29" s="1"/>
      <c r="R29" s="1"/>
    </row>
    <row r="30" spans="1:18" ht="15" x14ac:dyDescent="0.25">
      <c r="A30" s="93" t="s">
        <v>1020</v>
      </c>
      <c r="B30" s="144">
        <f>COUNTIF(aktuelleAnleihen[Land],Nebenrechnungen!A30)</f>
        <v>9</v>
      </c>
      <c r="E30" s="1"/>
      <c r="F30" s="1"/>
      <c r="G30" s="7"/>
      <c r="H30" s="1"/>
      <c r="I30" s="1"/>
      <c r="J30" s="1"/>
      <c r="K30" s="1"/>
      <c r="L30" s="1"/>
      <c r="M30" s="1"/>
      <c r="N30" s="1"/>
      <c r="O30" s="1"/>
      <c r="P30" s="1"/>
      <c r="Q30" s="1"/>
      <c r="R30" s="1"/>
    </row>
    <row r="31" spans="1:18" ht="15" x14ac:dyDescent="0.25">
      <c r="A31" s="93" t="s">
        <v>176</v>
      </c>
      <c r="B31" s="144">
        <f>COUNTIF(aktuelleAnleihen[Land],Nebenrechnungen!A31)</f>
        <v>8</v>
      </c>
      <c r="E31" s="1"/>
      <c r="F31" s="1"/>
      <c r="G31" s="7"/>
      <c r="H31" s="1"/>
      <c r="I31" s="1"/>
      <c r="J31" s="1"/>
      <c r="K31" s="1"/>
      <c r="L31" s="1"/>
      <c r="M31" s="1"/>
      <c r="N31" s="1"/>
      <c r="O31" s="1"/>
      <c r="P31" s="1"/>
      <c r="Q31" s="1"/>
      <c r="R31" s="1"/>
    </row>
    <row r="32" spans="1:18" ht="15" x14ac:dyDescent="0.25">
      <c r="A32" s="93" t="s">
        <v>284</v>
      </c>
      <c r="B32" s="144">
        <f>COUNTIF(aktuelleAnleihen[Land],Nebenrechnungen!A32)</f>
        <v>8</v>
      </c>
      <c r="E32" s="1"/>
      <c r="F32" s="1"/>
      <c r="G32" s="7"/>
      <c r="H32" s="1"/>
      <c r="I32" s="1"/>
      <c r="J32" s="1"/>
      <c r="K32" s="1"/>
      <c r="L32" s="1"/>
      <c r="M32" s="1"/>
      <c r="N32" s="1"/>
      <c r="O32" s="1"/>
      <c r="P32" s="1"/>
      <c r="Q32" s="1"/>
      <c r="R32" s="1"/>
    </row>
    <row r="33" spans="1:18" ht="15" x14ac:dyDescent="0.25">
      <c r="A33" s="93" t="s">
        <v>1839</v>
      </c>
      <c r="B33" s="144">
        <f>B34-SUM(B19:B32)</f>
        <v>121</v>
      </c>
      <c r="D33" s="7"/>
      <c r="E33" s="1"/>
      <c r="F33" s="1"/>
      <c r="G33" s="1"/>
      <c r="H33" s="1"/>
      <c r="I33" s="1"/>
      <c r="J33" s="1"/>
      <c r="K33" s="1"/>
      <c r="L33" s="1"/>
      <c r="M33" s="1"/>
      <c r="N33" s="1"/>
      <c r="O33" s="1"/>
    </row>
    <row r="34" spans="1:18" ht="14.25" x14ac:dyDescent="0.2">
      <c r="A34" s="1"/>
      <c r="B34" s="144">
        <f>COUNT(aktuelleAnleihen[Verkaufspreis])</f>
        <v>510</v>
      </c>
      <c r="D34" s="7"/>
      <c r="E34" s="1"/>
      <c r="F34" s="1"/>
      <c r="G34" s="1"/>
      <c r="H34" s="1"/>
      <c r="I34" s="1"/>
      <c r="J34" s="1"/>
      <c r="K34" s="1"/>
      <c r="L34" s="1"/>
      <c r="M34" s="1"/>
      <c r="N34" s="1"/>
      <c r="O34" s="1"/>
    </row>
    <row r="35" spans="1:18" ht="14.25" x14ac:dyDescent="0.2">
      <c r="A35" s="1"/>
      <c r="B35" s="1"/>
      <c r="C35" s="1"/>
      <c r="D35" s="7"/>
      <c r="E35" s="1"/>
      <c r="F35" s="1"/>
      <c r="G35" s="1"/>
      <c r="H35" s="1"/>
      <c r="I35" s="1"/>
      <c r="J35" s="1"/>
      <c r="K35" s="1"/>
      <c r="L35" s="1"/>
      <c r="M35" s="1"/>
      <c r="N35" s="1"/>
      <c r="O35" s="1"/>
    </row>
    <row r="36" spans="1:18" ht="13.5" customHeight="1" x14ac:dyDescent="0.2">
      <c r="A36" s="1" t="str" cm="1">
        <f t="array" ref="A36:A114">_xlfn.UNIQUE(anleihenkäufe[Land])</f>
        <v>Deutschland</v>
      </c>
      <c r="B36" s="130">
        <f>COUNTIF(anleihenkäufe[Land],Nebenrechnungen!A36)</f>
        <v>81</v>
      </c>
      <c r="C36" s="1"/>
      <c r="D36" s="7"/>
      <c r="E36" s="1"/>
      <c r="F36" s="1"/>
      <c r="G36" s="1"/>
      <c r="H36" s="1"/>
      <c r="I36" s="1"/>
      <c r="J36" s="1"/>
      <c r="K36" s="1"/>
      <c r="L36" s="1"/>
      <c r="M36" s="1"/>
      <c r="N36" s="1"/>
      <c r="O36" s="1"/>
    </row>
    <row r="37" spans="1:18" ht="14.25" x14ac:dyDescent="0.2">
      <c r="A37" s="1" t="str">
        <v>Frankreich</v>
      </c>
      <c r="B37" s="130">
        <f>COUNTIF(anleihenkäufe[Land],Nebenrechnungen!A37)</f>
        <v>26</v>
      </c>
      <c r="D37" s="1"/>
      <c r="E37" s="1"/>
      <c r="F37" s="1"/>
      <c r="G37" s="7"/>
      <c r="H37" s="1"/>
      <c r="I37" s="1"/>
      <c r="J37" s="1"/>
      <c r="K37" s="1"/>
      <c r="L37" s="1"/>
      <c r="M37" s="1"/>
      <c r="N37" s="1"/>
      <c r="O37" s="1"/>
      <c r="P37" s="1"/>
      <c r="Q37" s="1"/>
      <c r="R37" s="1"/>
    </row>
    <row r="38" spans="1:18" ht="14.25" x14ac:dyDescent="0.2">
      <c r="A38" s="1" t="str">
        <v>Luxemburg</v>
      </c>
      <c r="B38" s="130">
        <f>COUNTIF(anleihenkäufe[Land],Nebenrechnungen!A38)</f>
        <v>46</v>
      </c>
      <c r="D38" s="1"/>
      <c r="E38" s="1"/>
      <c r="F38" s="1"/>
      <c r="G38" s="7"/>
      <c r="H38" s="1"/>
      <c r="I38" s="1"/>
      <c r="J38" s="1"/>
      <c r="K38" s="1"/>
      <c r="L38" s="1"/>
      <c r="M38" s="1"/>
      <c r="N38" s="1"/>
      <c r="O38" s="1"/>
      <c r="P38" s="1"/>
      <c r="Q38" s="1"/>
      <c r="R38" s="1"/>
    </row>
    <row r="39" spans="1:18" ht="14.25" x14ac:dyDescent="0.2">
      <c r="A39" s="1" t="str">
        <v>Schweden</v>
      </c>
      <c r="B39" s="130">
        <f>COUNTIF(anleihenkäufe[Land],Nebenrechnungen!A39)</f>
        <v>5</v>
      </c>
    </row>
    <row r="40" spans="1:18" ht="14.25" x14ac:dyDescent="0.2">
      <c r="A40" s="1" t="str">
        <v>Österreich</v>
      </c>
      <c r="B40" s="130">
        <f>COUNTIF(anleihenkäufe[Land],Nebenrechnungen!A40)</f>
        <v>8</v>
      </c>
    </row>
    <row r="41" spans="1:18" ht="14.25" x14ac:dyDescent="0.2">
      <c r="A41" s="1" t="str">
        <v>Niederlande</v>
      </c>
      <c r="B41" s="130">
        <f>COUNTIF(anleihenkäufe[Land],Nebenrechnungen!A41)</f>
        <v>34</v>
      </c>
    </row>
    <row r="42" spans="1:18" ht="14.25" x14ac:dyDescent="0.2">
      <c r="A42" s="1" t="str">
        <v>Dänemark</v>
      </c>
      <c r="B42" s="130">
        <f>COUNTIF(anleihenkäufe[Land],Nebenrechnungen!A42)</f>
        <v>8</v>
      </c>
    </row>
    <row r="43" spans="1:18" ht="14.25" x14ac:dyDescent="0.2">
      <c r="A43" s="1" t="str">
        <v>Malta</v>
      </c>
      <c r="B43" s="130">
        <f>COUNTIF(anleihenkäufe[Land],Nebenrechnungen!A43)</f>
        <v>2</v>
      </c>
    </row>
    <row r="44" spans="1:18" ht="14.25" x14ac:dyDescent="0.2">
      <c r="A44" s="1" t="str">
        <v>Finnland</v>
      </c>
      <c r="B44" s="130">
        <f>COUNTIF(anleihenkäufe[Land],Nebenrechnungen!A44)</f>
        <v>3</v>
      </c>
      <c r="C44"/>
    </row>
    <row r="45" spans="1:18" ht="14.25" x14ac:dyDescent="0.2">
      <c r="A45" s="1" t="str">
        <v>GB</v>
      </c>
      <c r="B45" s="130">
        <f>COUNTIF(anleihenkäufe[Land],Nebenrechnungen!A45)</f>
        <v>39</v>
      </c>
      <c r="C45"/>
    </row>
    <row r="46" spans="1:18" ht="14.25" x14ac:dyDescent="0.2">
      <c r="A46" s="1" t="str">
        <v>USA</v>
      </c>
      <c r="B46" s="130">
        <f>COUNTIF(anleihenkäufe[Land],Nebenrechnungen!A46)</f>
        <v>84</v>
      </c>
      <c r="C46"/>
    </row>
    <row r="47" spans="1:18" ht="14.25" x14ac:dyDescent="0.2">
      <c r="A47" s="1" t="str">
        <v>Liechtenstein</v>
      </c>
      <c r="B47" s="130">
        <f>COUNTIF(anleihenkäufe[Land],Nebenrechnungen!A47)</f>
        <v>1</v>
      </c>
      <c r="C47"/>
    </row>
    <row r="48" spans="1:18" ht="14.25" x14ac:dyDescent="0.2">
      <c r="A48" s="1" t="str">
        <v>Italien</v>
      </c>
      <c r="B48" s="130">
        <f>COUNTIF(anleihenkäufe[Land],Nebenrechnungen!A48)</f>
        <v>21</v>
      </c>
      <c r="C48"/>
    </row>
    <row r="49" spans="1:3" ht="14.25" x14ac:dyDescent="0.2">
      <c r="A49" s="1" t="str">
        <v>Rumänien</v>
      </c>
      <c r="B49" s="130">
        <f>COUNTIF(anleihenkäufe[Land],Nebenrechnungen!A49)</f>
        <v>2</v>
      </c>
      <c r="C49"/>
    </row>
    <row r="50" spans="1:3" ht="14.25" x14ac:dyDescent="0.2">
      <c r="A50" s="1" t="str">
        <v>Tunesien</v>
      </c>
      <c r="B50" s="130">
        <f>COUNTIF(anleihenkäufe[Land],Nebenrechnungen!A50)</f>
        <v>1</v>
      </c>
      <c r="C50"/>
    </row>
    <row r="51" spans="1:3" ht="14.25" x14ac:dyDescent="0.2">
      <c r="A51" s="1" t="str">
        <v>Ägypten</v>
      </c>
      <c r="B51" s="130">
        <f>COUNTIF(anleihenkäufe[Land],Nebenrechnungen!A51)</f>
        <v>1</v>
      </c>
      <c r="C51"/>
    </row>
    <row r="52" spans="1:3" ht="14.25" x14ac:dyDescent="0.2">
      <c r="A52" s="1" t="str">
        <v>San Marino</v>
      </c>
      <c r="B52" s="130">
        <f>COUNTIF(anleihenkäufe[Land],Nebenrechnungen!A52)</f>
        <v>1</v>
      </c>
      <c r="C52"/>
    </row>
    <row r="53" spans="1:3" ht="14.25" x14ac:dyDescent="0.2">
      <c r="A53" s="1" t="str">
        <v>Elfenbeinküste</v>
      </c>
      <c r="B53" s="130">
        <f>COUNTIF(anleihenkäufe[Land],Nebenrechnungen!A53)</f>
        <v>2</v>
      </c>
      <c r="C53"/>
    </row>
    <row r="54" spans="1:3" ht="14.25" x14ac:dyDescent="0.2">
      <c r="A54" s="1" t="str">
        <v>Schweiz</v>
      </c>
      <c r="B54" s="130">
        <f>COUNTIF(anleihenkäufe[Land],Nebenrechnungen!A54)</f>
        <v>2</v>
      </c>
      <c r="C54"/>
    </row>
    <row r="55" spans="1:3" ht="14.25" x14ac:dyDescent="0.2">
      <c r="A55" s="1" t="str">
        <v>Ukraine</v>
      </c>
      <c r="B55" s="130">
        <f>COUNTIF(anleihenkäufe[Land],Nebenrechnungen!A55)</f>
        <v>1</v>
      </c>
      <c r="C55"/>
    </row>
    <row r="56" spans="1:3" ht="14.25" x14ac:dyDescent="0.2">
      <c r="A56" s="1" t="str">
        <v>Irland</v>
      </c>
      <c r="B56" s="130">
        <f>COUNTIF(anleihenkäufe[Land],Nebenrechnungen!A56)</f>
        <v>8</v>
      </c>
      <c r="C56"/>
    </row>
    <row r="57" spans="1:3" ht="14.25" x14ac:dyDescent="0.2">
      <c r="A57" s="1" t="str">
        <v>Benin</v>
      </c>
      <c r="B57" s="130">
        <f>COUNTIF(anleihenkäufe[Land],Nebenrechnungen!A57)</f>
        <v>1</v>
      </c>
      <c r="C57"/>
    </row>
    <row r="58" spans="1:3" ht="14.25" x14ac:dyDescent="0.2">
      <c r="A58" s="1" t="str">
        <v>Mazedonien</v>
      </c>
      <c r="B58" s="130">
        <f>COUNTIF(anleihenkäufe[Land],Nebenrechnungen!A58)</f>
        <v>1</v>
      </c>
      <c r="C58"/>
    </row>
    <row r="59" spans="1:3" ht="14.25" x14ac:dyDescent="0.2">
      <c r="A59" s="1" t="str">
        <v>Griechenland</v>
      </c>
      <c r="B59" s="130">
        <f>COUNTIF(anleihenkäufe[Land],Nebenrechnungen!A59)</f>
        <v>6</v>
      </c>
      <c r="C59"/>
    </row>
    <row r="60" spans="1:3" ht="14.25" x14ac:dyDescent="0.2">
      <c r="A60" s="1" t="str">
        <v>Australien</v>
      </c>
      <c r="B60" s="130">
        <f>COUNTIF(anleihenkäufe[Land],Nebenrechnungen!A60)</f>
        <v>3</v>
      </c>
      <c r="C60"/>
    </row>
    <row r="61" spans="1:3" ht="14.25" x14ac:dyDescent="0.2">
      <c r="A61" s="1" t="str">
        <v>Estland</v>
      </c>
      <c r="B61" s="130">
        <f>COUNTIF(anleihenkäufe[Land],Nebenrechnungen!A61)</f>
        <v>2</v>
      </c>
      <c r="C61"/>
    </row>
    <row r="62" spans="1:3" ht="14.25" x14ac:dyDescent="0.2">
      <c r="A62" s="1" t="str">
        <v>Jersey</v>
      </c>
      <c r="B62" s="130">
        <f>COUNTIF(anleihenkäufe[Land],Nebenrechnungen!A62)</f>
        <v>8</v>
      </c>
      <c r="C62"/>
    </row>
    <row r="63" spans="1:3" ht="14.25" x14ac:dyDescent="0.2">
      <c r="A63" s="1" t="str">
        <v>Island</v>
      </c>
      <c r="B63" s="130">
        <f>COUNTIF(anleihenkäufe[Land],Nebenrechnungen!A63)</f>
        <v>1</v>
      </c>
      <c r="C63"/>
    </row>
    <row r="64" spans="1:3" ht="14.25" x14ac:dyDescent="0.2">
      <c r="A64" s="1" t="str">
        <v>Ungarn</v>
      </c>
      <c r="B64" s="130">
        <f>COUNTIF(anleihenkäufe[Land],Nebenrechnungen!A64)</f>
        <v>2</v>
      </c>
      <c r="C64"/>
    </row>
    <row r="65" spans="1:3" ht="14.25" x14ac:dyDescent="0.2">
      <c r="A65" s="1" t="str">
        <v>Singapur</v>
      </c>
      <c r="B65" s="130">
        <f>COUNTIF(anleihenkäufe[Land],Nebenrechnungen!A65)</f>
        <v>2</v>
      </c>
      <c r="C65"/>
    </row>
    <row r="66" spans="1:3" ht="14.25" x14ac:dyDescent="0.2">
      <c r="A66" s="1" t="str">
        <v>Panama</v>
      </c>
      <c r="B66" s="130">
        <f>COUNTIF(anleihenkäufe[Land],Nebenrechnungen!A66)</f>
        <v>3</v>
      </c>
      <c r="C66"/>
    </row>
    <row r="67" spans="1:3" ht="14.25" x14ac:dyDescent="0.2">
      <c r="A67" s="1" t="str">
        <v>Norwegen</v>
      </c>
      <c r="B67" s="130">
        <f>COUNTIF(anleihenkäufe[Land],Nebenrechnungen!A67)</f>
        <v>3</v>
      </c>
      <c r="C67"/>
    </row>
    <row r="68" spans="1:3" ht="14.25" x14ac:dyDescent="0.2">
      <c r="A68" s="1" t="str">
        <v>Gibraltar</v>
      </c>
      <c r="B68" s="130">
        <f>COUNTIF(anleihenkäufe[Land],Nebenrechnungen!A68)</f>
        <v>1</v>
      </c>
      <c r="C68"/>
    </row>
    <row r="69" spans="1:3" ht="14.25" x14ac:dyDescent="0.2">
      <c r="A69" s="1" t="str">
        <v>Spanien</v>
      </c>
      <c r="B69" s="130">
        <f>COUNTIF(anleihenkäufe[Land],Nebenrechnungen!A69)</f>
        <v>6</v>
      </c>
      <c r="C69"/>
    </row>
    <row r="70" spans="1:3" ht="14.25" x14ac:dyDescent="0.2">
      <c r="A70" s="1" t="str">
        <v>Polen</v>
      </c>
      <c r="B70" s="130">
        <f>COUNTIF(anleihenkäufe[Land],Nebenrechnungen!A70)</f>
        <v>1</v>
      </c>
      <c r="C70"/>
    </row>
    <row r="71" spans="1:3" ht="14.25" x14ac:dyDescent="0.2">
      <c r="A71" s="1" t="str">
        <v>Zypern</v>
      </c>
      <c r="B71" s="130">
        <f>COUNTIF(anleihenkäufe[Land],Nebenrechnungen!A71)</f>
        <v>3</v>
      </c>
      <c r="C71"/>
    </row>
    <row r="72" spans="1:3" ht="14.25" x14ac:dyDescent="0.2">
      <c r="A72" s="1" t="str">
        <v>Hong Kong</v>
      </c>
      <c r="B72" s="130">
        <f>COUNTIF(anleihenkäufe[Land],Nebenrechnungen!A72)</f>
        <v>1</v>
      </c>
      <c r="C72"/>
    </row>
    <row r="73" spans="1:3" ht="14.25" x14ac:dyDescent="0.2">
      <c r="A73" s="1" t="str">
        <v>Kaiman Inseln</v>
      </c>
      <c r="B73" s="130">
        <f>COUNTIF(anleihenkäufe[Land],Nebenrechnungen!A73)</f>
        <v>10</v>
      </c>
      <c r="C73"/>
    </row>
    <row r="74" spans="1:3" ht="14.25" x14ac:dyDescent="0.2">
      <c r="A74" s="1" t="str">
        <v>Seychellen</v>
      </c>
      <c r="B74" s="130">
        <f>COUNTIF(anleihenkäufe[Land],Nebenrechnungen!A74)</f>
        <v>1</v>
      </c>
      <c r="C74"/>
    </row>
    <row r="75" spans="1:3" ht="14.25" x14ac:dyDescent="0.2">
      <c r="A75" s="1" t="str">
        <v>Vereinigte Arabische Emirate</v>
      </c>
      <c r="B75" s="130">
        <f>COUNTIF(anleihenkäufe[Land],Nebenrechnungen!A75)</f>
        <v>3</v>
      </c>
      <c r="C75"/>
    </row>
    <row r="76" spans="1:3" ht="14.25" x14ac:dyDescent="0.2">
      <c r="A76" s="1" t="str">
        <v>Argentinien</v>
      </c>
      <c r="B76" s="130">
        <f>COUNTIF(anleihenkäufe[Land],Nebenrechnungen!A76)</f>
        <v>10</v>
      </c>
      <c r="C76"/>
    </row>
    <row r="77" spans="1:3" ht="14.25" x14ac:dyDescent="0.2">
      <c r="A77" s="1" t="str">
        <v>Kanada</v>
      </c>
      <c r="B77" s="130">
        <f>COUNTIF(anleihenkäufe[Land],Nebenrechnungen!A77)</f>
        <v>10</v>
      </c>
      <c r="C77"/>
    </row>
    <row r="78" spans="1:3" ht="14.25" x14ac:dyDescent="0.2">
      <c r="A78" s="1" t="str">
        <v>Guatemala</v>
      </c>
      <c r="B78" s="130">
        <f>COUNTIF(anleihenkäufe[Land],Nebenrechnungen!A78)</f>
        <v>1</v>
      </c>
      <c r="C78"/>
    </row>
    <row r="79" spans="1:3" ht="14.25" x14ac:dyDescent="0.2">
      <c r="A79" s="1" t="str">
        <v>Japan</v>
      </c>
      <c r="B79" s="130">
        <f>COUNTIF(anleihenkäufe[Land],Nebenrechnungen!A79)</f>
        <v>2</v>
      </c>
      <c r="C79"/>
    </row>
    <row r="80" spans="1:3" ht="14.25" x14ac:dyDescent="0.2">
      <c r="A80" s="1" t="str">
        <v>Mexiko</v>
      </c>
      <c r="B80" s="130">
        <f>COUNTIF(anleihenkäufe[Land],Nebenrechnungen!A80)</f>
        <v>9</v>
      </c>
      <c r="C80"/>
    </row>
    <row r="81" spans="1:3" ht="14.25" x14ac:dyDescent="0.2">
      <c r="A81" s="1" t="str">
        <v>Nigeria</v>
      </c>
      <c r="B81" s="130">
        <f>COUNTIF(anleihenkäufe[Land],Nebenrechnungen!A81)</f>
        <v>2</v>
      </c>
      <c r="C81"/>
    </row>
    <row r="82" spans="1:3" ht="14.25" x14ac:dyDescent="0.2">
      <c r="A82" s="1" t="str">
        <v>Kenia</v>
      </c>
      <c r="B82" s="130">
        <f>COUNTIF(anleihenkäufe[Land],Nebenrechnungen!A82)</f>
        <v>1</v>
      </c>
      <c r="C82"/>
    </row>
    <row r="83" spans="1:3" ht="14.25" x14ac:dyDescent="0.2">
      <c r="A83" s="1" t="str">
        <v>Türkei</v>
      </c>
      <c r="B83" s="130">
        <f>COUNTIF(anleihenkäufe[Land],Nebenrechnungen!A83)</f>
        <v>20</v>
      </c>
      <c r="C83"/>
    </row>
    <row r="84" spans="1:3" ht="14.25" x14ac:dyDescent="0.2">
      <c r="A84" s="1" t="str">
        <v>Südafrika</v>
      </c>
      <c r="B84" s="130">
        <f>COUNTIF(anleihenkäufe[Land],Nebenrechnungen!A84)</f>
        <v>2</v>
      </c>
      <c r="C84"/>
    </row>
    <row r="85" spans="1:3" ht="14.25" x14ac:dyDescent="0.2">
      <c r="A85" s="1" t="str">
        <v>Papua Neuguinea</v>
      </c>
      <c r="B85" s="130">
        <f>COUNTIF(anleihenkäufe[Land],Nebenrechnungen!A85)</f>
        <v>1</v>
      </c>
      <c r="C85"/>
    </row>
    <row r="86" spans="1:3" ht="14.25" x14ac:dyDescent="0.2">
      <c r="A86" s="1" t="str">
        <v>Bahrain</v>
      </c>
      <c r="B86" s="130">
        <f>COUNTIF(anleihenkäufe[Land],Nebenrechnungen!A86)</f>
        <v>1</v>
      </c>
      <c r="C86"/>
    </row>
    <row r="87" spans="1:3" ht="14.25" x14ac:dyDescent="0.2">
      <c r="A87" s="1" t="str">
        <v>Indonesien</v>
      </c>
      <c r="B87" s="130">
        <f>COUNTIF(anleihenkäufe[Land],Nebenrechnungen!A87)</f>
        <v>3</v>
      </c>
      <c r="C87"/>
    </row>
    <row r="88" spans="1:3" ht="14.25" x14ac:dyDescent="0.2">
      <c r="A88" s="1" t="str">
        <v>Marshall Inseln</v>
      </c>
      <c r="B88" s="130">
        <f>COUNTIF(anleihenkäufe[Land],Nebenrechnungen!A88)</f>
        <v>2</v>
      </c>
      <c r="C88"/>
    </row>
    <row r="89" spans="1:3" ht="14.25" x14ac:dyDescent="0.2">
      <c r="A89" s="1" t="str">
        <v>Peru</v>
      </c>
      <c r="B89" s="130">
        <f>COUNTIF(anleihenkäufe[Land],Nebenrechnungen!A89)</f>
        <v>2</v>
      </c>
      <c r="C89"/>
    </row>
    <row r="90" spans="1:3" ht="14.25" x14ac:dyDescent="0.2">
      <c r="A90" s="1" t="str">
        <v>Dominikanische Republik</v>
      </c>
      <c r="B90" s="130">
        <f>COUNTIF(anleihenkäufe[Land],Nebenrechnungen!A90)</f>
        <v>1</v>
      </c>
      <c r="C90"/>
    </row>
    <row r="91" spans="1:3" ht="14.25" x14ac:dyDescent="0.2">
      <c r="A91" s="1" t="str">
        <v>Chile</v>
      </c>
      <c r="B91" s="130">
        <f>COUNTIF(anleihenkäufe[Land],Nebenrechnungen!A91)</f>
        <v>2</v>
      </c>
      <c r="C91"/>
    </row>
    <row r="92" spans="1:3" ht="14.25" x14ac:dyDescent="0.2">
      <c r="A92" s="1" t="str">
        <v>Brasilien</v>
      </c>
      <c r="B92" s="130">
        <f>COUNTIF(anleihenkäufe[Land],Nebenrechnungen!A92)</f>
        <v>5</v>
      </c>
      <c r="C92"/>
    </row>
    <row r="93" spans="1:3" ht="14.25" x14ac:dyDescent="0.2">
      <c r="A93" s="1" t="str">
        <v>Togo</v>
      </c>
      <c r="B93" s="130">
        <f>COUNTIF(anleihenkäufe[Land],Nebenrechnungen!A93)</f>
        <v>1</v>
      </c>
      <c r="C93"/>
    </row>
    <row r="94" spans="1:3" ht="14.25" x14ac:dyDescent="0.2">
      <c r="A94" s="1" t="str">
        <v>Pakistan</v>
      </c>
      <c r="B94" s="130">
        <f>COUNTIF(anleihenkäufe[Land],Nebenrechnungen!A94)</f>
        <v>1</v>
      </c>
      <c r="C94"/>
    </row>
    <row r="95" spans="1:3" ht="14.25" x14ac:dyDescent="0.2">
      <c r="A95" s="1" t="str">
        <v>Kolumbien</v>
      </c>
      <c r="B95" s="130">
        <f>COUNTIF(anleihenkäufe[Land],Nebenrechnungen!A95)</f>
        <v>3</v>
      </c>
      <c r="C95"/>
    </row>
    <row r="96" spans="1:3" ht="14.25" x14ac:dyDescent="0.2">
      <c r="A96" s="1" t="str">
        <v>Trinidad Tobago</v>
      </c>
      <c r="B96" s="130">
        <f>COUNTIF(anleihenkäufe[Land],Nebenrechnungen!A96)</f>
        <v>1</v>
      </c>
      <c r="C96"/>
    </row>
    <row r="97" spans="1:3" ht="14.25" x14ac:dyDescent="0.2">
      <c r="A97" s="1" t="str">
        <v>Weltbank</v>
      </c>
      <c r="B97" s="130">
        <f>COUNTIF(anleihenkäufe[Land],Nebenrechnungen!A97)</f>
        <v>1</v>
      </c>
      <c r="C97"/>
    </row>
    <row r="98" spans="1:3" ht="14.25" x14ac:dyDescent="0.2">
      <c r="A98" s="1" t="str">
        <v>Ghana</v>
      </c>
      <c r="B98" s="130">
        <f>COUNTIF(anleihenkäufe[Land],Nebenrechnungen!A98)</f>
        <v>1</v>
      </c>
      <c r="C98"/>
    </row>
    <row r="99" spans="1:3" ht="14.25" x14ac:dyDescent="0.2">
      <c r="A99" s="1" t="str">
        <v>Bahamas</v>
      </c>
      <c r="B99" s="130">
        <f>COUNTIF(anleihenkäufe[Land],Nebenrechnungen!A99)</f>
        <v>1</v>
      </c>
      <c r="C99"/>
    </row>
    <row r="100" spans="1:3" ht="14.25" x14ac:dyDescent="0.2">
      <c r="A100" s="1" t="str">
        <v>Sambia</v>
      </c>
      <c r="B100" s="130">
        <f>COUNTIF(anleihenkäufe[Land],Nebenrechnungen!A100)</f>
        <v>1</v>
      </c>
      <c r="C100"/>
    </row>
    <row r="101" spans="1:3" ht="14.25" x14ac:dyDescent="0.2">
      <c r="A101" s="1" t="str">
        <v>Bermudas</v>
      </c>
      <c r="B101" s="130">
        <f>COUNTIF(anleihenkäufe[Land],Nebenrechnungen!A101)</f>
        <v>2</v>
      </c>
      <c r="C101"/>
    </row>
    <row r="102" spans="1:3" ht="14.25" x14ac:dyDescent="0.2">
      <c r="A102" s="1" t="str">
        <v>Jamaika</v>
      </c>
      <c r="B102" s="130">
        <f>COUNTIF(anleihenkäufe[Land],Nebenrechnungen!A102)</f>
        <v>1</v>
      </c>
      <c r="C102"/>
    </row>
    <row r="103" spans="1:3" ht="14.25" x14ac:dyDescent="0.2">
      <c r="A103" s="1" t="str">
        <v>Liberia</v>
      </c>
      <c r="B103" s="130">
        <f>COUNTIF(anleihenkäufe[Land],Nebenrechnungen!A103)</f>
        <v>1</v>
      </c>
      <c r="C103"/>
    </row>
    <row r="104" spans="1:3" ht="14.25" x14ac:dyDescent="0.2">
      <c r="A104" s="1" t="str">
        <v>AO</v>
      </c>
      <c r="B104" s="130">
        <f>COUNTIF(anleihenkäufe[Land],Nebenrechnungen!A104)</f>
        <v>1</v>
      </c>
      <c r="C104"/>
    </row>
    <row r="105" spans="1:3" ht="14.25" x14ac:dyDescent="0.2">
      <c r="A105" s="1" t="str">
        <v>El Salvador</v>
      </c>
      <c r="B105" s="130">
        <f>COUNTIF(anleihenkäufe[Land],Nebenrechnungen!A105)</f>
        <v>1</v>
      </c>
      <c r="C105"/>
    </row>
    <row r="106" spans="1:3" ht="14.25" x14ac:dyDescent="0.2">
      <c r="A106" s="1" t="str">
        <v>Saudi Arabien</v>
      </c>
      <c r="B106" s="130">
        <f>COUNTIF(anleihenkäufe[Land],Nebenrechnungen!A106)</f>
        <v>1</v>
      </c>
      <c r="C106"/>
    </row>
    <row r="107" spans="1:3" ht="14.25" x14ac:dyDescent="0.2">
      <c r="A107" s="1" t="str">
        <v>Kamerun</v>
      </c>
      <c r="B107" s="130">
        <f>COUNTIF(anleihenkäufe[Land],Nebenrechnungen!A107)</f>
        <v>1</v>
      </c>
      <c r="C107"/>
    </row>
    <row r="108" spans="1:3" ht="14.25" x14ac:dyDescent="0.2">
      <c r="A108" s="1" t="str">
        <v>Indien</v>
      </c>
      <c r="B108" s="130">
        <f>COUNTIF(anleihenkäufe[Land],Nebenrechnungen!A108)</f>
        <v>1</v>
      </c>
      <c r="C108"/>
    </row>
    <row r="109" spans="1:3" ht="14.25" x14ac:dyDescent="0.2">
      <c r="A109" s="1" t="str">
        <v>Qatar</v>
      </c>
      <c r="B109" s="130">
        <f>COUNTIF(anleihenkäufe[Land],Nebenrechnungen!A109)</f>
        <v>1</v>
      </c>
      <c r="C109"/>
    </row>
    <row r="110" spans="1:3" ht="14.25" x14ac:dyDescent="0.2">
      <c r="A110" s="1" t="str">
        <v>Philippinen</v>
      </c>
      <c r="B110" s="130">
        <f>COUNTIF(anleihenkäufe[Land],Nebenrechnungen!A110)</f>
        <v>1</v>
      </c>
      <c r="C110"/>
    </row>
    <row r="111" spans="1:3" ht="14.25" x14ac:dyDescent="0.2">
      <c r="A111" s="1" t="str">
        <v>Georgien</v>
      </c>
      <c r="B111" s="130">
        <f>COUNTIF(anleihenkäufe[Land],Nebenrechnungen!A111)</f>
        <v>2</v>
      </c>
      <c r="C111"/>
    </row>
    <row r="112" spans="1:3" ht="14.25" x14ac:dyDescent="0.2">
      <c r="A112" s="1" t="str">
        <v>Virgin Island (Brit.)</v>
      </c>
      <c r="B112" s="130">
        <f>COUNTIF(anleihenkäufe[Land],Nebenrechnungen!A112)</f>
        <v>1</v>
      </c>
      <c r="C112"/>
    </row>
    <row r="113" spans="1:3" ht="14.25" x14ac:dyDescent="0.2">
      <c r="A113" s="1" t="str">
        <v>Venezuela</v>
      </c>
      <c r="B113" s="130">
        <f>COUNTIF(anleihenkäufe[Land],Nebenrechnungen!A113)</f>
        <v>1</v>
      </c>
      <c r="C113"/>
    </row>
    <row r="114" spans="1:3" ht="14.25" x14ac:dyDescent="0.2">
      <c r="A114" s="1" t="str">
        <v>Lettland</v>
      </c>
      <c r="B114" s="130">
        <f>COUNTIF(anleihenkäufe[Land],Nebenrechnungen!A114)</f>
        <v>1</v>
      </c>
      <c r="C114"/>
    </row>
    <row r="115" spans="1:3" x14ac:dyDescent="0.2">
      <c r="C115"/>
    </row>
    <row r="116" spans="1:3" x14ac:dyDescent="0.2">
      <c r="C116"/>
    </row>
    <row r="117" spans="1:3" x14ac:dyDescent="0.2">
      <c r="C117"/>
    </row>
    <row r="118" spans="1:3" x14ac:dyDescent="0.2">
      <c r="C118"/>
    </row>
    <row r="119" spans="1:3" x14ac:dyDescent="0.2">
      <c r="C119"/>
    </row>
    <row r="120" spans="1:3" x14ac:dyDescent="0.2">
      <c r="C120"/>
    </row>
    <row r="121" spans="1:3" x14ac:dyDescent="0.2">
      <c r="C121"/>
    </row>
    <row r="122" spans="1:3" x14ac:dyDescent="0.2">
      <c r="C122"/>
    </row>
  </sheetData>
  <sortState xmlns:xlrd2="http://schemas.microsoft.com/office/spreadsheetml/2017/richdata2" ref="A36:B114">
    <sortCondition descending="1" ref="B36:B114"/>
  </sortState>
  <conditionalFormatting sqref="B6">
    <cfRule type="notContainsBlanks" dxfId="0" priority="1">
      <formula>LEN(TRIM(B6))&gt;0</formula>
    </cfRule>
  </conditionalFormatting>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D16B-711A-4278-9231-1528028EFCED}">
  <dimension ref="A1:U8"/>
  <sheetViews>
    <sheetView workbookViewId="0">
      <selection sqref="A1:T5"/>
    </sheetView>
  </sheetViews>
  <sheetFormatPr defaultColWidth="9.140625" defaultRowHeight="14.25" x14ac:dyDescent="0.2"/>
  <cols>
    <col min="1" max="1" width="14.140625" style="1" bestFit="1" customWidth="1"/>
    <col min="2" max="2" width="41.7109375" style="1" bestFit="1" customWidth="1"/>
    <col min="3" max="3" width="31.5703125" style="1" bestFit="1" customWidth="1"/>
    <col min="4" max="4" width="18.5703125" style="1" bestFit="1" customWidth="1"/>
    <col min="5" max="5" width="19.85546875" style="1" bestFit="1" customWidth="1"/>
    <col min="6" max="6" width="10.28515625" style="1" bestFit="1" customWidth="1"/>
    <col min="7" max="7" width="14.7109375" style="1" bestFit="1" customWidth="1"/>
    <col min="8" max="8" width="12.42578125" style="6" bestFit="1" customWidth="1"/>
    <col min="9" max="9" width="17.28515625" style="4" bestFit="1" customWidth="1"/>
    <col min="10" max="10" width="11.28515625" style="6" bestFit="1" customWidth="1"/>
    <col min="11" max="11" width="28.7109375" style="58" bestFit="1" customWidth="1"/>
    <col min="12" max="12" width="12.28515625" style="1" bestFit="1" customWidth="1"/>
    <col min="13" max="13" width="27.42578125" style="1" bestFit="1" customWidth="1"/>
    <col min="14" max="14" width="22" style="1" bestFit="1" customWidth="1"/>
    <col min="15" max="15" width="10.85546875" style="1" bestFit="1" customWidth="1"/>
    <col min="16" max="16" width="9.42578125" style="1" bestFit="1" customWidth="1"/>
    <col min="17" max="17" width="16" style="1" bestFit="1" customWidth="1"/>
    <col min="18" max="18" width="81.140625" style="1" bestFit="1" customWidth="1"/>
    <col min="19" max="19" width="11.28515625" style="1" bestFit="1" customWidth="1"/>
    <col min="20" max="20" width="18.7109375" style="1" bestFit="1" customWidth="1"/>
    <col min="21" max="21" width="18.7109375" style="7" bestFit="1" customWidth="1"/>
    <col min="22" max="16384" width="9.140625" style="1"/>
  </cols>
  <sheetData>
    <row r="1" spans="1:21" x14ac:dyDescent="0.2">
      <c r="A1" s="1" t="s">
        <v>159</v>
      </c>
      <c r="B1" s="1" t="s">
        <v>22</v>
      </c>
      <c r="C1" s="1" t="s">
        <v>24</v>
      </c>
      <c r="D1" s="1" t="s">
        <v>924</v>
      </c>
      <c r="E1" s="1" t="s">
        <v>923</v>
      </c>
      <c r="F1" s="1" t="s">
        <v>25</v>
      </c>
      <c r="G1" s="1" t="s">
        <v>26</v>
      </c>
      <c r="H1" s="6" t="s">
        <v>27</v>
      </c>
      <c r="I1" s="4" t="s">
        <v>161</v>
      </c>
      <c r="J1" s="6" t="s">
        <v>23</v>
      </c>
      <c r="K1" s="58" t="s">
        <v>926</v>
      </c>
      <c r="L1" s="1" t="s">
        <v>886</v>
      </c>
      <c r="M1" s="1" t="s">
        <v>28</v>
      </c>
      <c r="N1" s="1" t="s">
        <v>29</v>
      </c>
      <c r="O1" s="1" t="s">
        <v>30</v>
      </c>
      <c r="P1" s="1" t="s">
        <v>31</v>
      </c>
      <c r="Q1" s="1" t="s">
        <v>32</v>
      </c>
      <c r="R1" s="1" t="s">
        <v>33</v>
      </c>
      <c r="S1" s="1" t="s">
        <v>169</v>
      </c>
      <c r="T1" s="7" t="s">
        <v>267</v>
      </c>
      <c r="U1" s="1"/>
    </row>
    <row r="2" spans="1:21" x14ac:dyDescent="0.2">
      <c r="A2" s="9">
        <v>45448</v>
      </c>
      <c r="B2" s="1" t="s">
        <v>1853</v>
      </c>
      <c r="C2" s="1" t="s">
        <v>0</v>
      </c>
      <c r="D2" s="5">
        <f>E2+I2</f>
        <v>1651.1258058017727</v>
      </c>
      <c r="E2" s="5">
        <f>G2*H2*F2/K2</f>
        <v>1636.0294117647059</v>
      </c>
      <c r="F2" s="1">
        <v>2000</v>
      </c>
      <c r="G2" s="1">
        <v>1</v>
      </c>
      <c r="H2" s="6">
        <v>0.89</v>
      </c>
      <c r="I2" s="4">
        <f>G2*J2*(A2-N2)/365*F2/K2</f>
        <v>15.096394037066885</v>
      </c>
      <c r="J2" s="6">
        <v>0.11102000000000001</v>
      </c>
      <c r="K2" s="99">
        <v>1.0880000000000001</v>
      </c>
      <c r="L2" s="1" t="s">
        <v>887</v>
      </c>
      <c r="M2" s="1">
        <v>4</v>
      </c>
      <c r="N2" s="9">
        <v>45421</v>
      </c>
      <c r="O2" s="1" t="s">
        <v>98</v>
      </c>
      <c r="P2" s="1" t="s">
        <v>39</v>
      </c>
      <c r="Q2" s="1" t="s">
        <v>1854</v>
      </c>
      <c r="R2" s="1" t="s">
        <v>1855</v>
      </c>
      <c r="S2" s="1" t="b">
        <v>1</v>
      </c>
      <c r="T2" s="7">
        <f>neueAnleihen[[#This Row],[Anteile]]*neueAnleihen[[#This Row],[Stückelung]]*neueAnleihen[[#This Row],[Coupon]]/neueAnleihen[[#This Row],[Clean Kaufpreis]]</f>
        <v>0.13571883146067418</v>
      </c>
      <c r="U2" s="1"/>
    </row>
    <row r="3" spans="1:21" x14ac:dyDescent="0.2">
      <c r="A3" s="9">
        <v>45448</v>
      </c>
      <c r="B3" s="1" t="s">
        <v>1863</v>
      </c>
      <c r="C3" s="1" t="s">
        <v>4</v>
      </c>
      <c r="D3" s="5">
        <f>E3+I3</f>
        <v>1995.7418412570503</v>
      </c>
      <c r="E3" s="5">
        <f>G3*H3*F3/K3</f>
        <v>1877.3897058823525</v>
      </c>
      <c r="F3" s="1">
        <v>2</v>
      </c>
      <c r="G3" s="1">
        <v>1000</v>
      </c>
      <c r="H3" s="6">
        <v>1.0212999999999999</v>
      </c>
      <c r="I3" s="4">
        <f>G3*J3*(A3-N3)/365*F3/K3</f>
        <v>118.35213537469782</v>
      </c>
      <c r="J3" s="6">
        <v>0.125</v>
      </c>
      <c r="K3" s="99">
        <v>1.0880000000000001</v>
      </c>
      <c r="L3" s="1" t="s">
        <v>887</v>
      </c>
      <c r="M3" s="1">
        <v>1</v>
      </c>
      <c r="N3" s="9">
        <v>45260</v>
      </c>
      <c r="O3" s="1" t="s">
        <v>65</v>
      </c>
      <c r="P3" s="1" t="s">
        <v>52</v>
      </c>
      <c r="Q3" s="1" t="s">
        <v>1864</v>
      </c>
      <c r="R3" s="1" t="s">
        <v>1865</v>
      </c>
      <c r="S3" s="1" t="b">
        <v>1</v>
      </c>
      <c r="T3" s="7">
        <f>neueAnleihen[[#This Row],[Anteile]]*neueAnleihen[[#This Row],[Stückelung]]*neueAnleihen[[#This Row],[Coupon]]/neueAnleihen[[#This Row],[Clean Kaufpreis]]</f>
        <v>0.13316361500048959</v>
      </c>
      <c r="U3" s="1"/>
    </row>
    <row r="4" spans="1:21" x14ac:dyDescent="0.2">
      <c r="A4" s="9">
        <v>45448</v>
      </c>
      <c r="B4" s="1" t="s">
        <v>1866</v>
      </c>
      <c r="C4" s="1" t="s">
        <v>0</v>
      </c>
      <c r="D4" s="5">
        <f>E4+I4</f>
        <v>1618.3924254633357</v>
      </c>
      <c r="E4" s="5">
        <f>G4*H4*F4/K4</f>
        <v>1572.0588235294115</v>
      </c>
      <c r="F4" s="1">
        <v>20</v>
      </c>
      <c r="G4" s="1">
        <v>100</v>
      </c>
      <c r="H4" s="6">
        <v>0.85519999999999996</v>
      </c>
      <c r="I4" s="4">
        <f>G4*J4*(A4-N4)/365*F4/K4</f>
        <v>46.33360193392425</v>
      </c>
      <c r="J4" s="6">
        <v>0.1</v>
      </c>
      <c r="K4" s="99">
        <v>1.0880000000000001</v>
      </c>
      <c r="L4" s="1" t="s">
        <v>887</v>
      </c>
      <c r="M4" s="1">
        <v>2</v>
      </c>
      <c r="N4" s="9">
        <v>45356</v>
      </c>
      <c r="O4" s="1" t="s">
        <v>1867</v>
      </c>
      <c r="P4" s="1" t="s">
        <v>1868</v>
      </c>
      <c r="Q4" s="1" t="s">
        <v>1869</v>
      </c>
      <c r="R4" s="1" t="s">
        <v>1870</v>
      </c>
      <c r="S4" s="1" t="b">
        <v>1</v>
      </c>
      <c r="T4" s="7">
        <f>neueAnleihen[[#This Row],[Anteile]]*neueAnleihen[[#This Row],[Stückelung]]*neueAnleihen[[#This Row],[Coupon]]/neueAnleihen[[#This Row],[Clean Kaufpreis]]</f>
        <v>0.12722170252572501</v>
      </c>
      <c r="U4" s="1"/>
    </row>
    <row r="5" spans="1:21" x14ac:dyDescent="0.2">
      <c r="A5" s="9">
        <v>45448</v>
      </c>
      <c r="B5" s="1" t="s">
        <v>1871</v>
      </c>
      <c r="C5" s="1" t="s">
        <v>4</v>
      </c>
      <c r="D5" s="5">
        <f>E5+I5</f>
        <v>1834.4732070910552</v>
      </c>
      <c r="E5" s="5">
        <f>G5*H5*F5/K5</f>
        <v>1834.0073529411761</v>
      </c>
      <c r="F5" s="1">
        <v>2</v>
      </c>
      <c r="G5" s="1">
        <v>1000</v>
      </c>
      <c r="H5" s="6">
        <v>0.99769999999999992</v>
      </c>
      <c r="I5" s="4">
        <f>G5*J5*(A5-N5)/365*F5/K5</f>
        <v>0.46585414987912971</v>
      </c>
      <c r="J5" s="6">
        <v>9.2499999999999999E-2</v>
      </c>
      <c r="K5" s="99">
        <v>1.0880000000000001</v>
      </c>
      <c r="L5" s="1" t="s">
        <v>887</v>
      </c>
      <c r="M5" s="1">
        <v>4</v>
      </c>
      <c r="N5" s="9">
        <v>45447</v>
      </c>
      <c r="O5" s="1" t="s">
        <v>78</v>
      </c>
      <c r="P5" s="1" t="s">
        <v>39</v>
      </c>
      <c r="Q5" s="1" t="s">
        <v>1872</v>
      </c>
      <c r="R5" s="1" t="s">
        <v>1873</v>
      </c>
      <c r="S5" s="1" t="b">
        <v>1</v>
      </c>
      <c r="T5" s="7">
        <f>neueAnleihen[[#This Row],[Anteile]]*neueAnleihen[[#This Row],[Stückelung]]*neueAnleihen[[#This Row],[Coupon]]/neueAnleihen[[#This Row],[Clean Kaufpreis]]</f>
        <v>0.10087200561290971</v>
      </c>
      <c r="U5" s="1"/>
    </row>
    <row r="6" spans="1:21" x14ac:dyDescent="0.2">
      <c r="T6" s="7"/>
      <c r="U6" s="1"/>
    </row>
    <row r="7" spans="1:21" x14ac:dyDescent="0.2">
      <c r="T7" s="7"/>
      <c r="U7" s="1"/>
    </row>
    <row r="8" spans="1:21" x14ac:dyDescent="0.2">
      <c r="D8" s="5"/>
      <c r="T8" s="7"/>
      <c r="U8" s="1"/>
    </row>
  </sheetData>
  <phoneticPr fontId="15"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78B0EE-6B03-4EF2-A81E-CDFF5D4DA2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Fondprospekt</vt:lpstr>
      <vt:lpstr>Dashboard</vt:lpstr>
      <vt:lpstr>Diagramme</vt:lpstr>
      <vt:lpstr>Historische Ergebnisse</vt:lpstr>
      <vt:lpstr>Tagesgeldkonto</vt:lpstr>
      <vt:lpstr>Anleihen(ver)käufe</vt:lpstr>
      <vt:lpstr>Zinszahlungen Anleihen</vt:lpstr>
      <vt:lpstr>Aktuelle Anleihen</vt:lpstr>
      <vt:lpstr>Optionen</vt:lpstr>
      <vt:lpstr>Aktien</vt:lpstr>
      <vt:lpstr>Nebenrechnungen</vt:lpstr>
      <vt:lpstr>Neue Anleihen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Holst</dc:creator>
  <cp:lastModifiedBy>Christian Holst</cp:lastModifiedBy>
  <dcterms:created xsi:type="dcterms:W3CDTF">2024-04-03T11:28:49Z</dcterms:created>
  <dcterms:modified xsi:type="dcterms:W3CDTF">2024-06-09T21:04:14Z</dcterms:modified>
</cp:coreProperties>
</file>